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drawings/drawing14.xml" ContentType="application/vnd.openxmlformats-officedocument.drawing+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drawings/drawing18.xml" ContentType="application/vnd.openxmlformats-officedocument.drawing+xml"/>
  <Override PartName="/xl/charts/chart24.xml" ContentType="application/vnd.openxmlformats-officedocument.drawingml.chart+xml"/>
  <Override PartName="/xl/drawings/drawing19.xml" ContentType="application/vnd.openxmlformats-officedocument.drawing+xml"/>
  <Override PartName="/xl/charts/chart25.xml" ContentType="application/vnd.openxmlformats-officedocument.drawingml.chart+xml"/>
  <Override PartName="/xl/drawings/drawing20.xml" ContentType="application/vnd.openxmlformats-officedocument.drawing+xml"/>
  <Override PartName="/xl/charts/chart26.xml" ContentType="application/vnd.openxmlformats-officedocument.drawingml.chart+xml"/>
  <Override PartName="/xl/drawings/drawing21.xml" ContentType="application/vnd.openxmlformats-officedocument.drawing+xml"/>
  <Override PartName="/xl/charts/chart27.xml" ContentType="application/vnd.openxmlformats-officedocument.drawingml.chart+xml"/>
  <Override PartName="/xl/drawings/drawing22.xml" ContentType="application/vnd.openxmlformats-officedocument.drawing+xml"/>
  <Override PartName="/xl/charts/chart28.xml" ContentType="application/vnd.openxmlformats-officedocument.drawingml.chart+xml"/>
  <Override PartName="/xl/drawings/drawing23.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24.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25.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C:\Users\ngocc\OneDrive - Aalto University\Thesis\lca\ITF\"/>
    </mc:Choice>
  </mc:AlternateContent>
  <xr:revisionPtr revIDLastSave="0" documentId="13_ncr:1_{B4C50818-5AC3-4EBC-8878-C0FF99C144E6}" xr6:coauthVersionLast="47" xr6:coauthVersionMax="47" xr10:uidLastSave="{00000000-0000-0000-0000-000000000000}"/>
  <bookViews>
    <workbookView xWindow="28680" yWindow="-120" windowWidth="29040" windowHeight="15720" firstSheet="15" activeTab="20" xr2:uid="{00000000-000D-0000-FFFF-FFFF00000000}"/>
  </bookViews>
  <sheets>
    <sheet name="Introduction" sheetId="76" r:id="rId1"/>
    <sheet name="0_Total" sheetId="28" r:id="rId2"/>
    <sheet name="1_Manufacturing" sheetId="24" r:id="rId3"/>
    <sheet name="2_Transport" sheetId="23" r:id="rId4"/>
    <sheet name="3_Use" sheetId="25" r:id="rId5"/>
    <sheet name="4_Operational_Services" sheetId="26" r:id="rId6"/>
    <sheet name="5_Infrastructure" sheetId="27" r:id="rId7"/>
    <sheet name="Tech_Spec_Escoot" sheetId="10" r:id="rId8"/>
    <sheet name="Tech_Spec_New Escoot" sheetId="70" r:id="rId9"/>
    <sheet name="Tech_Spec_Bikes" sheetId="13" r:id="rId10"/>
    <sheet name="Tech_Specs_2W" sheetId="15" r:id="rId11"/>
    <sheet name="Tech_Spec_Rail" sheetId="8" r:id="rId12"/>
    <sheet name="Tech_Specs_Bus" sheetId="14" r:id="rId13"/>
    <sheet name="Tech_Specs_Car" sheetId="21" r:id="rId14"/>
    <sheet name="Tech_Specs_Infra" sheetId="29" r:id="rId15"/>
    <sheet name="Tech_Spec_TNC" sheetId="31" r:id="rId16"/>
    <sheet name="WTW_Fuel_properties" sheetId="22" r:id="rId17"/>
    <sheet name="Power_Gen_Mix" sheetId="33" r:id="rId18"/>
    <sheet name="Convert" sheetId="30" r:id="rId19"/>
    <sheet name="Tables 1 and 2" sheetId="37" r:id="rId20"/>
    <sheet name="Figure_2_GHG_per_pkm_General" sheetId="32" r:id="rId21"/>
    <sheet name="Figure_3_MJ_per_pkm_General" sheetId="36" r:id="rId22"/>
    <sheet name="Figure_4_GHG_per_vkm_General" sheetId="38" r:id="rId23"/>
    <sheet name="Figure_5_MJ_per_Vkm_General" sheetId="39" r:id="rId24"/>
    <sheet name="Figure_6_GHG_per_pkm_by_people" sheetId="60" r:id="rId25"/>
    <sheet name="Figure_7_GHG_per_pkm_Microm" sheetId="41" r:id="rId26"/>
    <sheet name="MJ_per_pkm_Microm" sheetId="42" r:id="rId27"/>
    <sheet name="Figure_8_GHG_per_pkm_NewEScoot" sheetId="72" r:id="rId28"/>
    <sheet name="Figure_9_GHG_per_pkm_Cars" sheetId="43" r:id="rId29"/>
    <sheet name="Figure_9_MJ_per_pkm_Cars" sheetId="47" r:id="rId30"/>
    <sheet name="Figure_10_GHG_per_pkm_TNC" sheetId="48" r:id="rId31"/>
    <sheet name="Figure_10_MJ_per_pkm_TNC" sheetId="51" r:id="rId32"/>
    <sheet name="Figure_11_GHG_per_pkm_TNC" sheetId="50" r:id="rId33"/>
    <sheet name="MJ_per_pkm_TNC" sheetId="52" r:id="rId34"/>
    <sheet name="Figure_12_GHG_per_pkm_Bus" sheetId="55" r:id="rId35"/>
    <sheet name="Figure_12_MJ_per_pkm_Bus" sheetId="74" r:id="rId36"/>
    <sheet name="Figure_13_GHG_per_pkm_Metro" sheetId="54" r:id="rId37"/>
    <sheet name="Figure_14_GHG_per_pkm_PT+Shared" sheetId="61" r:id="rId38"/>
    <sheet name="Table 3" sheetId="75" r:id="rId39"/>
    <sheet name="Figure_15_GHG_per_pkm_share" sheetId="69" r:id="rId40"/>
    <sheet name="Figure_15_GHG_per_pkm_shares B" sheetId="64" r:id="rId41"/>
    <sheet name="Figure_16_GHG_per_pkm_TNC (2)" sheetId="63"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CostForImprovementInput" localSheetId="30">'[1]Input sheet'!#REF!</definedName>
    <definedName name="CostForImprovementInput" localSheetId="31">'[1]Input sheet'!#REF!</definedName>
    <definedName name="CostForImprovementInput" localSheetId="32">'[1]Input sheet'!#REF!</definedName>
    <definedName name="CostForImprovementInput" localSheetId="34">'[1]Input sheet'!#REF!</definedName>
    <definedName name="CostForImprovementInput" localSheetId="35">'[1]Input sheet'!#REF!</definedName>
    <definedName name="CostForImprovementInput" localSheetId="36">'[1]Input sheet'!#REF!</definedName>
    <definedName name="CostForImprovementInput" localSheetId="37">'[1]Input sheet'!#REF!</definedName>
    <definedName name="CostForImprovementInput" localSheetId="39">'[1]Input sheet'!#REF!</definedName>
    <definedName name="CostForImprovementInput" localSheetId="40">'[1]Input sheet'!#REF!</definedName>
    <definedName name="CostForImprovementInput" localSheetId="41">'[1]Input sheet'!#REF!</definedName>
    <definedName name="CostForImprovementInput" localSheetId="21">'[1]Input sheet'!#REF!</definedName>
    <definedName name="CostForImprovementInput" localSheetId="22">'[1]Input sheet'!#REF!</definedName>
    <definedName name="CostForImprovementInput" localSheetId="23">'[1]Input sheet'!#REF!</definedName>
    <definedName name="CostForImprovementInput" localSheetId="24">'[1]Input sheet'!#REF!</definedName>
    <definedName name="CostForImprovementInput" localSheetId="27">'[1]Input sheet'!#REF!</definedName>
    <definedName name="CostForImprovementInput" localSheetId="28">'[1]Input sheet'!#REF!</definedName>
    <definedName name="CostForImprovementInput" localSheetId="29">'[1]Input sheet'!#REF!</definedName>
    <definedName name="CostForImprovementInput" localSheetId="26">'[1]Input sheet'!#REF!</definedName>
    <definedName name="CostForImprovementInput" localSheetId="33">'[1]Input sheet'!#REF!</definedName>
    <definedName name="CostForImprovementInput" localSheetId="14">'[1]Input sheet'!#REF!</definedName>
    <definedName name="CostForImprovementInput">'[1]Input sheet'!#REF!</definedName>
    <definedName name="GDPperCapita_CAR" localSheetId="30">[1]CARall!#REF!</definedName>
    <definedName name="GDPperCapita_CAR" localSheetId="31">[1]CARall!#REF!</definedName>
    <definedName name="GDPperCapita_CAR" localSheetId="32">[1]CARall!#REF!</definedName>
    <definedName name="GDPperCapita_CAR" localSheetId="34">[1]CARall!#REF!</definedName>
    <definedName name="GDPperCapita_CAR" localSheetId="35">[1]CARall!#REF!</definedName>
    <definedName name="GDPperCapita_CAR" localSheetId="36">[1]CARall!#REF!</definedName>
    <definedName name="GDPperCapita_CAR" localSheetId="37">[1]CARall!#REF!</definedName>
    <definedName name="GDPperCapita_CAR" localSheetId="39">[1]CARall!#REF!</definedName>
    <definedName name="GDPperCapita_CAR" localSheetId="40">[1]CARall!#REF!</definedName>
    <definedName name="GDPperCapita_CAR" localSheetId="41">[1]CARall!#REF!</definedName>
    <definedName name="GDPperCapita_CAR" localSheetId="21">[1]CARall!#REF!</definedName>
    <definedName name="GDPperCapita_CAR" localSheetId="22">[1]CARall!#REF!</definedName>
    <definedName name="GDPperCapita_CAR" localSheetId="23">[1]CARall!#REF!</definedName>
    <definedName name="GDPperCapita_CAR" localSheetId="24">[1]CARall!#REF!</definedName>
    <definedName name="GDPperCapita_CAR" localSheetId="27">[1]CARall!#REF!</definedName>
    <definedName name="GDPperCapita_CAR" localSheetId="28">[1]CARall!#REF!</definedName>
    <definedName name="GDPperCapita_CAR" localSheetId="29">[1]CARall!#REF!</definedName>
    <definedName name="GDPperCapita_CAR" localSheetId="26">[1]CARall!#REF!</definedName>
    <definedName name="GDPperCapita_CAR" localSheetId="33">[1]CARall!#REF!</definedName>
    <definedName name="GDPperCapita_CAR" localSheetId="14">[1]CARall!#REF!</definedName>
    <definedName name="GDPperCapita_CAR">[1]CARall!#REF!</definedName>
    <definedName name="GDPperCapita_SUV" localSheetId="30">[1]SUVall!#REF!</definedName>
    <definedName name="GDPperCapita_SUV" localSheetId="31">[1]SUVall!#REF!</definedName>
    <definedName name="GDPperCapita_SUV" localSheetId="32">[1]SUVall!#REF!</definedName>
    <definedName name="GDPperCapita_SUV" localSheetId="34">[1]SUVall!#REF!</definedName>
    <definedName name="GDPperCapita_SUV" localSheetId="35">[1]SUVall!#REF!</definedName>
    <definedName name="GDPperCapita_SUV" localSheetId="36">[1]SUVall!#REF!</definedName>
    <definedName name="GDPperCapita_SUV" localSheetId="37">[1]SUVall!#REF!</definedName>
    <definedName name="GDPperCapita_SUV" localSheetId="39">[1]SUVall!#REF!</definedName>
    <definedName name="GDPperCapita_SUV" localSheetId="40">[1]SUVall!#REF!</definedName>
    <definedName name="GDPperCapita_SUV" localSheetId="41">[1]SUVall!#REF!</definedName>
    <definedName name="GDPperCapita_SUV" localSheetId="21">[1]SUVall!#REF!</definedName>
    <definedName name="GDPperCapita_SUV" localSheetId="22">[1]SUVall!#REF!</definedName>
    <definedName name="GDPperCapita_SUV" localSheetId="23">[1]SUVall!#REF!</definedName>
    <definedName name="GDPperCapita_SUV" localSheetId="24">[1]SUVall!#REF!</definedName>
    <definedName name="GDPperCapita_SUV" localSheetId="27">[1]SUVall!#REF!</definedName>
    <definedName name="GDPperCapita_SUV" localSheetId="28">[1]SUVall!#REF!</definedName>
    <definedName name="GDPperCapita_SUV" localSheetId="29">[1]SUVall!#REF!</definedName>
    <definedName name="GDPperCapita_SUV" localSheetId="26">[1]SUVall!#REF!</definedName>
    <definedName name="GDPperCapita_SUV" localSheetId="33">[1]SUVall!#REF!</definedName>
    <definedName name="GDPperCapita_SUV" localSheetId="14">[1]SUVall!#REF!</definedName>
    <definedName name="GDPperCapita_SUV">[1]SUVall!#REF!</definedName>
    <definedName name="GDPperCapitaGrowth_CAR" localSheetId="30">[1]CARall!#REF!</definedName>
    <definedName name="GDPperCapitaGrowth_CAR" localSheetId="31">[1]CARall!#REF!</definedName>
    <definedName name="GDPperCapitaGrowth_CAR" localSheetId="32">[1]CARall!#REF!</definedName>
    <definedName name="GDPperCapitaGrowth_CAR" localSheetId="34">[1]CARall!#REF!</definedName>
    <definedName name="GDPperCapitaGrowth_CAR" localSheetId="35">[1]CARall!#REF!</definedName>
    <definedName name="GDPperCapitaGrowth_CAR" localSheetId="36">[1]CARall!#REF!</definedName>
    <definedName name="GDPperCapitaGrowth_CAR" localSheetId="37">[1]CARall!#REF!</definedName>
    <definedName name="GDPperCapitaGrowth_CAR" localSheetId="39">[1]CARall!#REF!</definedName>
    <definedName name="GDPperCapitaGrowth_CAR" localSheetId="40">[1]CARall!#REF!</definedName>
    <definedName name="GDPperCapitaGrowth_CAR" localSheetId="41">[1]CARall!#REF!</definedName>
    <definedName name="GDPperCapitaGrowth_CAR" localSheetId="21">[1]CARall!#REF!</definedName>
    <definedName name="GDPperCapitaGrowth_CAR" localSheetId="22">[1]CARall!#REF!</definedName>
    <definedName name="GDPperCapitaGrowth_CAR" localSheetId="23">[1]CARall!#REF!</definedName>
    <definedName name="GDPperCapitaGrowth_CAR" localSheetId="24">[1]CARall!#REF!</definedName>
    <definedName name="GDPperCapitaGrowth_CAR" localSheetId="27">[1]CARall!#REF!</definedName>
    <definedName name="GDPperCapitaGrowth_CAR" localSheetId="28">[1]CARall!#REF!</definedName>
    <definedName name="GDPperCapitaGrowth_CAR" localSheetId="29">[1]CARall!#REF!</definedName>
    <definedName name="GDPperCapitaGrowth_CAR" localSheetId="26">[1]CARall!#REF!</definedName>
    <definedName name="GDPperCapitaGrowth_CAR" localSheetId="33">[1]CARall!#REF!</definedName>
    <definedName name="GDPperCapitaGrowth_CAR" localSheetId="14">[1]CARall!#REF!</definedName>
    <definedName name="GDPperCapitaGrowth_CAR">[1]CARall!#REF!</definedName>
    <definedName name="GDPperCapitaGrowth_SUV" localSheetId="30">[1]SUVall!#REF!</definedName>
    <definedName name="GDPperCapitaGrowth_SUV" localSheetId="31">[1]SUVall!#REF!</definedName>
    <definedName name="GDPperCapitaGrowth_SUV" localSheetId="32">[1]SUVall!#REF!</definedName>
    <definedName name="GDPperCapitaGrowth_SUV" localSheetId="34">[1]SUVall!#REF!</definedName>
    <definedName name="GDPperCapitaGrowth_SUV" localSheetId="35">[1]SUVall!#REF!</definedName>
    <definedName name="GDPperCapitaGrowth_SUV" localSheetId="36">[1]SUVall!#REF!</definedName>
    <definedName name="GDPperCapitaGrowth_SUV" localSheetId="37">[1]SUVall!#REF!</definedName>
    <definedName name="GDPperCapitaGrowth_SUV" localSheetId="39">[1]SUVall!#REF!</definedName>
    <definedName name="GDPperCapitaGrowth_SUV" localSheetId="40">[1]SUVall!#REF!</definedName>
    <definedName name="GDPperCapitaGrowth_SUV" localSheetId="41">[1]SUVall!#REF!</definedName>
    <definedName name="GDPperCapitaGrowth_SUV" localSheetId="21">[1]SUVall!#REF!</definedName>
    <definedName name="GDPperCapitaGrowth_SUV" localSheetId="22">[1]SUVall!#REF!</definedName>
    <definedName name="GDPperCapitaGrowth_SUV" localSheetId="23">[1]SUVall!#REF!</definedName>
    <definedName name="GDPperCapitaGrowth_SUV" localSheetId="24">[1]SUVall!#REF!</definedName>
    <definedName name="GDPperCapitaGrowth_SUV" localSheetId="27">[1]SUVall!#REF!</definedName>
    <definedName name="GDPperCapitaGrowth_SUV" localSheetId="28">[1]SUVall!#REF!</definedName>
    <definedName name="GDPperCapitaGrowth_SUV" localSheetId="29">[1]SUVall!#REF!</definedName>
    <definedName name="GDPperCapitaGrowth_SUV" localSheetId="26">[1]SUVall!#REF!</definedName>
    <definedName name="GDPperCapitaGrowth_SUV" localSheetId="33">[1]SUVall!#REF!</definedName>
    <definedName name="GDPperCapitaGrowth_SUV" localSheetId="14">[1]SUVall!#REF!</definedName>
    <definedName name="GDPperCapitaGrowth_SUV">[1]SUVall!#REF!</definedName>
    <definedName name="growth">[2]air2!$C$23</definedName>
    <definedName name="growth02">[3]air2!$C$23</definedName>
    <definedName name="growth03">[3]air2!$C$23</definedName>
    <definedName name="growth2">[4]air2!$C$23</definedName>
    <definedName name="growth3">[4]air2!$C$23</definedName>
    <definedName name="SUVCARTechIncrementalFactors" localSheetId="30">'[1]Input sheet'!#REF!</definedName>
    <definedName name="SUVCARTechIncrementalFactors" localSheetId="31">'[1]Input sheet'!#REF!</definedName>
    <definedName name="SUVCARTechIncrementalFactors" localSheetId="32">'[1]Input sheet'!#REF!</definedName>
    <definedName name="SUVCARTechIncrementalFactors" localSheetId="34">'[1]Input sheet'!#REF!</definedName>
    <definedName name="SUVCARTechIncrementalFactors" localSheetId="35">'[1]Input sheet'!#REF!</definedName>
    <definedName name="SUVCARTechIncrementalFactors" localSheetId="36">'[1]Input sheet'!#REF!</definedName>
    <definedName name="SUVCARTechIncrementalFactors" localSheetId="37">'[1]Input sheet'!#REF!</definedName>
    <definedName name="SUVCARTechIncrementalFactors" localSheetId="39">'[1]Input sheet'!#REF!</definedName>
    <definedName name="SUVCARTechIncrementalFactors" localSheetId="40">'[1]Input sheet'!#REF!</definedName>
    <definedName name="SUVCARTechIncrementalFactors" localSheetId="41">'[1]Input sheet'!#REF!</definedName>
    <definedName name="SUVCARTechIncrementalFactors" localSheetId="21">'[1]Input sheet'!#REF!</definedName>
    <definedName name="SUVCARTechIncrementalFactors" localSheetId="22">'[1]Input sheet'!#REF!</definedName>
    <definedName name="SUVCARTechIncrementalFactors" localSheetId="23">'[1]Input sheet'!#REF!</definedName>
    <definedName name="SUVCARTechIncrementalFactors" localSheetId="24">'[1]Input sheet'!#REF!</definedName>
    <definedName name="SUVCARTechIncrementalFactors" localSheetId="27">'[1]Input sheet'!#REF!</definedName>
    <definedName name="SUVCARTechIncrementalFactors" localSheetId="28">'[1]Input sheet'!#REF!</definedName>
    <definedName name="SUVCARTechIncrementalFactors" localSheetId="29">'[1]Input sheet'!#REF!</definedName>
    <definedName name="SUVCARTechIncrementalFactors" localSheetId="26">'[1]Input sheet'!#REF!</definedName>
    <definedName name="SUVCARTechIncrementalFactors" localSheetId="33">'[1]Input sheet'!#REF!</definedName>
    <definedName name="SUVCARTechIncrementalFactors" localSheetId="14">'[1]Input sheet'!#REF!</definedName>
    <definedName name="SUVCARTechIncrementalFactors">'[1]Input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0" i="32" l="1"/>
  <c r="W44" i="32"/>
  <c r="AB60" i="32"/>
  <c r="B60" i="32"/>
  <c r="C44" i="32"/>
  <c r="D44" i="32"/>
  <c r="E44" i="32"/>
  <c r="F44" i="32"/>
  <c r="G44" i="32"/>
  <c r="H44" i="32"/>
  <c r="I44" i="32"/>
  <c r="J44" i="32"/>
  <c r="K44" i="32"/>
  <c r="L44" i="32"/>
  <c r="M44" i="32"/>
  <c r="N44" i="32"/>
  <c r="O44" i="32"/>
  <c r="P44" i="32"/>
  <c r="Q44" i="32"/>
  <c r="R44" i="32"/>
  <c r="S44" i="32"/>
  <c r="T44" i="32"/>
  <c r="U44" i="32"/>
  <c r="V44" i="32"/>
  <c r="X44" i="32"/>
  <c r="Y44" i="32"/>
  <c r="Z44" i="32"/>
  <c r="AA44" i="32"/>
  <c r="AB44" i="32"/>
  <c r="AC44" i="32"/>
  <c r="AD44" i="32"/>
  <c r="AE44" i="32"/>
  <c r="AF44" i="32"/>
  <c r="AG44" i="32"/>
  <c r="AH44" i="32"/>
  <c r="S4" i="33"/>
  <c r="M14" i="31" l="1"/>
  <c r="O14" i="31" s="1"/>
  <c r="S60" i="38" s="1"/>
  <c r="BI16" i="28" l="1"/>
  <c r="W2" i="28" l="1"/>
  <c r="F68" i="32" s="1"/>
  <c r="B116" i="32" l="1"/>
  <c r="BH2" i="24"/>
  <c r="EI47" i="23" l="1"/>
  <c r="EF48" i="23" s="1"/>
  <c r="D60" i="23"/>
  <c r="EF47" i="23"/>
  <c r="EH36" i="24"/>
  <c r="B30" i="29" l="1"/>
  <c r="B20" i="29" s="1"/>
  <c r="B23" i="29" l="1"/>
  <c r="B22" i="29"/>
  <c r="B21" i="29"/>
  <c r="D9" i="75"/>
  <c r="C9" i="75"/>
  <c r="E9" i="75"/>
  <c r="E6" i="75"/>
  <c r="E5" i="75"/>
  <c r="H4" i="75"/>
  <c r="C48" i="74"/>
  <c r="A45" i="74"/>
  <c r="C45" i="74" s="1"/>
  <c r="A45" i="55"/>
  <c r="C45" i="55" s="1"/>
  <c r="DV117" i="28"/>
  <c r="DV95" i="28"/>
  <c r="DV5" i="28"/>
  <c r="DV9" i="25" s="1"/>
  <c r="DV11" i="25" s="1"/>
  <c r="DV5" i="26" s="1"/>
  <c r="DV4" i="28"/>
  <c r="DV2" i="28"/>
  <c r="DV19" i="28" s="1"/>
  <c r="DV26" i="24"/>
  <c r="DV60" i="24" s="1"/>
  <c r="DV5" i="24"/>
  <c r="DV85" i="24" s="1"/>
  <c r="DV106" i="23"/>
  <c r="DV2" i="23"/>
  <c r="DV38" i="25"/>
  <c r="DV36" i="25"/>
  <c r="DV35" i="25"/>
  <c r="DV31" i="25"/>
  <c r="DV40" i="25" s="1"/>
  <c r="DV27" i="25"/>
  <c r="DV17" i="25"/>
  <c r="DV15" i="25"/>
  <c r="DV8" i="25"/>
  <c r="DV2" i="25"/>
  <c r="DV8" i="26"/>
  <c r="DV2" i="26"/>
  <c r="DV2" i="27"/>
  <c r="C48" i="55"/>
  <c r="DS117" i="28"/>
  <c r="DS95" i="28"/>
  <c r="DS5" i="28"/>
  <c r="DS9" i="25" s="1"/>
  <c r="DS11" i="25" s="1"/>
  <c r="DS5" i="26" s="1"/>
  <c r="DS4" i="28"/>
  <c r="DS8" i="25" s="1"/>
  <c r="DS2" i="28"/>
  <c r="DS19" i="28" s="1"/>
  <c r="DS2" i="27"/>
  <c r="DS8" i="26"/>
  <c r="DS2" i="26"/>
  <c r="DS37" i="25"/>
  <c r="DS35" i="25"/>
  <c r="DS31" i="25"/>
  <c r="DS40" i="25" s="1"/>
  <c r="DS27" i="25"/>
  <c r="DS17" i="25"/>
  <c r="DS23" i="25" s="1"/>
  <c r="DS15" i="25"/>
  <c r="DS33" i="25" s="1"/>
  <c r="DS2" i="25"/>
  <c r="DS106" i="23"/>
  <c r="DS2" i="23"/>
  <c r="DS26" i="24"/>
  <c r="DS5" i="24"/>
  <c r="DS107" i="24" s="1"/>
  <c r="DW4" i="28"/>
  <c r="DU4" i="28"/>
  <c r="DT4" i="28"/>
  <c r="DR4" i="28"/>
  <c r="DQ4" i="28"/>
  <c r="B11" i="70"/>
  <c r="B18" i="37"/>
  <c r="B12" i="37"/>
  <c r="D10" i="37"/>
  <c r="B10" i="37"/>
  <c r="B14" i="37"/>
  <c r="B13" i="37"/>
  <c r="D41" i="13"/>
  <c r="D40" i="13"/>
  <c r="B9" i="37"/>
  <c r="B11" i="37"/>
  <c r="B15" i="37"/>
  <c r="B16" i="37"/>
  <c r="C11" i="70"/>
  <c r="B8" i="70"/>
  <c r="E104" i="32"/>
  <c r="E4" i="37" s="1"/>
  <c r="AH82" i="32"/>
  <c r="AG82" i="32"/>
  <c r="AF82" i="32"/>
  <c r="AE82" i="32"/>
  <c r="AD82" i="32"/>
  <c r="AC82" i="32"/>
  <c r="AB82" i="32"/>
  <c r="AA82" i="32"/>
  <c r="Z82" i="32"/>
  <c r="X82" i="32"/>
  <c r="W82" i="32"/>
  <c r="V82" i="32"/>
  <c r="U82" i="32"/>
  <c r="T82" i="32"/>
  <c r="S82" i="32"/>
  <c r="R82" i="32"/>
  <c r="Q82" i="32"/>
  <c r="O82" i="32"/>
  <c r="N82" i="32"/>
  <c r="M82" i="32"/>
  <c r="L82" i="32"/>
  <c r="K82" i="32"/>
  <c r="J82" i="32"/>
  <c r="I82" i="32"/>
  <c r="H82" i="32"/>
  <c r="G82" i="32"/>
  <c r="F82" i="32"/>
  <c r="E82" i="32"/>
  <c r="D82" i="32"/>
  <c r="C82" i="32"/>
  <c r="B82" i="32"/>
  <c r="AH81" i="32"/>
  <c r="AF81" i="32"/>
  <c r="AE81" i="32"/>
  <c r="AD81" i="32"/>
  <c r="AC81" i="32"/>
  <c r="AA81" i="32"/>
  <c r="Z81" i="32"/>
  <c r="Y81" i="32"/>
  <c r="X81" i="32"/>
  <c r="W81" i="32"/>
  <c r="U81" i="32"/>
  <c r="T81" i="32"/>
  <c r="S81" i="32"/>
  <c r="Q81" i="32"/>
  <c r="P81" i="32"/>
  <c r="O81" i="32"/>
  <c r="N81" i="32"/>
  <c r="M81" i="32"/>
  <c r="L81" i="32"/>
  <c r="K81" i="32"/>
  <c r="J81" i="32"/>
  <c r="I81" i="32"/>
  <c r="H81" i="32"/>
  <c r="G81" i="32"/>
  <c r="F81" i="32"/>
  <c r="E81" i="32"/>
  <c r="D81" i="32"/>
  <c r="C81" i="32"/>
  <c r="B81" i="32"/>
  <c r="AG80" i="32"/>
  <c r="AD80" i="32"/>
  <c r="AC80" i="32"/>
  <c r="AB80" i="32"/>
  <c r="X80" i="32"/>
  <c r="W80" i="32"/>
  <c r="V80" i="32"/>
  <c r="S80" i="32"/>
  <c r="R80" i="32"/>
  <c r="O80" i="32"/>
  <c r="N80" i="32"/>
  <c r="L80" i="32"/>
  <c r="J80" i="32"/>
  <c r="H80" i="32"/>
  <c r="D80" i="32"/>
  <c r="B80" i="32"/>
  <c r="AH79" i="32"/>
  <c r="AG79" i="32"/>
  <c r="AF79" i="32"/>
  <c r="AE79" i="32"/>
  <c r="AB79" i="32"/>
  <c r="AA79" i="32"/>
  <c r="Z79" i="32"/>
  <c r="V79" i="32"/>
  <c r="U79" i="32"/>
  <c r="T79" i="32"/>
  <c r="R79" i="32"/>
  <c r="Q79" i="32"/>
  <c r="M79" i="32"/>
  <c r="K79" i="32"/>
  <c r="I79" i="32"/>
  <c r="H79" i="32"/>
  <c r="G79" i="32"/>
  <c r="F79" i="32"/>
  <c r="E79" i="32"/>
  <c r="D79" i="32"/>
  <c r="C79" i="32"/>
  <c r="B79" i="32"/>
  <c r="C40" i="10"/>
  <c r="E40" i="10" s="1"/>
  <c r="CR16" i="28"/>
  <c r="CQ16" i="28"/>
  <c r="CP16" i="28"/>
  <c r="CO16" i="28"/>
  <c r="CN16" i="28"/>
  <c r="BB16" i="28"/>
  <c r="BA16" i="28"/>
  <c r="AZ16" i="28"/>
  <c r="AY16" i="28"/>
  <c r="AX16" i="28"/>
  <c r="AW16" i="28"/>
  <c r="AV16" i="28"/>
  <c r="AU16" i="28"/>
  <c r="AT16" i="28"/>
  <c r="AS16" i="28"/>
  <c r="AR16" i="28"/>
  <c r="AQ16" i="28"/>
  <c r="AP16" i="28"/>
  <c r="AO16" i="28"/>
  <c r="K81" i="10"/>
  <c r="A51" i="10"/>
  <c r="A48" i="10"/>
  <c r="F37" i="10"/>
  <c r="D37" i="13" l="1"/>
  <c r="DS59" i="24"/>
  <c r="DS12" i="25"/>
  <c r="DS6" i="26" s="1"/>
  <c r="DS54" i="24"/>
  <c r="DS6" i="28"/>
  <c r="A46" i="55"/>
  <c r="C46" i="55" s="1"/>
  <c r="A46" i="74"/>
  <c r="C46" i="74" s="1"/>
  <c r="DV54" i="24"/>
  <c r="DV12" i="25"/>
  <c r="DV6" i="26" s="1"/>
  <c r="DV7" i="28" s="1"/>
  <c r="DV6" i="28"/>
  <c r="DV108" i="24"/>
  <c r="DV37" i="24"/>
  <c r="DV107" i="24"/>
  <c r="DV99" i="24"/>
  <c r="DV59" i="24"/>
  <c r="DV102" i="24"/>
  <c r="DS21" i="25"/>
  <c r="DS22" i="25"/>
  <c r="DS24" i="25"/>
  <c r="DS60" i="24"/>
  <c r="DS108" i="24"/>
  <c r="DS25" i="25"/>
  <c r="DS20" i="25"/>
  <c r="DS29" i="25"/>
  <c r="DS37" i="24"/>
  <c r="DS102" i="24"/>
  <c r="DS85" i="24"/>
  <c r="E5" i="37"/>
  <c r="D83" i="32"/>
  <c r="H83" i="32"/>
  <c r="Y117" i="28"/>
  <c r="Y95" i="28"/>
  <c r="Y2" i="28"/>
  <c r="A48" i="72" s="1"/>
  <c r="B48" i="72" s="1"/>
  <c r="Y34" i="24"/>
  <c r="Y26" i="24"/>
  <c r="Y60" i="24" s="1"/>
  <c r="Y5" i="24"/>
  <c r="Y102" i="24" s="1"/>
  <c r="Y106" i="23"/>
  <c r="Y2" i="23"/>
  <c r="Y37" i="25"/>
  <c r="Y35" i="25"/>
  <c r="Y31" i="25"/>
  <c r="Y40" i="25" s="1"/>
  <c r="Y27" i="25"/>
  <c r="Y17" i="25"/>
  <c r="Y21" i="25" s="1"/>
  <c r="Y15" i="25"/>
  <c r="Y33" i="25" s="1"/>
  <c r="Y2" i="25"/>
  <c r="Y3" i="26"/>
  <c r="Y2" i="26"/>
  <c r="Y2" i="27"/>
  <c r="X117" i="28"/>
  <c r="X95" i="28"/>
  <c r="X2" i="28"/>
  <c r="A54" i="72" s="1"/>
  <c r="B54" i="72" s="1"/>
  <c r="X34" i="24"/>
  <c r="X26" i="24"/>
  <c r="X60" i="24" s="1"/>
  <c r="X5" i="24"/>
  <c r="X102" i="24" s="1"/>
  <c r="X106" i="23"/>
  <c r="X2" i="23"/>
  <c r="X37" i="25"/>
  <c r="X35" i="25"/>
  <c r="X31" i="25"/>
  <c r="X40" i="25" s="1"/>
  <c r="X27" i="25"/>
  <c r="X17" i="25"/>
  <c r="X23" i="25" s="1"/>
  <c r="X15" i="25"/>
  <c r="X33" i="25" s="1"/>
  <c r="X2" i="25"/>
  <c r="X3" i="26"/>
  <c r="X2" i="26"/>
  <c r="X2" i="27"/>
  <c r="Z117" i="28"/>
  <c r="Z95" i="28"/>
  <c r="Z2" i="28"/>
  <c r="A50" i="72" s="1"/>
  <c r="B50" i="72" s="1"/>
  <c r="Z34" i="24"/>
  <c r="Z26" i="24"/>
  <c r="Z5" i="24"/>
  <c r="Z102" i="24" s="1"/>
  <c r="Z106" i="23"/>
  <c r="Z2" i="23"/>
  <c r="Z37" i="25"/>
  <c r="Z35" i="25"/>
  <c r="Z31" i="25"/>
  <c r="Z40" i="25" s="1"/>
  <c r="Z27" i="25"/>
  <c r="Z17" i="25"/>
  <c r="Z15" i="25"/>
  <c r="Z29" i="25" s="1"/>
  <c r="Z2" i="25"/>
  <c r="Z3" i="26"/>
  <c r="Z2" i="26"/>
  <c r="Z2" i="27"/>
  <c r="AD117" i="28"/>
  <c r="AD95" i="28"/>
  <c r="AD2" i="28"/>
  <c r="A49" i="72" s="1"/>
  <c r="B49" i="72" s="1"/>
  <c r="AD106" i="23"/>
  <c r="AD2" i="23"/>
  <c r="AD37" i="25"/>
  <c r="AD35" i="25"/>
  <c r="AD31" i="25"/>
  <c r="AD40" i="25" s="1"/>
  <c r="AD27" i="25"/>
  <c r="AD17" i="25"/>
  <c r="AD15" i="25"/>
  <c r="AD33" i="25" s="1"/>
  <c r="AD2" i="25"/>
  <c r="AD3" i="26"/>
  <c r="AD2" i="26"/>
  <c r="AD2" i="27"/>
  <c r="AD34" i="24"/>
  <c r="AD26" i="24"/>
  <c r="AD60" i="24" s="1"/>
  <c r="AD5" i="24"/>
  <c r="AD102" i="24" s="1"/>
  <c r="AK5" i="28"/>
  <c r="C36" i="13"/>
  <c r="M35" i="13"/>
  <c r="AC117" i="28"/>
  <c r="AB117" i="28"/>
  <c r="AC95" i="28"/>
  <c r="AB95" i="28"/>
  <c r="AC2" i="28"/>
  <c r="A52" i="72" s="1"/>
  <c r="B52" i="72" s="1"/>
  <c r="AB2" i="28"/>
  <c r="A51" i="72" s="1"/>
  <c r="B51" i="72" s="1"/>
  <c r="AC106" i="23"/>
  <c r="AB106" i="23"/>
  <c r="AC2" i="23"/>
  <c r="AB2" i="23"/>
  <c r="AC37" i="25"/>
  <c r="AB37" i="25"/>
  <c r="AC35" i="25"/>
  <c r="AB35" i="25"/>
  <c r="AC31" i="25"/>
  <c r="AC40" i="25" s="1"/>
  <c r="AB31" i="25"/>
  <c r="AB40" i="25" s="1"/>
  <c r="AC27" i="25"/>
  <c r="AB27" i="25"/>
  <c r="AC17" i="25"/>
  <c r="AB17" i="25"/>
  <c r="AC15" i="25"/>
  <c r="AC29" i="25" s="1"/>
  <c r="AB15" i="25"/>
  <c r="AB33" i="25" s="1"/>
  <c r="AC2" i="25"/>
  <c r="AB2" i="25"/>
  <c r="AC3" i="26"/>
  <c r="AB3" i="26"/>
  <c r="AC2" i="26"/>
  <c r="AB2" i="26"/>
  <c r="AC2" i="27"/>
  <c r="AB2" i="27"/>
  <c r="AC34" i="24"/>
  <c r="AB34" i="24"/>
  <c r="AC26" i="24"/>
  <c r="AC108" i="24" s="1"/>
  <c r="AB26" i="24"/>
  <c r="AB108" i="24" s="1"/>
  <c r="AC5" i="24"/>
  <c r="AC85" i="24" s="1"/>
  <c r="AB5" i="24"/>
  <c r="AB85" i="24" s="1"/>
  <c r="I2" i="27"/>
  <c r="I3" i="26"/>
  <c r="I2" i="26"/>
  <c r="I37" i="25"/>
  <c r="I35" i="25"/>
  <c r="I31" i="25"/>
  <c r="I40" i="25" s="1"/>
  <c r="I27" i="25"/>
  <c r="I17" i="25"/>
  <c r="I15" i="25"/>
  <c r="I29" i="25" s="1"/>
  <c r="I2" i="25"/>
  <c r="I106" i="23"/>
  <c r="I29" i="23"/>
  <c r="I28" i="23"/>
  <c r="I27" i="23"/>
  <c r="I26" i="23"/>
  <c r="I25" i="23"/>
  <c r="I24" i="23"/>
  <c r="I23" i="23"/>
  <c r="I22" i="23"/>
  <c r="I21" i="23"/>
  <c r="I20" i="23"/>
  <c r="I72" i="23" s="1"/>
  <c r="I2" i="23"/>
  <c r="I26" i="24"/>
  <c r="I108" i="24" s="1"/>
  <c r="I5" i="24"/>
  <c r="I59" i="24" s="1"/>
  <c r="I117" i="28"/>
  <c r="I95" i="28"/>
  <c r="I2" i="28"/>
  <c r="K117" i="28"/>
  <c r="K95" i="28"/>
  <c r="EY14" i="26"/>
  <c r="EU13" i="26"/>
  <c r="M51" i="70"/>
  <c r="AE34" i="24"/>
  <c r="AA34" i="24"/>
  <c r="AA117" i="28"/>
  <c r="AA95" i="28"/>
  <c r="AA26" i="24"/>
  <c r="AA60" i="24" s="1"/>
  <c r="AA5" i="24"/>
  <c r="AA85" i="24" s="1"/>
  <c r="AA37" i="25"/>
  <c r="AA35" i="25"/>
  <c r="AA31" i="25"/>
  <c r="AA40" i="25" s="1"/>
  <c r="AA27" i="25"/>
  <c r="AA17" i="25"/>
  <c r="AA15" i="25"/>
  <c r="AA33" i="25" s="1"/>
  <c r="AA3" i="26"/>
  <c r="AF3" i="26"/>
  <c r="AA2" i="28"/>
  <c r="A53" i="72" s="1"/>
  <c r="B53" i="72" s="1"/>
  <c r="AA106" i="23"/>
  <c r="AA2" i="23"/>
  <c r="AA2" i="25"/>
  <c r="AA2" i="26"/>
  <c r="AA2" i="27"/>
  <c r="E36" i="13" l="1"/>
  <c r="DS99" i="24"/>
  <c r="B13" i="70"/>
  <c r="B5" i="70"/>
  <c r="Y22" i="25"/>
  <c r="Y23" i="25"/>
  <c r="Y24" i="25"/>
  <c r="Y54" i="24"/>
  <c r="Y108" i="24"/>
  <c r="Y37" i="24"/>
  <c r="Y85" i="24"/>
  <c r="Y107" i="24"/>
  <c r="Y59" i="24"/>
  <c r="Y25" i="25"/>
  <c r="Y20" i="25"/>
  <c r="Y29" i="25"/>
  <c r="X24" i="25"/>
  <c r="X107" i="24"/>
  <c r="X54" i="24"/>
  <c r="X108" i="24"/>
  <c r="X37" i="24"/>
  <c r="X85" i="24"/>
  <c r="X59" i="24"/>
  <c r="X25" i="25"/>
  <c r="X20" i="25"/>
  <c r="X29" i="25"/>
  <c r="X21" i="25"/>
  <c r="X22" i="25"/>
  <c r="Z108" i="24"/>
  <c r="Z59" i="24"/>
  <c r="Z107" i="24"/>
  <c r="Z60" i="24"/>
  <c r="Z85" i="24"/>
  <c r="Z37" i="24"/>
  <c r="Z54" i="24"/>
  <c r="Z33" i="25"/>
  <c r="I60" i="24"/>
  <c r="AB29" i="25"/>
  <c r="AD29" i="25"/>
  <c r="AD85" i="24"/>
  <c r="AD107" i="24"/>
  <c r="AD54" i="24"/>
  <c r="AD108" i="24"/>
  <c r="AC33" i="25"/>
  <c r="AD37" i="24"/>
  <c r="AD59" i="24"/>
  <c r="AB59" i="24"/>
  <c r="AB107" i="24"/>
  <c r="AB99" i="24"/>
  <c r="AC99" i="24"/>
  <c r="AC59" i="24"/>
  <c r="AC107" i="24"/>
  <c r="AB54" i="24"/>
  <c r="AB60" i="24"/>
  <c r="AB102" i="24"/>
  <c r="AC54" i="24"/>
  <c r="AC60" i="24"/>
  <c r="AC102" i="24"/>
  <c r="AB37" i="24"/>
  <c r="AC37" i="24"/>
  <c r="I33" i="25"/>
  <c r="I102" i="24"/>
  <c r="I85" i="24"/>
  <c r="I54" i="24"/>
  <c r="I107" i="24"/>
  <c r="I37" i="24"/>
  <c r="AA102" i="24"/>
  <c r="AA107" i="24"/>
  <c r="AA37" i="24"/>
  <c r="AA59" i="24"/>
  <c r="AA54" i="24"/>
  <c r="AA108" i="24"/>
  <c r="AA99" i="24"/>
  <c r="AA29" i="25"/>
  <c r="P14" i="31"/>
  <c r="K14" i="31"/>
  <c r="M13" i="31"/>
  <c r="N14" i="31" s="1"/>
  <c r="K15" i="31"/>
  <c r="O15" i="31"/>
  <c r="O16" i="31" s="1"/>
  <c r="Y99" i="24" l="1"/>
  <c r="X99" i="24"/>
  <c r="Z99" i="24"/>
  <c r="AD99" i="24"/>
  <c r="I99" i="24"/>
  <c r="K16" i="31"/>
  <c r="P16" i="31" s="1"/>
  <c r="B53" i="70"/>
  <c r="B54" i="70" s="1"/>
  <c r="B47" i="70"/>
  <c r="AN34" i="24" l="1"/>
  <c r="AJ34" i="24"/>
  <c r="X60" i="38"/>
  <c r="Y60" i="38" s="1"/>
  <c r="Z60" i="38" s="1"/>
  <c r="AA60" i="38" s="1"/>
  <c r="AB60" i="38" s="1"/>
  <c r="AC60" i="38" s="1"/>
  <c r="W60" i="38"/>
  <c r="V60" i="38"/>
  <c r="U60" i="38"/>
  <c r="T60" i="38"/>
  <c r="G76" i="32"/>
  <c r="F96" i="32" s="1"/>
  <c r="K32" i="37" s="1"/>
  <c r="G75" i="32"/>
  <c r="E96" i="32" s="1"/>
  <c r="J32" i="37" s="1"/>
  <c r="L41" i="10"/>
  <c r="L38" i="10" s="1"/>
  <c r="B10" i="70"/>
  <c r="E54" i="10"/>
  <c r="E55" i="10"/>
  <c r="F45" i="10"/>
  <c r="F46" i="10" s="1"/>
  <c r="F47" i="10" s="1"/>
  <c r="F50" i="10" s="1"/>
  <c r="F51" i="10" s="1"/>
  <c r="J56" i="70"/>
  <c r="K56" i="70"/>
  <c r="I56" i="70"/>
  <c r="H56" i="70"/>
  <c r="B18" i="70"/>
  <c r="C51" i="70"/>
  <c r="A51" i="70"/>
  <c r="A50" i="10"/>
  <c r="A54" i="70"/>
  <c r="A55" i="70" s="1"/>
  <c r="N56" i="70" s="1"/>
  <c r="C53" i="70"/>
  <c r="J20" i="10"/>
  <c r="J19" i="10"/>
  <c r="J18" i="10"/>
  <c r="J16" i="10"/>
  <c r="AE26" i="24"/>
  <c r="AE60" i="24" s="1"/>
  <c r="AE5" i="24"/>
  <c r="AE102" i="24" s="1"/>
  <c r="AE106" i="23"/>
  <c r="AE2" i="23"/>
  <c r="AE31" i="25"/>
  <c r="AE27" i="25"/>
  <c r="AE17" i="25"/>
  <c r="AE15" i="25"/>
  <c r="AE33" i="25" s="1"/>
  <c r="AE2" i="25"/>
  <c r="AE3" i="26"/>
  <c r="AE2" i="26"/>
  <c r="AE2" i="27"/>
  <c r="AE117" i="28"/>
  <c r="AE95" i="28"/>
  <c r="AE2" i="28"/>
  <c r="F36" i="10"/>
  <c r="F39" i="10" s="1"/>
  <c r="F55" i="10"/>
  <c r="F54" i="10"/>
  <c r="K84" i="10"/>
  <c r="J29" i="10"/>
  <c r="L28" i="10"/>
  <c r="L29" i="10"/>
  <c r="L25" i="10"/>
  <c r="J26" i="10"/>
  <c r="H60" i="10"/>
  <c r="C24" i="10"/>
  <c r="W4" i="25" s="1"/>
  <c r="F80" i="32" s="1"/>
  <c r="F83" i="32" s="1"/>
  <c r="E105" i="32" s="1"/>
  <c r="E6" i="37" s="1"/>
  <c r="J24" i="10"/>
  <c r="L23" i="10"/>
  <c r="J3" i="10"/>
  <c r="J14" i="10"/>
  <c r="J13" i="10"/>
  <c r="J12" i="10"/>
  <c r="J11" i="10"/>
  <c r="J10" i="10"/>
  <c r="J9" i="10"/>
  <c r="K8" i="10"/>
  <c r="K7" i="10"/>
  <c r="K6" i="10"/>
  <c r="J6" i="10"/>
  <c r="J5" i="10"/>
  <c r="L7" i="10"/>
  <c r="L8" i="10"/>
  <c r="M60" i="10"/>
  <c r="M59" i="10"/>
  <c r="K59" i="10" s="1"/>
  <c r="E60" i="10"/>
  <c r="F60" i="10"/>
  <c r="A60" i="10"/>
  <c r="A84" i="10" s="1"/>
  <c r="L10" i="10"/>
  <c r="L11" i="10"/>
  <c r="L4" i="10"/>
  <c r="A35" i="10"/>
  <c r="A46" i="10" s="1"/>
  <c r="D35" i="10"/>
  <c r="I39" i="10"/>
  <c r="C39" i="10" s="1"/>
  <c r="E39" i="10" s="1"/>
  <c r="A49" i="10"/>
  <c r="A47" i="10"/>
  <c r="A45" i="10"/>
  <c r="F38" i="10"/>
  <c r="E38" i="10"/>
  <c r="E41" i="10"/>
  <c r="K34" i="10"/>
  <c r="A38" i="70"/>
  <c r="C45" i="70"/>
  <c r="C44" i="70"/>
  <c r="B21" i="70"/>
  <c r="D70" i="61" l="1"/>
  <c r="A47" i="72"/>
  <c r="B47" i="72" s="1"/>
  <c r="B56" i="70"/>
  <c r="B51" i="70" s="1"/>
  <c r="E48" i="10"/>
  <c r="F52" i="10"/>
  <c r="F49" i="10" s="1"/>
  <c r="F48" i="10"/>
  <c r="AD4" i="28"/>
  <c r="AD8" i="25" s="1"/>
  <c r="X4" i="28"/>
  <c r="X8" i="25" s="1"/>
  <c r="Z4" i="28"/>
  <c r="Z8" i="25" s="1"/>
  <c r="Y4" i="28"/>
  <c r="Y8" i="25" s="1"/>
  <c r="G68" i="32"/>
  <c r="B96" i="32" s="1"/>
  <c r="G32" i="37" s="1"/>
  <c r="B7" i="37" s="1"/>
  <c r="E49" i="10"/>
  <c r="E52" i="10"/>
  <c r="AC4" i="28"/>
  <c r="AC8" i="25" s="1"/>
  <c r="AB4" i="28"/>
  <c r="AB8" i="25" s="1"/>
  <c r="AA4" i="28"/>
  <c r="AE4" i="28"/>
  <c r="B12" i="70"/>
  <c r="B48" i="70"/>
  <c r="B49" i="70" s="1"/>
  <c r="B50" i="70" s="1"/>
  <c r="L6" i="10"/>
  <c r="K60" i="10"/>
  <c r="AE85" i="24"/>
  <c r="AE29" i="25"/>
  <c r="AE107" i="24"/>
  <c r="AE54" i="24"/>
  <c r="AE108" i="24"/>
  <c r="AE37" i="24"/>
  <c r="AE59" i="24"/>
  <c r="L24" i="10"/>
  <c r="L26" i="10" s="1"/>
  <c r="Z21" i="28" l="1"/>
  <c r="Y21" i="28"/>
  <c r="Y8" i="26" s="1"/>
  <c r="AC21" i="28"/>
  <c r="AC8" i="26" s="1"/>
  <c r="AB21" i="28"/>
  <c r="AB8" i="26" s="1"/>
  <c r="AE21" i="28"/>
  <c r="AD21" i="28" s="1"/>
  <c r="AD8" i="26" s="1"/>
  <c r="AA21" i="28"/>
  <c r="AA8" i="26" s="1"/>
  <c r="AB20" i="28"/>
  <c r="AB7" i="26" s="1"/>
  <c r="AA20" i="28"/>
  <c r="AA7" i="26" s="1"/>
  <c r="AD20" i="28"/>
  <c r="AE20" i="28"/>
  <c r="Z20" i="28" s="1"/>
  <c r="Z7" i="26" s="1"/>
  <c r="Y20" i="28"/>
  <c r="Y7" i="26" s="1"/>
  <c r="AC20" i="28"/>
  <c r="AC7" i="26" s="1"/>
  <c r="B52" i="70"/>
  <c r="X11" i="28"/>
  <c r="X4" i="24" s="1"/>
  <c r="AD11" i="28"/>
  <c r="AD4" i="24" s="1"/>
  <c r="Y11" i="28"/>
  <c r="Y4" i="24" s="1"/>
  <c r="Z11" i="28"/>
  <c r="Z4" i="24" s="1"/>
  <c r="AE8" i="25"/>
  <c r="G69" i="32"/>
  <c r="C96" i="32" s="1"/>
  <c r="H32" i="37" s="1"/>
  <c r="AC11" i="28"/>
  <c r="AC4" i="24" s="1"/>
  <c r="AB11" i="28"/>
  <c r="AB4" i="24" s="1"/>
  <c r="AA8" i="25"/>
  <c r="AE4" i="25"/>
  <c r="G80" i="32" s="1"/>
  <c r="G83" i="32" s="1"/>
  <c r="E106" i="32" s="1"/>
  <c r="E7" i="37" s="1"/>
  <c r="AA11" i="28"/>
  <c r="AE11" i="28"/>
  <c r="L9" i="10"/>
  <c r="L12" i="10"/>
  <c r="AE99" i="24"/>
  <c r="B63" i="69"/>
  <c r="B62" i="69"/>
  <c r="B61" i="69"/>
  <c r="B60" i="69"/>
  <c r="B59" i="69"/>
  <c r="B48" i="69"/>
  <c r="B47" i="69"/>
  <c r="B46" i="69"/>
  <c r="B45" i="69"/>
  <c r="B44" i="69"/>
  <c r="C12" i="69"/>
  <c r="AN11" i="28"/>
  <c r="AL11" i="28"/>
  <c r="B59" i="64"/>
  <c r="B60" i="64"/>
  <c r="B61" i="64"/>
  <c r="B62" i="64"/>
  <c r="B63" i="64"/>
  <c r="B44" i="64"/>
  <c r="B45" i="64"/>
  <c r="B46" i="64"/>
  <c r="B47" i="64"/>
  <c r="B48" i="64"/>
  <c r="Z8" i="26" l="1"/>
  <c r="X21" i="28"/>
  <c r="X8" i="26" s="1"/>
  <c r="AN20" i="28"/>
  <c r="AD7" i="26"/>
  <c r="X20" i="28"/>
  <c r="X7" i="26" s="1"/>
  <c r="Y4" i="25"/>
  <c r="Y36" i="25" s="1"/>
  <c r="Y38" i="25" s="1"/>
  <c r="AD4" i="25"/>
  <c r="AD36" i="25" s="1"/>
  <c r="AD38" i="25" s="1"/>
  <c r="X4" i="25"/>
  <c r="X36" i="25" s="1"/>
  <c r="X38" i="25" s="1"/>
  <c r="Z4" i="25"/>
  <c r="Z36" i="25" s="1"/>
  <c r="Z38" i="25" s="1"/>
  <c r="E44" i="38"/>
  <c r="E44" i="36"/>
  <c r="E44" i="39"/>
  <c r="AC4" i="25"/>
  <c r="AC36" i="25" s="1"/>
  <c r="AC38" i="25" s="1"/>
  <c r="AB4" i="25"/>
  <c r="AB36" i="25" s="1"/>
  <c r="AB38" i="25" s="1"/>
  <c r="AA4" i="24"/>
  <c r="AA4" i="25"/>
  <c r="AA36" i="25" s="1"/>
  <c r="AA38" i="25" s="1"/>
  <c r="G78" i="32"/>
  <c r="AN21" i="28"/>
  <c r="L13" i="10"/>
  <c r="L14" i="10" s="1"/>
  <c r="W20" i="28"/>
  <c r="G77" i="32"/>
  <c r="AE4" i="24"/>
  <c r="G74" i="32"/>
  <c r="D106" i="32" s="1"/>
  <c r="D7" i="37" s="1"/>
  <c r="L5" i="10"/>
  <c r="C12" i="64"/>
  <c r="C12" i="60"/>
  <c r="W60" i="39"/>
  <c r="V60" i="39"/>
  <c r="U60" i="39"/>
  <c r="T60" i="39"/>
  <c r="S60" i="39"/>
  <c r="X60" i="39"/>
  <c r="V60" i="32"/>
  <c r="U60" i="32"/>
  <c r="T60" i="32"/>
  <c r="W60" i="32"/>
  <c r="V78" i="32"/>
  <c r="U78" i="32"/>
  <c r="T78" i="32"/>
  <c r="AF78" i="32"/>
  <c r="AG78" i="32"/>
  <c r="S60" i="36"/>
  <c r="U60" i="36" s="1"/>
  <c r="W60" i="36"/>
  <c r="S78" i="32"/>
  <c r="J52" i="31"/>
  <c r="J51" i="31"/>
  <c r="J50" i="31"/>
  <c r="J49" i="31"/>
  <c r="P48" i="31"/>
  <c r="T15" i="14"/>
  <c r="T10" i="14"/>
  <c r="T19" i="14"/>
  <c r="T14" i="14"/>
  <c r="T17" i="14"/>
  <c r="T16" i="14"/>
  <c r="T9" i="14"/>
  <c r="DJ26" i="24"/>
  <c r="DJ108" i="24" s="1"/>
  <c r="DI26" i="24"/>
  <c r="DI108" i="24" s="1"/>
  <c r="DH26" i="24"/>
  <c r="DF26" i="24"/>
  <c r="DF108" i="24" s="1"/>
  <c r="DE26" i="24"/>
  <c r="DE60" i="24" s="1"/>
  <c r="DE4" i="24"/>
  <c r="DJ106" i="23"/>
  <c r="DI106" i="23"/>
  <c r="DH106" i="23"/>
  <c r="DF106" i="23"/>
  <c r="DE106" i="23"/>
  <c r="DJ2" i="23"/>
  <c r="DI2" i="23"/>
  <c r="DH2" i="23"/>
  <c r="DF2" i="23"/>
  <c r="DE2" i="23"/>
  <c r="DJ36" i="25"/>
  <c r="DF36" i="25"/>
  <c r="DE36" i="25"/>
  <c r="DJ31" i="25"/>
  <c r="DI31" i="25"/>
  <c r="DH31" i="25"/>
  <c r="DJ27" i="25"/>
  <c r="DI27" i="25"/>
  <c r="DH27" i="25"/>
  <c r="DJ17" i="25"/>
  <c r="DI17" i="25"/>
  <c r="DH17" i="25"/>
  <c r="DF17" i="25"/>
  <c r="DE17" i="25"/>
  <c r="DJ15" i="25"/>
  <c r="DI15" i="25"/>
  <c r="DI33" i="25" s="1"/>
  <c r="DH15" i="25"/>
  <c r="DF15" i="25"/>
  <c r="DE15" i="25"/>
  <c r="DJ2" i="25"/>
  <c r="DI2" i="25"/>
  <c r="DH2" i="25"/>
  <c r="DF2" i="25"/>
  <c r="DE2" i="25"/>
  <c r="DJ8" i="26"/>
  <c r="DI8" i="26"/>
  <c r="DH8" i="26"/>
  <c r="DF8" i="26"/>
  <c r="DE8" i="26"/>
  <c r="DJ2" i="26"/>
  <c r="DI2" i="26"/>
  <c r="DH2" i="26"/>
  <c r="DF2" i="26"/>
  <c r="DE2" i="26"/>
  <c r="DJ7" i="27"/>
  <c r="DJ8" i="27" s="1"/>
  <c r="DI7" i="27"/>
  <c r="DI8" i="27" s="1"/>
  <c r="DH7" i="27"/>
  <c r="DH8" i="27" s="1"/>
  <c r="DF7" i="27"/>
  <c r="DF8" i="27" s="1"/>
  <c r="DE7" i="27"/>
  <c r="DE8" i="27" s="1"/>
  <c r="DJ6" i="27"/>
  <c r="DJ16" i="27" s="1"/>
  <c r="DI6" i="27"/>
  <c r="DH6" i="27"/>
  <c r="DH17" i="27" s="1"/>
  <c r="DF6" i="27"/>
  <c r="DE6" i="27"/>
  <c r="DE16" i="27" s="1"/>
  <c r="DJ5" i="27"/>
  <c r="DI5" i="27"/>
  <c r="DH5" i="27"/>
  <c r="DF5" i="27"/>
  <c r="DE5" i="27"/>
  <c r="DJ2" i="27"/>
  <c r="DI2" i="27"/>
  <c r="DH2" i="27"/>
  <c r="DF2" i="27"/>
  <c r="DE2" i="27"/>
  <c r="DJ117" i="28"/>
  <c r="DI117" i="28"/>
  <c r="DH117" i="28"/>
  <c r="DF117" i="28"/>
  <c r="DE117" i="28"/>
  <c r="DJ95" i="28"/>
  <c r="DI95" i="28"/>
  <c r="DH95" i="28"/>
  <c r="DF95" i="28"/>
  <c r="DE95" i="28"/>
  <c r="DJ5" i="28"/>
  <c r="DJ9" i="25" s="1"/>
  <c r="DI5" i="28"/>
  <c r="DI9" i="25" s="1"/>
  <c r="DH5" i="28"/>
  <c r="DH9" i="25" s="1"/>
  <c r="DH11" i="25" s="1"/>
  <c r="DH5" i="26" s="1"/>
  <c r="DF5" i="28"/>
  <c r="DF6" i="28" s="1"/>
  <c r="DE5" i="28"/>
  <c r="DJ2" i="28"/>
  <c r="DJ19" i="28" s="1"/>
  <c r="DI2" i="28"/>
  <c r="DI19" i="28" s="1"/>
  <c r="DH2" i="28"/>
  <c r="DH19" i="28" s="1"/>
  <c r="DF2" i="28"/>
  <c r="DF19" i="28" s="1"/>
  <c r="DE2" i="28"/>
  <c r="DE19" i="28" s="1"/>
  <c r="D41" i="31"/>
  <c r="U46" i="31"/>
  <c r="U45" i="31"/>
  <c r="U44" i="31"/>
  <c r="U43" i="31"/>
  <c r="P42" i="31" s="1"/>
  <c r="O42" i="31" s="1"/>
  <c r="P40" i="31"/>
  <c r="P57" i="31" s="1"/>
  <c r="U59" i="31"/>
  <c r="T59" i="31"/>
  <c r="S59" i="31"/>
  <c r="V59" i="31"/>
  <c r="O60" i="31"/>
  <c r="D58" i="31"/>
  <c r="CJ11" i="28"/>
  <c r="CJ4" i="24" s="1"/>
  <c r="BK11" i="28"/>
  <c r="CM18" i="24"/>
  <c r="CL18" i="24"/>
  <c r="CM17" i="24"/>
  <c r="CL17" i="24"/>
  <c r="CM16" i="24"/>
  <c r="CL16" i="24"/>
  <c r="CM15" i="24"/>
  <c r="CL15" i="24"/>
  <c r="CM14" i="24"/>
  <c r="CL14" i="24"/>
  <c r="CM13" i="24"/>
  <c r="CL13" i="24"/>
  <c r="CM12" i="24"/>
  <c r="CL12" i="24"/>
  <c r="CM11" i="24"/>
  <c r="CL11" i="24"/>
  <c r="CM10" i="24"/>
  <c r="CL10" i="24"/>
  <c r="CM9" i="24"/>
  <c r="CL9" i="24"/>
  <c r="CM8" i="24"/>
  <c r="CL8" i="24"/>
  <c r="CK18" i="24"/>
  <c r="CK17" i="24"/>
  <c r="CK16" i="24"/>
  <c r="CK15" i="24"/>
  <c r="CK14" i="24"/>
  <c r="CK13" i="24"/>
  <c r="CK12" i="24"/>
  <c r="CK11" i="24"/>
  <c r="CK10" i="24"/>
  <c r="CK9" i="24"/>
  <c r="CK8" i="24"/>
  <c r="CJ18" i="24"/>
  <c r="CI18" i="24"/>
  <c r="CH18" i="24"/>
  <c r="CJ17" i="24"/>
  <c r="CI17" i="24"/>
  <c r="CH17" i="24"/>
  <c r="CJ16" i="24"/>
  <c r="CI16" i="24"/>
  <c r="CH16" i="24"/>
  <c r="CJ15" i="24"/>
  <c r="CI15" i="24"/>
  <c r="CH15" i="24"/>
  <c r="CJ14" i="24"/>
  <c r="CI14" i="24"/>
  <c r="CH14" i="24"/>
  <c r="CJ13" i="24"/>
  <c r="CI13" i="24"/>
  <c r="CH13" i="24"/>
  <c r="CJ12" i="24"/>
  <c r="CI12" i="24"/>
  <c r="CH12" i="24"/>
  <c r="CJ11" i="24"/>
  <c r="CI11" i="24"/>
  <c r="CH11" i="24"/>
  <c r="CJ10" i="24"/>
  <c r="CI10" i="24"/>
  <c r="CH10" i="24"/>
  <c r="CJ9" i="24"/>
  <c r="CI9" i="24"/>
  <c r="CH9" i="24"/>
  <c r="CJ8" i="24"/>
  <c r="CI8" i="24"/>
  <c r="CH8" i="24"/>
  <c r="CM26" i="24"/>
  <c r="CM108" i="24" s="1"/>
  <c r="CL26" i="24"/>
  <c r="CL108" i="24" s="1"/>
  <c r="CK26" i="24"/>
  <c r="CJ26" i="24"/>
  <c r="CI26" i="24"/>
  <c r="CI108" i="24" s="1"/>
  <c r="CH26" i="24"/>
  <c r="CH108" i="24" s="1"/>
  <c r="CH4" i="24"/>
  <c r="CM106" i="23"/>
  <c r="CL106" i="23"/>
  <c r="CK106" i="23"/>
  <c r="CJ106" i="23"/>
  <c r="CI106" i="23"/>
  <c r="CH106" i="23"/>
  <c r="CM36" i="25"/>
  <c r="CI36" i="25"/>
  <c r="CH36" i="25"/>
  <c r="CM31" i="25"/>
  <c r="CL31" i="25"/>
  <c r="CK31" i="25"/>
  <c r="CM27" i="25"/>
  <c r="CL27" i="25"/>
  <c r="CK27" i="25"/>
  <c r="CM17" i="25"/>
  <c r="CL17" i="25"/>
  <c r="CK17" i="25"/>
  <c r="CJ17" i="25"/>
  <c r="CI17" i="25"/>
  <c r="CH17" i="25"/>
  <c r="CM15" i="25"/>
  <c r="CL15" i="25"/>
  <c r="CL33" i="25" s="1"/>
  <c r="CK15" i="25"/>
  <c r="CK29" i="25" s="1"/>
  <c r="CJ15" i="25"/>
  <c r="CJ33" i="25" s="1"/>
  <c r="CI15" i="25"/>
  <c r="CI33" i="25" s="1"/>
  <c r="CH15" i="25"/>
  <c r="CH29" i="25" s="1"/>
  <c r="CM8" i="26"/>
  <c r="CL8" i="26"/>
  <c r="CK8" i="26"/>
  <c r="CJ8" i="26"/>
  <c r="CI8" i="26"/>
  <c r="CH8" i="26"/>
  <c r="CM7" i="27"/>
  <c r="CM8" i="27" s="1"/>
  <c r="CL7" i="27"/>
  <c r="CL8" i="27" s="1"/>
  <c r="CK7" i="27"/>
  <c r="CK8" i="27" s="1"/>
  <c r="CJ7" i="27"/>
  <c r="CJ8" i="27" s="1"/>
  <c r="CI7" i="27"/>
  <c r="CI8" i="27" s="1"/>
  <c r="CH7" i="27"/>
  <c r="CH8" i="27" s="1"/>
  <c r="CM6" i="27"/>
  <c r="CM16" i="27" s="1"/>
  <c r="CL6" i="27"/>
  <c r="CK6" i="27"/>
  <c r="CJ6" i="27"/>
  <c r="CI6" i="27"/>
  <c r="CH6" i="27"/>
  <c r="CH16" i="27" s="1"/>
  <c r="CM5" i="27"/>
  <c r="CL5" i="27"/>
  <c r="CK5" i="27"/>
  <c r="CJ5" i="27"/>
  <c r="CI5" i="27"/>
  <c r="CH5" i="27"/>
  <c r="CM117" i="28"/>
  <c r="CL117" i="28"/>
  <c r="CK117" i="28"/>
  <c r="CJ117" i="28"/>
  <c r="CI117" i="28"/>
  <c r="CH117" i="28"/>
  <c r="CM95" i="28"/>
  <c r="CL95" i="28"/>
  <c r="CK95" i="28"/>
  <c r="CJ95" i="28"/>
  <c r="CI95" i="28"/>
  <c r="CH95" i="28"/>
  <c r="CM5" i="28"/>
  <c r="CM9" i="25" s="1"/>
  <c r="CL5" i="28"/>
  <c r="CL9" i="25" s="1"/>
  <c r="CK5" i="28"/>
  <c r="CK9" i="25" s="1"/>
  <c r="CJ5" i="28"/>
  <c r="CJ9" i="25" s="1"/>
  <c r="CI5" i="28"/>
  <c r="CI9" i="25" s="1"/>
  <c r="CH5" i="28"/>
  <c r="CH6" i="28" s="1"/>
  <c r="CL2" i="24"/>
  <c r="CL2" i="28" s="1"/>
  <c r="CL19" i="28" s="1"/>
  <c r="U76" i="32" s="1"/>
  <c r="CK2" i="24"/>
  <c r="CK2" i="28" s="1"/>
  <c r="CK19" i="28" s="1"/>
  <c r="T76" i="32" s="1"/>
  <c r="CJ2" i="24"/>
  <c r="CJ2" i="25" s="1"/>
  <c r="CI2" i="24"/>
  <c r="CI2" i="23" s="1"/>
  <c r="CH2" i="24"/>
  <c r="CH2" i="28" s="1"/>
  <c r="CH19" i="28" s="1"/>
  <c r="CN2" i="24"/>
  <c r="DH6" i="28" l="1"/>
  <c r="X10" i="28"/>
  <c r="X3" i="24" s="1"/>
  <c r="AD10" i="28"/>
  <c r="AD3" i="24" s="1"/>
  <c r="Y10" i="28"/>
  <c r="Z10" i="28"/>
  <c r="Z3" i="24" s="1"/>
  <c r="AC10" i="28"/>
  <c r="AB10" i="28"/>
  <c r="DI6" i="28"/>
  <c r="DJ6" i="28"/>
  <c r="CJ2" i="28"/>
  <c r="CJ19" i="28" s="1"/>
  <c r="CJ2" i="27"/>
  <c r="CI2" i="27"/>
  <c r="U70" i="32"/>
  <c r="V70" i="32"/>
  <c r="T70" i="32"/>
  <c r="CK6" i="28"/>
  <c r="T71" i="32" s="1"/>
  <c r="CJ6" i="28"/>
  <c r="CL6" i="28"/>
  <c r="U71" i="32" s="1"/>
  <c r="S70" i="32"/>
  <c r="AE10" i="28"/>
  <c r="AA10" i="28"/>
  <c r="P59" i="31"/>
  <c r="V45" i="63"/>
  <c r="V46" i="63" s="1"/>
  <c r="V47" i="63" s="1"/>
  <c r="V48" i="63" s="1"/>
  <c r="V49" i="63" s="1"/>
  <c r="V50" i="63" s="1"/>
  <c r="P50" i="31"/>
  <c r="V51" i="63" s="1"/>
  <c r="V52" i="63" s="1"/>
  <c r="V53" i="63" s="1"/>
  <c r="V54" i="63" s="1"/>
  <c r="V55" i="63" s="1"/>
  <c r="O50" i="31"/>
  <c r="AE11" i="24"/>
  <c r="Y11" i="24" s="1"/>
  <c r="AE17" i="24"/>
  <c r="Y17" i="24" s="1"/>
  <c r="AE18" i="24"/>
  <c r="Y18" i="24" s="1"/>
  <c r="S59" i="64"/>
  <c r="U44" i="36"/>
  <c r="CJ19" i="24"/>
  <c r="T44" i="36"/>
  <c r="T68" i="32"/>
  <c r="U44" i="39"/>
  <c r="V44" i="39"/>
  <c r="U68" i="32"/>
  <c r="U44" i="38"/>
  <c r="V44" i="38"/>
  <c r="T71" i="60"/>
  <c r="T44" i="60" s="1"/>
  <c r="T59" i="69"/>
  <c r="U71" i="60"/>
  <c r="U44" i="60" s="1"/>
  <c r="A51" i="63"/>
  <c r="CK33" i="25"/>
  <c r="CH60" i="24"/>
  <c r="CH62" i="24" s="1"/>
  <c r="CH74" i="24" s="1"/>
  <c r="DF16" i="27"/>
  <c r="DF17" i="27"/>
  <c r="DI18" i="27"/>
  <c r="T60" i="36"/>
  <c r="V60" i="36" s="1"/>
  <c r="A52" i="63"/>
  <c r="D52" i="63" s="1"/>
  <c r="A53" i="63"/>
  <c r="D53" i="63" s="1"/>
  <c r="A54" i="63"/>
  <c r="A55" i="63"/>
  <c r="D55" i="63" s="1"/>
  <c r="CI60" i="24"/>
  <c r="DF60" i="24"/>
  <c r="DI17" i="27"/>
  <c r="CL2" i="26"/>
  <c r="DJ17" i="27"/>
  <c r="DE108" i="24"/>
  <c r="DE110" i="24" s="1"/>
  <c r="DE122" i="24" s="1"/>
  <c r="DH18" i="27"/>
  <c r="CI16" i="27"/>
  <c r="CI19" i="24"/>
  <c r="CI2" i="26"/>
  <c r="CK2" i="23"/>
  <c r="CL16" i="27"/>
  <c r="DH16" i="27"/>
  <c r="DJ18" i="27"/>
  <c r="CH19" i="24"/>
  <c r="DI16" i="27"/>
  <c r="DE9" i="25"/>
  <c r="DE6" i="28"/>
  <c r="DF9" i="25"/>
  <c r="DE17" i="27"/>
  <c r="DI29" i="25"/>
  <c r="DH29" i="25"/>
  <c r="DH33" i="25"/>
  <c r="DI11" i="25"/>
  <c r="DI5" i="26" s="1"/>
  <c r="DE33" i="25"/>
  <c r="DE29" i="25"/>
  <c r="DF29" i="25"/>
  <c r="DF33" i="25"/>
  <c r="DE18" i="27"/>
  <c r="DJ11" i="25"/>
  <c r="DJ5" i="26" s="1"/>
  <c r="DF18" i="27"/>
  <c r="DH108" i="24"/>
  <c r="DH60" i="24"/>
  <c r="DE62" i="24"/>
  <c r="DE74" i="24" s="1"/>
  <c r="DE63" i="24"/>
  <c r="DE75" i="24" s="1"/>
  <c r="DI60" i="24"/>
  <c r="DJ60" i="24"/>
  <c r="CM18" i="27"/>
  <c r="CK2" i="27"/>
  <c r="CH33" i="25"/>
  <c r="CL29" i="25"/>
  <c r="CJ2" i="26"/>
  <c r="CJ16" i="27"/>
  <c r="CK2" i="26"/>
  <c r="CK16" i="27"/>
  <c r="CJ29" i="25"/>
  <c r="CK2" i="25"/>
  <c r="CK19" i="24"/>
  <c r="CK17" i="27"/>
  <c r="CJ2" i="23"/>
  <c r="CL2" i="27"/>
  <c r="CL2" i="25"/>
  <c r="CL17" i="27"/>
  <c r="CI29" i="25"/>
  <c r="CL2" i="23"/>
  <c r="O59" i="31"/>
  <c r="CH16" i="28" s="1"/>
  <c r="CI16" i="28" s="1"/>
  <c r="S75" i="32" s="1"/>
  <c r="Q59" i="31"/>
  <c r="CK11" i="25"/>
  <c r="CK5" i="26" s="1"/>
  <c r="CM6" i="28"/>
  <c r="V71" i="32" s="1"/>
  <c r="CH9" i="25"/>
  <c r="CL11" i="25"/>
  <c r="CL5" i="26" s="1"/>
  <c r="CI11" i="25"/>
  <c r="CI5" i="26" s="1"/>
  <c r="CJ11" i="25"/>
  <c r="CJ5" i="26" s="1"/>
  <c r="CM11" i="25"/>
  <c r="CM5" i="26" s="1"/>
  <c r="CI6" i="28"/>
  <c r="S71" i="32" s="1"/>
  <c r="CM17" i="27"/>
  <c r="CH18" i="27"/>
  <c r="CL19" i="24"/>
  <c r="CI18" i="27"/>
  <c r="CM19" i="24"/>
  <c r="CH110" i="24"/>
  <c r="CH122" i="24" s="1"/>
  <c r="CH111" i="24"/>
  <c r="CH123" i="24" s="1"/>
  <c r="CH17" i="27"/>
  <c r="CJ18" i="27"/>
  <c r="CJ108" i="24"/>
  <c r="CJ60" i="24"/>
  <c r="CI17" i="27"/>
  <c r="CK18" i="27"/>
  <c r="CK108" i="24"/>
  <c r="CK60" i="24"/>
  <c r="CJ17" i="27"/>
  <c r="CL18" i="27"/>
  <c r="CL60" i="24"/>
  <c r="CM60" i="24"/>
  <c r="CI2" i="28"/>
  <c r="CI2" i="25"/>
  <c r="CH2" i="26"/>
  <c r="CH2" i="23"/>
  <c r="CH2" i="27"/>
  <c r="CH2" i="25"/>
  <c r="DD26" i="24"/>
  <c r="DD60" i="24" s="1"/>
  <c r="DC26" i="24"/>
  <c r="DC60" i="24" s="1"/>
  <c r="DB26" i="24"/>
  <c r="DB60" i="24" s="1"/>
  <c r="DA26" i="24"/>
  <c r="DA108" i="24" s="1"/>
  <c r="CZ26" i="24"/>
  <c r="CY26" i="24"/>
  <c r="DD117" i="28"/>
  <c r="DC117" i="28"/>
  <c r="DB117" i="28"/>
  <c r="DA117" i="28"/>
  <c r="CZ117" i="28"/>
  <c r="CY117" i="28"/>
  <c r="DD95" i="28"/>
  <c r="DC95" i="28"/>
  <c r="DB95" i="28"/>
  <c r="DA95" i="28"/>
  <c r="CZ95" i="28"/>
  <c r="CY95" i="28"/>
  <c r="J44" i="31"/>
  <c r="J61" i="31" s="1"/>
  <c r="J43" i="31"/>
  <c r="J60" i="31" s="1"/>
  <c r="J42" i="31"/>
  <c r="J59" i="31" s="1"/>
  <c r="J41" i="31"/>
  <c r="J58" i="31" s="1"/>
  <c r="D40" i="31"/>
  <c r="B41" i="31"/>
  <c r="DD5" i="28"/>
  <c r="DD6" i="28" s="1"/>
  <c r="DC5" i="28"/>
  <c r="DC6" i="28" s="1"/>
  <c r="DB5" i="28"/>
  <c r="DB6" i="28" s="1"/>
  <c r="DA5" i="28"/>
  <c r="DA6" i="28" s="1"/>
  <c r="CZ5" i="28"/>
  <c r="CZ6" i="28" s="1"/>
  <c r="CY5" i="28"/>
  <c r="CY6" i="28" s="1"/>
  <c r="DD18" i="24"/>
  <c r="DC18" i="24"/>
  <c r="DB18" i="24"/>
  <c r="DA18" i="24"/>
  <c r="CZ18" i="24"/>
  <c r="CY18" i="24"/>
  <c r="DD17" i="24"/>
  <c r="DC17" i="24"/>
  <c r="DB17" i="24"/>
  <c r="DA17" i="24"/>
  <c r="CZ17" i="24"/>
  <c r="CY17" i="24"/>
  <c r="DD16" i="24"/>
  <c r="DC16" i="24"/>
  <c r="DB16" i="24"/>
  <c r="DA16" i="24"/>
  <c r="CZ16" i="24"/>
  <c r="CY16" i="24"/>
  <c r="DD15" i="24"/>
  <c r="DC15" i="24"/>
  <c r="DB15" i="24"/>
  <c r="DA15" i="24"/>
  <c r="CZ15" i="24"/>
  <c r="CY15" i="24"/>
  <c r="DD14" i="24"/>
  <c r="DC14" i="24"/>
  <c r="DB14" i="24"/>
  <c r="DA14" i="24"/>
  <c r="CZ14" i="24"/>
  <c r="CY14" i="24"/>
  <c r="DD13" i="24"/>
  <c r="DC13" i="24"/>
  <c r="DB13" i="24"/>
  <c r="DA13" i="24"/>
  <c r="CZ13" i="24"/>
  <c r="CY13" i="24"/>
  <c r="DD12" i="24"/>
  <c r="DC12" i="24"/>
  <c r="DB12" i="24"/>
  <c r="DA12" i="24"/>
  <c r="CZ12" i="24"/>
  <c r="CY12" i="24"/>
  <c r="DD11" i="24"/>
  <c r="DC11" i="24"/>
  <c r="DB11" i="24"/>
  <c r="DA11" i="24"/>
  <c r="CZ11" i="24"/>
  <c r="CY11" i="24"/>
  <c r="DD10" i="24"/>
  <c r="DC10" i="24"/>
  <c r="DB10" i="24"/>
  <c r="DA10" i="24"/>
  <c r="CZ10" i="24"/>
  <c r="CY10" i="24"/>
  <c r="DD9" i="24"/>
  <c r="DC9" i="24"/>
  <c r="DB9" i="24"/>
  <c r="DA9" i="24"/>
  <c r="CZ9" i="24"/>
  <c r="CY9" i="24"/>
  <c r="DD8" i="24"/>
  <c r="DC8" i="24"/>
  <c r="DB8" i="24"/>
  <c r="DA8" i="24"/>
  <c r="CZ8" i="24"/>
  <c r="CY8" i="24"/>
  <c r="CY4" i="24"/>
  <c r="DD106" i="23"/>
  <c r="DC106" i="23"/>
  <c r="DB106" i="23"/>
  <c r="DA106" i="23"/>
  <c r="CZ106" i="23"/>
  <c r="CY106" i="23"/>
  <c r="DD36" i="25"/>
  <c r="CZ36" i="25"/>
  <c r="CY36" i="25"/>
  <c r="DD31" i="25"/>
  <c r="DC31" i="25"/>
  <c r="DB31" i="25"/>
  <c r="DD27" i="25"/>
  <c r="DC27" i="25"/>
  <c r="DB27" i="25"/>
  <c r="DD17" i="25"/>
  <c r="DC17" i="25"/>
  <c r="DB17" i="25"/>
  <c r="DA17" i="25"/>
  <c r="CZ17" i="25"/>
  <c r="CY17" i="25"/>
  <c r="DD15" i="25"/>
  <c r="DC15" i="25"/>
  <c r="DC33" i="25" s="1"/>
  <c r="DB15" i="25"/>
  <c r="DB29" i="25" s="1"/>
  <c r="DA15" i="25"/>
  <c r="DA33" i="25" s="1"/>
  <c r="CZ15" i="25"/>
  <c r="CY15" i="25"/>
  <c r="CY29" i="25" s="1"/>
  <c r="DC9" i="25"/>
  <c r="DC11" i="25" s="1"/>
  <c r="DC5" i="26" s="1"/>
  <c r="DA9" i="25"/>
  <c r="DD8" i="26"/>
  <c r="DC8" i="26"/>
  <c r="DB8" i="26"/>
  <c r="DA8" i="26"/>
  <c r="CZ8" i="26"/>
  <c r="CY8" i="26"/>
  <c r="DD7" i="27"/>
  <c r="DD8" i="27" s="1"/>
  <c r="DC7" i="27"/>
  <c r="DC8" i="27" s="1"/>
  <c r="DB7" i="27"/>
  <c r="DB8" i="27" s="1"/>
  <c r="DA7" i="27"/>
  <c r="DA8" i="27" s="1"/>
  <c r="CZ7" i="27"/>
  <c r="CZ8" i="27" s="1"/>
  <c r="CY7" i="27"/>
  <c r="CY8" i="27" s="1"/>
  <c r="DD6" i="27"/>
  <c r="DD18" i="27" s="1"/>
  <c r="DC6" i="27"/>
  <c r="DB6" i="27"/>
  <c r="DA6" i="27"/>
  <c r="CZ6" i="27"/>
  <c r="CY6" i="27"/>
  <c r="CY16" i="27" s="1"/>
  <c r="DD5" i="27"/>
  <c r="DC5" i="27"/>
  <c r="DB5" i="27"/>
  <c r="DA5" i="27"/>
  <c r="CZ5" i="27"/>
  <c r="CY5" i="27"/>
  <c r="C51" i="63" l="1"/>
  <c r="D51" i="63"/>
  <c r="Y3" i="24"/>
  <c r="X17" i="24"/>
  <c r="X11" i="24"/>
  <c r="X18" i="24"/>
  <c r="Z17" i="24"/>
  <c r="Z11" i="24"/>
  <c r="Z18" i="24"/>
  <c r="AD11" i="24"/>
  <c r="AD18" i="24"/>
  <c r="AD17" i="24"/>
  <c r="AA18" i="24"/>
  <c r="AC18" i="24"/>
  <c r="AB18" i="24"/>
  <c r="AA17" i="24"/>
  <c r="AB17" i="24"/>
  <c r="AC17" i="24"/>
  <c r="AA11" i="24"/>
  <c r="AC11" i="24"/>
  <c r="AB11" i="24"/>
  <c r="AB3" i="24"/>
  <c r="AC3" i="24"/>
  <c r="S71" i="60"/>
  <c r="S44" i="60" s="1"/>
  <c r="T44" i="38"/>
  <c r="T44" i="39"/>
  <c r="CY9" i="25"/>
  <c r="CY11" i="25" s="1"/>
  <c r="CY5" i="26" s="1"/>
  <c r="CH63" i="24"/>
  <c r="CH75" i="24" s="1"/>
  <c r="CZ9" i="25"/>
  <c r="CZ11" i="25" s="1"/>
  <c r="CZ5" i="26" s="1"/>
  <c r="AA3" i="24"/>
  <c r="AE3" i="24"/>
  <c r="B58" i="31"/>
  <c r="B49" i="31"/>
  <c r="D57" i="31"/>
  <c r="D48" i="31"/>
  <c r="S44" i="69"/>
  <c r="T44" i="64"/>
  <c r="R33" i="64" s="1"/>
  <c r="S44" i="64"/>
  <c r="G73" i="32"/>
  <c r="S59" i="69"/>
  <c r="T59" i="64"/>
  <c r="T44" i="69"/>
  <c r="R33" i="69" s="1"/>
  <c r="CI19" i="28"/>
  <c r="S76" i="32" s="1"/>
  <c r="S68" i="32"/>
  <c r="S44" i="36"/>
  <c r="R71" i="60"/>
  <c r="R44" i="60" s="1"/>
  <c r="S44" i="38"/>
  <c r="S44" i="39"/>
  <c r="DE111" i="24"/>
  <c r="DE123" i="24" s="1"/>
  <c r="CL16" i="28"/>
  <c r="U75" i="32" s="1"/>
  <c r="CJ16" i="28"/>
  <c r="CM16" i="28"/>
  <c r="V75" i="32" s="1"/>
  <c r="DF11" i="25"/>
  <c r="DF5" i="26" s="1"/>
  <c r="DH20" i="28"/>
  <c r="DE11" i="25"/>
  <c r="DE5" i="26" s="1"/>
  <c r="DB16" i="27"/>
  <c r="DB108" i="24"/>
  <c r="CK16" i="28"/>
  <c r="T75" i="32" s="1"/>
  <c r="O61" i="31"/>
  <c r="P61" i="31" s="1"/>
  <c r="CH11" i="25"/>
  <c r="CH5" i="26" s="1"/>
  <c r="CZ16" i="27"/>
  <c r="DA16" i="27"/>
  <c r="DB9" i="25"/>
  <c r="DB11" i="25" s="1"/>
  <c r="DB5" i="26" s="1"/>
  <c r="DC17" i="27"/>
  <c r="DA60" i="24"/>
  <c r="DD9" i="25"/>
  <c r="DD11" i="25" s="1"/>
  <c r="DD5" i="26" s="1"/>
  <c r="DB17" i="27"/>
  <c r="CY33" i="25"/>
  <c r="DC108" i="24"/>
  <c r="DD108" i="24"/>
  <c r="DB19" i="24"/>
  <c r="DA29" i="25"/>
  <c r="DA19" i="24"/>
  <c r="CY19" i="24"/>
  <c r="CY108" i="24"/>
  <c r="CY111" i="24" s="1"/>
  <c r="CY123" i="24" s="1"/>
  <c r="CZ108" i="24"/>
  <c r="CY60" i="24"/>
  <c r="CY62" i="24" s="1"/>
  <c r="CZ60" i="24"/>
  <c r="CY16" i="28"/>
  <c r="CZ19" i="24"/>
  <c r="CZ33" i="25"/>
  <c r="CZ29" i="25"/>
  <c r="DD17" i="27"/>
  <c r="DD16" i="27"/>
  <c r="DC16" i="27"/>
  <c r="CY18" i="27"/>
  <c r="DC19" i="24"/>
  <c r="DD19" i="24"/>
  <c r="CY17" i="27"/>
  <c r="DA18" i="27"/>
  <c r="DB33" i="25"/>
  <c r="CZ18" i="27"/>
  <c r="CZ17" i="27"/>
  <c r="DB18" i="27"/>
  <c r="DA17" i="27"/>
  <c r="DC18" i="27"/>
  <c r="DA11" i="25"/>
  <c r="DA5" i="26" s="1"/>
  <c r="DC29" i="25"/>
  <c r="DD2" i="23"/>
  <c r="DC2" i="23"/>
  <c r="DB2" i="23"/>
  <c r="DA2" i="23"/>
  <c r="CZ2" i="23"/>
  <c r="CY2" i="23"/>
  <c r="DD2" i="25"/>
  <c r="DC2" i="25"/>
  <c r="DB2" i="25"/>
  <c r="DA2" i="25"/>
  <c r="CZ2" i="25"/>
  <c r="CY2" i="25"/>
  <c r="DD2" i="26"/>
  <c r="DC2" i="26"/>
  <c r="DB2" i="26"/>
  <c r="DA2" i="26"/>
  <c r="CZ2" i="26"/>
  <c r="CY2" i="26"/>
  <c r="DD2" i="27"/>
  <c r="DC2" i="27"/>
  <c r="DB2" i="27"/>
  <c r="DA2" i="27"/>
  <c r="CZ2" i="27"/>
  <c r="CY2" i="27"/>
  <c r="DD2" i="28"/>
  <c r="DC2" i="28"/>
  <c r="DB2" i="28"/>
  <c r="DA2" i="28"/>
  <c r="CZ2" i="28"/>
  <c r="CY2" i="28"/>
  <c r="DD19" i="28" l="1"/>
  <c r="A50" i="63"/>
  <c r="D50" i="63" s="1"/>
  <c r="CY19" i="28"/>
  <c r="A45" i="63"/>
  <c r="CZ19" i="28"/>
  <c r="A46" i="63"/>
  <c r="D46" i="63" s="1"/>
  <c r="DA19" i="28"/>
  <c r="A47" i="63"/>
  <c r="D47" i="63" s="1"/>
  <c r="DB19" i="28"/>
  <c r="A48" i="63"/>
  <c r="D48" i="63" s="1"/>
  <c r="R44" i="64"/>
  <c r="O33" i="64" s="1"/>
  <c r="R59" i="69"/>
  <c r="R59" i="64"/>
  <c r="R44" i="69"/>
  <c r="O33" i="69" s="1"/>
  <c r="DC19" i="28"/>
  <c r="A49" i="63"/>
  <c r="DH7" i="26"/>
  <c r="DH10" i="26" s="1"/>
  <c r="DI20" i="28"/>
  <c r="CY74" i="24"/>
  <c r="CY63" i="24"/>
  <c r="CY75" i="24" s="1"/>
  <c r="CY110" i="24"/>
  <c r="CY122" i="24" s="1"/>
  <c r="CZ16" i="28"/>
  <c r="DA16" i="28" s="1"/>
  <c r="DB16" i="28" s="1"/>
  <c r="DC16" i="28" s="1"/>
  <c r="DD16" i="28" s="1"/>
  <c r="AO5" i="28"/>
  <c r="D45" i="63" l="1"/>
  <c r="C45" i="63"/>
  <c r="DI7" i="26"/>
  <c r="DI10" i="26" s="1"/>
  <c r="DJ20" i="28"/>
  <c r="R21" i="31"/>
  <c r="B17" i="28"/>
  <c r="DJ7" i="26" l="1"/>
  <c r="DJ10" i="26" s="1"/>
  <c r="U45" i="50" l="1"/>
  <c r="U46" i="50" s="1"/>
  <c r="U47" i="50" s="1"/>
  <c r="U48" i="50" s="1"/>
  <c r="U49" i="50" s="1"/>
  <c r="U50" i="50" s="1"/>
  <c r="U45" i="52"/>
  <c r="U46" i="52" s="1"/>
  <c r="U47" i="52" s="1"/>
  <c r="U48" i="52" s="1"/>
  <c r="U49" i="52" s="1"/>
  <c r="U50" i="52" s="1"/>
  <c r="U45" i="51"/>
  <c r="U46" i="51" s="1"/>
  <c r="U47" i="51" s="1"/>
  <c r="U48" i="51" s="1"/>
  <c r="U49" i="51" s="1"/>
  <c r="U50" i="51" s="1"/>
  <c r="U51" i="51" s="1"/>
  <c r="U52" i="51" s="1"/>
  <c r="U53" i="51" s="1"/>
  <c r="U54" i="51" s="1"/>
  <c r="U55" i="51" s="1"/>
  <c r="U56" i="51" s="1"/>
  <c r="U45" i="48"/>
  <c r="U46" i="48" s="1"/>
  <c r="U47" i="48" s="1"/>
  <c r="U48" i="48" s="1"/>
  <c r="U49" i="48" s="1"/>
  <c r="U50" i="48" s="1"/>
  <c r="U51" i="48" s="1"/>
  <c r="U52" i="48" s="1"/>
  <c r="U53" i="48" s="1"/>
  <c r="U54" i="48" s="1"/>
  <c r="U55" i="48" s="1"/>
  <c r="U56" i="48" s="1"/>
  <c r="Y60" i="39"/>
  <c r="Z60" i="39" s="1"/>
  <c r="AA60" i="39" s="1"/>
  <c r="AB60" i="39" s="1"/>
  <c r="AC60" i="39" s="1"/>
  <c r="X60" i="32"/>
  <c r="Y60" i="32" s="1"/>
  <c r="Z60" i="32" s="1"/>
  <c r="AA60" i="32" s="1"/>
  <c r="X60" i="36"/>
  <c r="Y60" i="36" s="1"/>
  <c r="Z60" i="36" s="1"/>
  <c r="AA60" i="36" s="1"/>
  <c r="AB60" i="36" s="1"/>
  <c r="B60" i="36"/>
  <c r="B60" i="38"/>
  <c r="B60" i="39"/>
  <c r="U44" i="48" l="1"/>
  <c r="V44" i="63"/>
  <c r="R22" i="31"/>
  <c r="U44" i="51"/>
  <c r="U44" i="52"/>
  <c r="U44" i="50"/>
  <c r="M5" i="30"/>
  <c r="M4" i="30"/>
  <c r="G7" i="30"/>
  <c r="K4" i="30" s="1"/>
  <c r="K3" i="30" l="1"/>
  <c r="L4" i="30"/>
  <c r="L5" i="30" s="1"/>
  <c r="C296" i="29"/>
  <c r="C308" i="29"/>
  <c r="C198" i="29"/>
  <c r="C205" i="29"/>
  <c r="C174" i="29"/>
  <c r="E63" i="29"/>
  <c r="C13" i="29"/>
  <c r="C5" i="29" s="1"/>
  <c r="C41" i="14"/>
  <c r="W21" i="28"/>
  <c r="W9" i="14"/>
  <c r="N56" i="61"/>
  <c r="M56" i="61" s="1"/>
  <c r="L56" i="61" s="1"/>
  <c r="K56" i="61" s="1"/>
  <c r="B54" i="61"/>
  <c r="B110" i="61"/>
  <c r="C106" i="61"/>
  <c r="B106" i="61"/>
  <c r="D105" i="61"/>
  <c r="B105" i="61"/>
  <c r="C104" i="61"/>
  <c r="B104" i="61"/>
  <c r="D103" i="61"/>
  <c r="B103" i="61"/>
  <c r="D102" i="61"/>
  <c r="D101" i="61"/>
  <c r="C12" i="61"/>
  <c r="B111" i="60"/>
  <c r="C107" i="60"/>
  <c r="B107" i="60"/>
  <c r="D106" i="60"/>
  <c r="B106" i="60"/>
  <c r="C105" i="60"/>
  <c r="B105" i="60"/>
  <c r="D104" i="60"/>
  <c r="B104" i="60"/>
  <c r="D103" i="60"/>
  <c r="D102" i="60"/>
  <c r="DE11" i="27" l="1"/>
  <c r="CH11" i="27"/>
  <c r="CI11" i="27"/>
  <c r="CK11" i="27"/>
  <c r="DF11" i="27"/>
  <c r="CL11" i="27"/>
  <c r="CM11" i="27"/>
  <c r="DJ11" i="27"/>
  <c r="DI11" i="27"/>
  <c r="DH11" i="27"/>
  <c r="CJ11" i="27"/>
  <c r="DC11" i="27"/>
  <c r="DB11" i="27"/>
  <c r="CY11" i="27"/>
  <c r="CZ11" i="27"/>
  <c r="DA11" i="27"/>
  <c r="DD11" i="27"/>
  <c r="AE8" i="26"/>
  <c r="I56" i="61"/>
  <c r="G56" i="61" s="1"/>
  <c r="F56" i="61" s="1"/>
  <c r="E56" i="61" s="1"/>
  <c r="D56" i="61" s="1"/>
  <c r="EH29" i="24"/>
  <c r="BT65" i="24" l="1"/>
  <c r="BT58" i="24" l="1"/>
  <c r="B35" i="14" l="1"/>
  <c r="B40" i="15"/>
  <c r="T26" i="13"/>
  <c r="C20" i="10"/>
  <c r="L20" i="10" s="1"/>
  <c r="AE12" i="24" s="1"/>
  <c r="Y12" i="24" s="1"/>
  <c r="X12" i="24" l="1"/>
  <c r="Z12" i="24"/>
  <c r="AD12" i="24"/>
  <c r="AA12" i="24"/>
  <c r="AB12" i="24"/>
  <c r="AC12" i="24"/>
  <c r="M9" i="14"/>
  <c r="DM8" i="27" l="1"/>
  <c r="DM2" i="27"/>
  <c r="DM2" i="26"/>
  <c r="DM36" i="25"/>
  <c r="DM15" i="25"/>
  <c r="DM33" i="25" s="1"/>
  <c r="DM14" i="25"/>
  <c r="DM2" i="25"/>
  <c r="DM106" i="23"/>
  <c r="DM12" i="23"/>
  <c r="DM9" i="23"/>
  <c r="DM2" i="23"/>
  <c r="DM26" i="24"/>
  <c r="DM108" i="24" s="1"/>
  <c r="DM111" i="24" s="1"/>
  <c r="DM4" i="24"/>
  <c r="DM117" i="28"/>
  <c r="DM95" i="28"/>
  <c r="DM21" i="28"/>
  <c r="DM8" i="26" s="1"/>
  <c r="DM2" i="28"/>
  <c r="A52" i="74" s="1"/>
  <c r="C52" i="74" s="1"/>
  <c r="DK14" i="25"/>
  <c r="DL14" i="25"/>
  <c r="DN14" i="25"/>
  <c r="DO14" i="25"/>
  <c r="DP14" i="25"/>
  <c r="BC14" i="25"/>
  <c r="BD14" i="25"/>
  <c r="BE14" i="25"/>
  <c r="BF14" i="25"/>
  <c r="BG14" i="25"/>
  <c r="BH14" i="25"/>
  <c r="DP117" i="28"/>
  <c r="DO117" i="28"/>
  <c r="DN117" i="28"/>
  <c r="DL117" i="28"/>
  <c r="DK117" i="28"/>
  <c r="DP95" i="28"/>
  <c r="DO95" i="28"/>
  <c r="DN95" i="28"/>
  <c r="DL95" i="28"/>
  <c r="DK95" i="28"/>
  <c r="DP21" i="28"/>
  <c r="DP8" i="26" s="1"/>
  <c r="DO21" i="28"/>
  <c r="DN21" i="28"/>
  <c r="DL21" i="28"/>
  <c r="DL8" i="26" s="1"/>
  <c r="DK21" i="28"/>
  <c r="DK8" i="26" s="1"/>
  <c r="DX20" i="28"/>
  <c r="DX7" i="26" s="1"/>
  <c r="DX10" i="26" s="1"/>
  <c r="DY20" i="28"/>
  <c r="DY7" i="26" s="1"/>
  <c r="DY10" i="26" s="1"/>
  <c r="DZ20" i="28"/>
  <c r="DZ7" i="26" s="1"/>
  <c r="DZ10" i="26" s="1"/>
  <c r="EA20" i="28"/>
  <c r="EA7" i="26" s="1"/>
  <c r="EA10" i="26" s="1"/>
  <c r="EB20" i="28"/>
  <c r="EB7" i="26" s="1"/>
  <c r="EB10" i="26" s="1"/>
  <c r="EC20" i="28"/>
  <c r="DX19" i="28"/>
  <c r="DY19" i="28"/>
  <c r="DZ19" i="28"/>
  <c r="EA19" i="28"/>
  <c r="EB19" i="28"/>
  <c r="EC19" i="28"/>
  <c r="DP2" i="28"/>
  <c r="A47" i="74" s="1"/>
  <c r="C47" i="74" s="1"/>
  <c r="DO2" i="28"/>
  <c r="DN2" i="28"/>
  <c r="A53" i="74" s="1"/>
  <c r="C53" i="74" s="1"/>
  <c r="DL2" i="28"/>
  <c r="A50" i="74" s="1"/>
  <c r="C50" i="74" s="1"/>
  <c r="DK2" i="28"/>
  <c r="A51" i="74" s="1"/>
  <c r="C51" i="74" s="1"/>
  <c r="DP26" i="24"/>
  <c r="DP60" i="24" s="1"/>
  <c r="DP62" i="24" s="1"/>
  <c r="DO26" i="24"/>
  <c r="DO108" i="24" s="1"/>
  <c r="DN26" i="24"/>
  <c r="DN108" i="24" s="1"/>
  <c r="DN110" i="24" s="1"/>
  <c r="DL26" i="24"/>
  <c r="DL108" i="24" s="1"/>
  <c r="DK26" i="24"/>
  <c r="DK60" i="24" s="1"/>
  <c r="DK62" i="24" s="1"/>
  <c r="DP4" i="24"/>
  <c r="DO4" i="24"/>
  <c r="DN4" i="24"/>
  <c r="DL4" i="24"/>
  <c r="DK4" i="24"/>
  <c r="DP106" i="23"/>
  <c r="DO106" i="23"/>
  <c r="DN106" i="23"/>
  <c r="DL106" i="23"/>
  <c r="DK106" i="23"/>
  <c r="DP12" i="23"/>
  <c r="DS12" i="23" s="1"/>
  <c r="DO12" i="23"/>
  <c r="DN12" i="23"/>
  <c r="DL12" i="23"/>
  <c r="DK12" i="23"/>
  <c r="DP9" i="23"/>
  <c r="DS9" i="23" s="1"/>
  <c r="DO9" i="23"/>
  <c r="DN9" i="23"/>
  <c r="DL9" i="23"/>
  <c r="DK9" i="23"/>
  <c r="DP2" i="23"/>
  <c r="DO2" i="23"/>
  <c r="DN2" i="23"/>
  <c r="DL2" i="23"/>
  <c r="DK2" i="23"/>
  <c r="DP36" i="25"/>
  <c r="DO36" i="25"/>
  <c r="DN36" i="25"/>
  <c r="DL36" i="25"/>
  <c r="DK36" i="25"/>
  <c r="DP15" i="25"/>
  <c r="DP33" i="25" s="1"/>
  <c r="DO15" i="25"/>
  <c r="DO29" i="25" s="1"/>
  <c r="DN15" i="25"/>
  <c r="DN29" i="25" s="1"/>
  <c r="DL15" i="25"/>
  <c r="DL29" i="25" s="1"/>
  <c r="DK15" i="25"/>
  <c r="DK29" i="25" s="1"/>
  <c r="DP2" i="25"/>
  <c r="DO2" i="25"/>
  <c r="DN2" i="25"/>
  <c r="DL2" i="25"/>
  <c r="DK2" i="25"/>
  <c r="DO8" i="26"/>
  <c r="DN8" i="26"/>
  <c r="DP2" i="26"/>
  <c r="DO2" i="26"/>
  <c r="DN2" i="26"/>
  <c r="DL2" i="26"/>
  <c r="DK2" i="26"/>
  <c r="DP2" i="27"/>
  <c r="DO2" i="27"/>
  <c r="DN2" i="27"/>
  <c r="DL2" i="27"/>
  <c r="DK2" i="27"/>
  <c r="EC7" i="27"/>
  <c r="EC8" i="27" s="1"/>
  <c r="EB7" i="27"/>
  <c r="EB8" i="27" s="1"/>
  <c r="EA7" i="27"/>
  <c r="EA8" i="27" s="1"/>
  <c r="DZ7" i="27"/>
  <c r="DZ8" i="27" s="1"/>
  <c r="DY7" i="27"/>
  <c r="DY8" i="27" s="1"/>
  <c r="DX7" i="27"/>
  <c r="DX8" i="27" s="1"/>
  <c r="EC6" i="27"/>
  <c r="EB6" i="27"/>
  <c r="EA6" i="27"/>
  <c r="EA70" i="27" s="1"/>
  <c r="EA47" i="27" s="1"/>
  <c r="DZ6" i="27"/>
  <c r="DZ70" i="27" s="1"/>
  <c r="DZ47" i="27" s="1"/>
  <c r="DY6" i="27"/>
  <c r="DY16" i="27" s="1"/>
  <c r="DX6" i="27"/>
  <c r="DX16" i="27" s="1"/>
  <c r="EC2" i="27"/>
  <c r="EB2" i="27"/>
  <c r="EA2" i="27"/>
  <c r="DZ2" i="27"/>
  <c r="DY2" i="27"/>
  <c r="DX2" i="27"/>
  <c r="EC7" i="26"/>
  <c r="EC10" i="26" s="1"/>
  <c r="EC2" i="26"/>
  <c r="EB2" i="26"/>
  <c r="EA2" i="26"/>
  <c r="DZ2" i="26"/>
  <c r="DY2" i="26"/>
  <c r="DX2" i="26"/>
  <c r="EC31" i="25"/>
  <c r="EB31" i="25"/>
  <c r="EA31" i="25"/>
  <c r="DZ31" i="25"/>
  <c r="DY31" i="25"/>
  <c r="DX31" i="25"/>
  <c r="EC27" i="25"/>
  <c r="EB27" i="25"/>
  <c r="EA27" i="25"/>
  <c r="DZ27" i="25"/>
  <c r="DY27" i="25"/>
  <c r="DX27" i="25"/>
  <c r="EC15" i="25"/>
  <c r="EC33" i="25" s="1"/>
  <c r="EB15" i="25"/>
  <c r="EB33" i="25" s="1"/>
  <c r="EA15" i="25"/>
  <c r="EA33" i="25" s="1"/>
  <c r="DZ15" i="25"/>
  <c r="DZ33" i="25" s="1"/>
  <c r="DY15" i="25"/>
  <c r="DY33" i="25" s="1"/>
  <c r="DX15" i="25"/>
  <c r="DX33" i="25" s="1"/>
  <c r="EC2" i="25"/>
  <c r="EB2" i="25"/>
  <c r="EA2" i="25"/>
  <c r="DZ2" i="25"/>
  <c r="DY2" i="25"/>
  <c r="DX2" i="25"/>
  <c r="EC106" i="23"/>
  <c r="EB106" i="23"/>
  <c r="EA106" i="23"/>
  <c r="DZ106" i="23"/>
  <c r="DY106" i="23"/>
  <c r="DX106" i="23"/>
  <c r="EC9" i="23"/>
  <c r="EB9" i="23"/>
  <c r="EA9" i="23"/>
  <c r="DZ9" i="23"/>
  <c r="DY9" i="23"/>
  <c r="DX9" i="23"/>
  <c r="EC2" i="23"/>
  <c r="EB2" i="23"/>
  <c r="EA2" i="23"/>
  <c r="DZ2" i="23"/>
  <c r="DY2" i="23"/>
  <c r="DX2" i="23"/>
  <c r="EC26" i="24"/>
  <c r="EC60" i="24" s="1"/>
  <c r="EB26" i="24"/>
  <c r="EB108" i="24" s="1"/>
  <c r="EA26" i="24"/>
  <c r="EA60" i="24" s="1"/>
  <c r="EA62" i="24" s="1"/>
  <c r="DZ26" i="24"/>
  <c r="DZ60" i="24" s="1"/>
  <c r="DZ62" i="24" s="1"/>
  <c r="DY26" i="24"/>
  <c r="DY60" i="24" s="1"/>
  <c r="DX26" i="24"/>
  <c r="DX108" i="24" s="1"/>
  <c r="EC4" i="24"/>
  <c r="EB4" i="24"/>
  <c r="EA4" i="24"/>
  <c r="DZ4" i="24"/>
  <c r="DY4" i="24"/>
  <c r="DX4" i="24"/>
  <c r="ED8" i="25"/>
  <c r="EC117" i="28"/>
  <c r="EB117" i="28"/>
  <c r="EA117" i="28"/>
  <c r="DZ117" i="28"/>
  <c r="DY117" i="28"/>
  <c r="DX117" i="28"/>
  <c r="EC95" i="28"/>
  <c r="EB95" i="28"/>
  <c r="EA95" i="28"/>
  <c r="DZ95" i="28"/>
  <c r="DY95" i="28"/>
  <c r="DX95" i="28"/>
  <c r="EC2" i="28"/>
  <c r="A45" i="54" s="1"/>
  <c r="C45" i="54" s="1"/>
  <c r="EB2" i="28"/>
  <c r="A50" i="54" s="1"/>
  <c r="C50" i="54" s="1"/>
  <c r="EA2" i="28"/>
  <c r="A46" i="54" s="1"/>
  <c r="C46" i="54" s="1"/>
  <c r="DZ2" i="28"/>
  <c r="A49" i="54" s="1"/>
  <c r="C49" i="54" s="1"/>
  <c r="DY2" i="28"/>
  <c r="A48" i="54" s="1"/>
  <c r="C48" i="54" s="1"/>
  <c r="DX2" i="28"/>
  <c r="A47" i="54" s="1"/>
  <c r="C47" i="54" s="1"/>
  <c r="ED2" i="27"/>
  <c r="ED6" i="27"/>
  <c r="ED16" i="27" s="1"/>
  <c r="ED7" i="27"/>
  <c r="ED8" i="27" s="1"/>
  <c r="ED2" i="26"/>
  <c r="ED7" i="26"/>
  <c r="ED10" i="26" s="1"/>
  <c r="ED2" i="25"/>
  <c r="ED15" i="25"/>
  <c r="ED33" i="25" s="1"/>
  <c r="ED27" i="25"/>
  <c r="ED31" i="25"/>
  <c r="ED2" i="23"/>
  <c r="ED106" i="23"/>
  <c r="ED4" i="24"/>
  <c r="ED26" i="24"/>
  <c r="ED108" i="24" s="1"/>
  <c r="ED2" i="28"/>
  <c r="ED5" i="28"/>
  <c r="ED9" i="25" s="1"/>
  <c r="ED11" i="25" s="1"/>
  <c r="ED5" i="26" s="1"/>
  <c r="ED95" i="28"/>
  <c r="ED117" i="28"/>
  <c r="DT117" i="28"/>
  <c r="DT95" i="28"/>
  <c r="DT2" i="28"/>
  <c r="A49" i="74" s="1"/>
  <c r="C49" i="74" s="1"/>
  <c r="AR13" i="28"/>
  <c r="AS13" i="28"/>
  <c r="AT13" i="28"/>
  <c r="AU13" i="28"/>
  <c r="AV13" i="28"/>
  <c r="AW13" i="28"/>
  <c r="DT26" i="24"/>
  <c r="DT2" i="23"/>
  <c r="DT31" i="25"/>
  <c r="DT27" i="25"/>
  <c r="DT15" i="25"/>
  <c r="DT33" i="25" s="1"/>
  <c r="DT2" i="25"/>
  <c r="DT8" i="26"/>
  <c r="DT2" i="26"/>
  <c r="DT2" i="27"/>
  <c r="DT106" i="23"/>
  <c r="DT5" i="28"/>
  <c r="CC5" i="28"/>
  <c r="S14" i="31"/>
  <c r="BC2" i="23"/>
  <c r="BC2" i="25"/>
  <c r="BC2" i="26"/>
  <c r="BC2" i="27"/>
  <c r="BC2" i="28"/>
  <c r="CW117" i="28"/>
  <c r="CW95" i="28"/>
  <c r="CW2" i="28"/>
  <c r="CW19" i="28" s="1"/>
  <c r="CW7" i="27"/>
  <c r="CW8" i="27" s="1"/>
  <c r="CW6" i="27"/>
  <c r="CW18" i="27" s="1"/>
  <c r="CW5" i="27"/>
  <c r="CW2" i="27"/>
  <c r="CW8" i="26"/>
  <c r="CW2" i="26"/>
  <c r="CW31" i="25"/>
  <c r="CW27" i="25"/>
  <c r="CW15" i="25"/>
  <c r="CW33" i="25" s="1"/>
  <c r="CW2" i="25"/>
  <c r="CW106" i="23"/>
  <c r="CW2" i="23"/>
  <c r="CW26" i="24"/>
  <c r="CW108" i="24" s="1"/>
  <c r="CW18" i="24"/>
  <c r="CW17" i="24"/>
  <c r="CW16" i="24"/>
  <c r="CW15" i="24"/>
  <c r="CW14" i="24"/>
  <c r="CW13" i="24"/>
  <c r="CW12" i="24"/>
  <c r="CW11" i="24"/>
  <c r="CW10" i="24"/>
  <c r="CW9" i="24"/>
  <c r="CW8" i="24"/>
  <c r="CW5" i="28"/>
  <c r="CW6" i="28" s="1"/>
  <c r="A54" i="55" l="1"/>
  <c r="A54" i="74"/>
  <c r="C54" i="74" s="1"/>
  <c r="DK19" i="28"/>
  <c r="A51" i="55"/>
  <c r="C51" i="55" s="1"/>
  <c r="AF68" i="32"/>
  <c r="A49" i="55"/>
  <c r="C49" i="55" s="1"/>
  <c r="DL19" i="28"/>
  <c r="A50" i="55"/>
  <c r="C50" i="55" s="1"/>
  <c r="DO19" i="28"/>
  <c r="C54" i="55"/>
  <c r="DM19" i="28"/>
  <c r="A52" i="55"/>
  <c r="C52" i="55" s="1"/>
  <c r="DN19" i="28"/>
  <c r="A53" i="55"/>
  <c r="C53" i="55" s="1"/>
  <c r="DP19" i="28"/>
  <c r="A47" i="55"/>
  <c r="DT6" i="28"/>
  <c r="AF71" i="32" s="1"/>
  <c r="AF70" i="32"/>
  <c r="ED6" i="28"/>
  <c r="DT8" i="25"/>
  <c r="AF69" i="32"/>
  <c r="DX5" i="28"/>
  <c r="DX9" i="25" s="1"/>
  <c r="DX11" i="25" s="1"/>
  <c r="DX5" i="26" s="1"/>
  <c r="DT9" i="25"/>
  <c r="DT11" i="25" s="1"/>
  <c r="DT5" i="26" s="1"/>
  <c r="DM123" i="24"/>
  <c r="A59" i="54"/>
  <c r="C59" i="54" s="1"/>
  <c r="I44" i="54" s="1"/>
  <c r="AC70" i="61"/>
  <c r="AG71" i="60"/>
  <c r="AG44" i="60" s="1"/>
  <c r="B57" i="60" s="1"/>
  <c r="A45" i="52"/>
  <c r="C45" i="52" s="1"/>
  <c r="BC19" i="28"/>
  <c r="DT19" i="28"/>
  <c r="AF76" i="32" s="1"/>
  <c r="AF71" i="60"/>
  <c r="AF44" i="60" s="1"/>
  <c r="AB70" i="61"/>
  <c r="AF44" i="36"/>
  <c r="AG44" i="39"/>
  <c r="AG44" i="38"/>
  <c r="DM29" i="25"/>
  <c r="DM110" i="24"/>
  <c r="DM122" i="24" s="1"/>
  <c r="DM60" i="24"/>
  <c r="DP29" i="25"/>
  <c r="DX6" i="28"/>
  <c r="EC5" i="28"/>
  <c r="EC6" i="28" s="1"/>
  <c r="EB5" i="28"/>
  <c r="EA5" i="28"/>
  <c r="DP63" i="24"/>
  <c r="DP75" i="24" s="1"/>
  <c r="DZ5" i="28"/>
  <c r="DP108" i="24"/>
  <c r="DP110" i="24" s="1"/>
  <c r="DP122" i="24" s="1"/>
  <c r="DY5" i="28"/>
  <c r="DZ4" i="28"/>
  <c r="DZ8" i="25" s="1"/>
  <c r="DN122" i="24"/>
  <c r="EA4" i="28"/>
  <c r="EA8" i="25" s="1"/>
  <c r="EB4" i="28"/>
  <c r="EB8" i="25" s="1"/>
  <c r="EC4" i="28"/>
  <c r="EC8" i="25" s="1"/>
  <c r="DL60" i="24"/>
  <c r="DL62" i="24" s="1"/>
  <c r="DL74" i="24" s="1"/>
  <c r="DO60" i="24"/>
  <c r="DO63" i="24" s="1"/>
  <c r="DO75" i="24" s="1"/>
  <c r="DX4" i="28"/>
  <c r="DX8" i="25" s="1"/>
  <c r="DY4" i="28"/>
  <c r="DY8" i="25" s="1"/>
  <c r="DL110" i="24"/>
  <c r="DL122" i="24" s="1"/>
  <c r="DL111" i="24"/>
  <c r="DL123" i="24" s="1"/>
  <c r="DO110" i="24"/>
  <c r="DO122" i="24" s="1"/>
  <c r="DO111" i="24"/>
  <c r="DO123" i="24" s="1"/>
  <c r="DN60" i="24"/>
  <c r="DK108" i="24"/>
  <c r="DK74" i="24"/>
  <c r="DN111" i="24"/>
  <c r="DN123" i="24" s="1"/>
  <c r="DP74" i="24"/>
  <c r="DK63" i="24"/>
  <c r="DK75" i="24" s="1"/>
  <c r="DK33" i="25"/>
  <c r="DL33" i="25"/>
  <c r="DN33" i="25"/>
  <c r="DO33" i="25"/>
  <c r="DZ74" i="24"/>
  <c r="EB60" i="24"/>
  <c r="EB62" i="24" s="1"/>
  <c r="EB74" i="24" s="1"/>
  <c r="DY108" i="24"/>
  <c r="DY110" i="24" s="1"/>
  <c r="DY122" i="24" s="1"/>
  <c r="DX60" i="24"/>
  <c r="DX63" i="24" s="1"/>
  <c r="DX75" i="24" s="1"/>
  <c r="EB111" i="24"/>
  <c r="EB123" i="24" s="1"/>
  <c r="EB110" i="24"/>
  <c r="EB122" i="24" s="1"/>
  <c r="DY62" i="24"/>
  <c r="DY74" i="24" s="1"/>
  <c r="DY63" i="24"/>
  <c r="DY75" i="24" s="1"/>
  <c r="EC62" i="24"/>
  <c r="EC74" i="24" s="1"/>
  <c r="EC63" i="24"/>
  <c r="EC75" i="24" s="1"/>
  <c r="DX110" i="24"/>
  <c r="DX122" i="24" s="1"/>
  <c r="DX111" i="24"/>
  <c r="DX123" i="24" s="1"/>
  <c r="DZ108" i="24"/>
  <c r="DZ110" i="24" s="1"/>
  <c r="DZ122" i="24" s="1"/>
  <c r="DZ16" i="27"/>
  <c r="EB70" i="27"/>
  <c r="EB47" i="27" s="1"/>
  <c r="EA108" i="24"/>
  <c r="EA110" i="24" s="1"/>
  <c r="EA122" i="24" s="1"/>
  <c r="EA16" i="27"/>
  <c r="EC70" i="27"/>
  <c r="EC47" i="27" s="1"/>
  <c r="DX29" i="25"/>
  <c r="EB17" i="27"/>
  <c r="EC108" i="24"/>
  <c r="DY29" i="25"/>
  <c r="EC17" i="27"/>
  <c r="DZ29" i="25"/>
  <c r="EA29" i="25"/>
  <c r="EB16" i="27"/>
  <c r="DX18" i="27"/>
  <c r="EC16" i="27"/>
  <c r="DY18" i="27"/>
  <c r="DX17" i="27"/>
  <c r="DZ18" i="27"/>
  <c r="DX70" i="27"/>
  <c r="DX47" i="27" s="1"/>
  <c r="DY17" i="27"/>
  <c r="EA18" i="27"/>
  <c r="DY70" i="27"/>
  <c r="DY47" i="27" s="1"/>
  <c r="DZ17" i="27"/>
  <c r="EB18" i="27"/>
  <c r="EA17" i="27"/>
  <c r="EC18" i="27"/>
  <c r="EB29" i="25"/>
  <c r="EC29" i="25"/>
  <c r="EA74" i="24"/>
  <c r="DZ63" i="24"/>
  <c r="DZ75" i="24" s="1"/>
  <c r="EA63" i="24"/>
  <c r="EA75" i="24" s="1"/>
  <c r="ED60" i="24"/>
  <c r="ED62" i="24" s="1"/>
  <c r="ED74" i="24" s="1"/>
  <c r="ED18" i="27"/>
  <c r="ED17" i="27"/>
  <c r="ED110" i="24"/>
  <c r="ED122" i="24" s="1"/>
  <c r="ED111" i="24"/>
  <c r="ED123" i="24" s="1"/>
  <c r="ED29" i="25"/>
  <c r="ED12" i="25"/>
  <c r="ED70" i="27"/>
  <c r="ED47" i="27" s="1"/>
  <c r="CW9" i="25"/>
  <c r="CW11" i="25" s="1"/>
  <c r="A49" i="48"/>
  <c r="A49" i="51"/>
  <c r="CW19" i="24"/>
  <c r="CW60" i="24"/>
  <c r="DT60" i="24"/>
  <c r="DT108" i="24"/>
  <c r="DT29" i="25"/>
  <c r="A45" i="50"/>
  <c r="C45" i="50" s="1"/>
  <c r="CW11" i="27"/>
  <c r="CW16" i="27"/>
  <c r="CW17" i="27"/>
  <c r="CW29" i="25"/>
  <c r="H44" i="61" l="1"/>
  <c r="I44" i="61"/>
  <c r="C47" i="55"/>
  <c r="DX12" i="25"/>
  <c r="DX6" i="26" s="1"/>
  <c r="DX7" i="28" s="1"/>
  <c r="DX22" i="28" s="1"/>
  <c r="AE59" i="64"/>
  <c r="AE44" i="64"/>
  <c r="AE59" i="69"/>
  <c r="AE44" i="69"/>
  <c r="DT12" i="25"/>
  <c r="DT6" i="26" s="1"/>
  <c r="DP111" i="24"/>
  <c r="DP123" i="24" s="1"/>
  <c r="DL63" i="24"/>
  <c r="DL75" i="24" s="1"/>
  <c r="DO62" i="24"/>
  <c r="DO74" i="24" s="1"/>
  <c r="Q44" i="61"/>
  <c r="DM63" i="24"/>
  <c r="DM75" i="24" s="1"/>
  <c r="DM62" i="24"/>
  <c r="DM74" i="24" s="1"/>
  <c r="EC9" i="25"/>
  <c r="EC11" i="25" s="1"/>
  <c r="EC5" i="26" s="1"/>
  <c r="DZ6" i="28"/>
  <c r="DZ9" i="25"/>
  <c r="EB6" i="28"/>
  <c r="EB9" i="25"/>
  <c r="EB11" i="25" s="1"/>
  <c r="EB5" i="26" s="1"/>
  <c r="DY9" i="25"/>
  <c r="DY11" i="25" s="1"/>
  <c r="DY5" i="26" s="1"/>
  <c r="DY6" i="28"/>
  <c r="EA6" i="28"/>
  <c r="EA9" i="25"/>
  <c r="DN63" i="24"/>
  <c r="DN75" i="24" s="1"/>
  <c r="DN62" i="24"/>
  <c r="DK110" i="24"/>
  <c r="DK122" i="24" s="1"/>
  <c r="DK111" i="24"/>
  <c r="DK123" i="24" s="1"/>
  <c r="DX62" i="24"/>
  <c r="DX74" i="24" s="1"/>
  <c r="DY111" i="24"/>
  <c r="DY123" i="24" s="1"/>
  <c r="EB63" i="24"/>
  <c r="EB75" i="24" s="1"/>
  <c r="EA111" i="24"/>
  <c r="EA123" i="24" s="1"/>
  <c r="DZ111" i="24"/>
  <c r="DZ123" i="24" s="1"/>
  <c r="EC110" i="24"/>
  <c r="EC122" i="24" s="1"/>
  <c r="EC111" i="24"/>
  <c r="EC123" i="24" s="1"/>
  <c r="ED63" i="24"/>
  <c r="ED75" i="24" s="1"/>
  <c r="ED6" i="26"/>
  <c r="ED7" i="28" s="1"/>
  <c r="CW5" i="26"/>
  <c r="ED22" i="28" l="1"/>
  <c r="EB12" i="25"/>
  <c r="EB6" i="26" s="1"/>
  <c r="EB7" i="28" s="1"/>
  <c r="EA11" i="25"/>
  <c r="EA5" i="26" s="1"/>
  <c r="EA12" i="25"/>
  <c r="EA6" i="26" s="1"/>
  <c r="EA7" i="28" s="1"/>
  <c r="DZ11" i="25"/>
  <c r="DZ5" i="26" s="1"/>
  <c r="DZ12" i="25"/>
  <c r="DZ6" i="26" s="1"/>
  <c r="DZ7" i="28" s="1"/>
  <c r="EC12" i="25"/>
  <c r="EC6" i="26" s="1"/>
  <c r="EC7" i="28" s="1"/>
  <c r="DY12" i="25"/>
  <c r="DY6" i="26" s="1"/>
  <c r="DY7" i="28" s="1"/>
  <c r="DN74" i="24"/>
  <c r="AA78" i="32"/>
  <c r="AA70" i="32"/>
  <c r="CC8" i="26"/>
  <c r="CC2" i="25"/>
  <c r="CC2" i="28"/>
  <c r="CC2" i="23"/>
  <c r="CB133" i="24"/>
  <c r="CA133" i="24"/>
  <c r="BZ133" i="24"/>
  <c r="BY133" i="24"/>
  <c r="BX133" i="24"/>
  <c r="BW133" i="24"/>
  <c r="BV133" i="24"/>
  <c r="BU133" i="24"/>
  <c r="BV2" i="24"/>
  <c r="BV2" i="25" s="1"/>
  <c r="CB12" i="23"/>
  <c r="CA12" i="23"/>
  <c r="BZ12" i="23"/>
  <c r="BY12" i="23"/>
  <c r="BX12" i="23"/>
  <c r="BW12" i="23"/>
  <c r="BV12" i="23"/>
  <c r="BU12" i="23"/>
  <c r="CB9" i="23"/>
  <c r="CA9" i="23"/>
  <c r="BZ9" i="23"/>
  <c r="BY9" i="23"/>
  <c r="BX9" i="23"/>
  <c r="BW9" i="23"/>
  <c r="BV9" i="23"/>
  <c r="BU9" i="23"/>
  <c r="CB6" i="25"/>
  <c r="CA6" i="25"/>
  <c r="BZ6" i="25"/>
  <c r="BY6" i="25"/>
  <c r="BX6" i="25"/>
  <c r="BW6" i="25"/>
  <c r="BV6" i="25"/>
  <c r="BU6" i="25"/>
  <c r="CB3" i="27"/>
  <c r="CB7" i="27" s="1"/>
  <c r="CB8" i="27" s="1"/>
  <c r="CA3" i="27"/>
  <c r="BZ3" i="27"/>
  <c r="BZ6" i="27" s="1"/>
  <c r="BY3" i="27"/>
  <c r="BY7" i="27" s="1"/>
  <c r="BY8" i="27" s="1"/>
  <c r="BX3" i="27"/>
  <c r="BX7" i="27" s="1"/>
  <c r="BX8" i="27" s="1"/>
  <c r="BW3" i="27"/>
  <c r="BW5" i="27" s="1"/>
  <c r="BV3" i="27"/>
  <c r="BU3" i="27"/>
  <c r="BU7" i="27" s="1"/>
  <c r="BU8" i="27" s="1"/>
  <c r="CB21" i="28"/>
  <c r="CB8" i="26" s="1"/>
  <c r="CA21" i="28"/>
  <c r="CA8" i="26" s="1"/>
  <c r="BZ21" i="28"/>
  <c r="BZ8" i="26" s="1"/>
  <c r="BY21" i="28"/>
  <c r="BY8" i="26" s="1"/>
  <c r="BX21" i="28"/>
  <c r="BX8" i="26" s="1"/>
  <c r="BW21" i="28"/>
  <c r="BW8" i="26" s="1"/>
  <c r="BV21" i="28"/>
  <c r="BV8" i="26" s="1"/>
  <c r="BU21" i="28"/>
  <c r="BU8" i="26" s="1"/>
  <c r="CB13" i="28"/>
  <c r="CB26" i="24" s="1"/>
  <c r="CA13" i="28"/>
  <c r="CA26" i="24" s="1"/>
  <c r="BZ13" i="28"/>
  <c r="BZ26" i="24" s="1"/>
  <c r="BY13" i="28"/>
  <c r="BY26" i="24" s="1"/>
  <c r="BX13" i="28"/>
  <c r="BX26" i="24" s="1"/>
  <c r="BW13" i="28"/>
  <c r="BW26" i="24" s="1"/>
  <c r="BV13" i="28"/>
  <c r="BV26" i="24" s="1"/>
  <c r="BU13" i="28"/>
  <c r="BU26" i="24" s="1"/>
  <c r="CC117" i="28"/>
  <c r="CB117" i="28"/>
  <c r="CA117" i="28"/>
  <c r="BZ117" i="28"/>
  <c r="BY117" i="28"/>
  <c r="BX117" i="28"/>
  <c r="BW117" i="28"/>
  <c r="BV117" i="28"/>
  <c r="BU117" i="28"/>
  <c r="CC95" i="28"/>
  <c r="CB95" i="28"/>
  <c r="CA95" i="28"/>
  <c r="BZ95" i="28"/>
  <c r="BY95" i="28"/>
  <c r="BX95" i="28"/>
  <c r="BW95" i="28"/>
  <c r="BV95" i="28"/>
  <c r="BU95" i="28"/>
  <c r="BT2" i="28"/>
  <c r="BK2" i="28"/>
  <c r="BJ2" i="28"/>
  <c r="BI2" i="28"/>
  <c r="A61" i="63" s="1"/>
  <c r="C61" i="63" s="1"/>
  <c r="J44" i="63" s="1"/>
  <c r="BG2" i="28"/>
  <c r="BG19" i="28" s="1"/>
  <c r="BF2" i="28"/>
  <c r="BF19" i="28" s="1"/>
  <c r="BE2" i="28"/>
  <c r="BE19" i="28" s="1"/>
  <c r="BD2" i="28"/>
  <c r="BB2" i="28"/>
  <c r="BQ2" i="24"/>
  <c r="BQ2" i="28" s="1"/>
  <c r="BQ19" i="28" s="1"/>
  <c r="BP2" i="24"/>
  <c r="BP2" i="28" s="1"/>
  <c r="BP19" i="28" s="1"/>
  <c r="BO2" i="24"/>
  <c r="BO2" i="28" s="1"/>
  <c r="BO19" i="28" s="1"/>
  <c r="BM2" i="24"/>
  <c r="BM2" i="28" s="1"/>
  <c r="BM19" i="28" s="1"/>
  <c r="BU2" i="24"/>
  <c r="BU2" i="25" s="1"/>
  <c r="BL2" i="24"/>
  <c r="BL2" i="28" s="1"/>
  <c r="BL19" i="28" s="1"/>
  <c r="BX2" i="24"/>
  <c r="BX2" i="25" s="1"/>
  <c r="BY2" i="24"/>
  <c r="BY2" i="25" s="1"/>
  <c r="BZ2" i="24"/>
  <c r="BZ2" i="25" s="1"/>
  <c r="CC26" i="24"/>
  <c r="CC18" i="24"/>
  <c r="BY18" i="24" s="1"/>
  <c r="CC17" i="24"/>
  <c r="BY17" i="24" s="1"/>
  <c r="CC16" i="24"/>
  <c r="BY16" i="24" s="1"/>
  <c r="CC15" i="24"/>
  <c r="BY15" i="24" s="1"/>
  <c r="CC14" i="24"/>
  <c r="BY14" i="24" s="1"/>
  <c r="CC13" i="24"/>
  <c r="BY13" i="24" s="1"/>
  <c r="CC12" i="24"/>
  <c r="BY12" i="24" s="1"/>
  <c r="CC11" i="24"/>
  <c r="BY11" i="24" s="1"/>
  <c r="CC10" i="24"/>
  <c r="BY10" i="24" s="1"/>
  <c r="CC9" i="24"/>
  <c r="BY9" i="24" s="1"/>
  <c r="CC8" i="24"/>
  <c r="BY8" i="24" s="1"/>
  <c r="BZ5" i="24"/>
  <c r="BZ85" i="24" s="1"/>
  <c r="CC106" i="23"/>
  <c r="CB106" i="23"/>
  <c r="CA106" i="23"/>
  <c r="BZ106" i="23"/>
  <c r="BY106" i="23"/>
  <c r="BX106" i="23"/>
  <c r="BW106" i="23"/>
  <c r="BV106" i="23"/>
  <c r="BU106" i="23"/>
  <c r="CC31" i="25"/>
  <c r="CB31" i="25"/>
  <c r="CA31" i="25"/>
  <c r="BZ31" i="25"/>
  <c r="BY31" i="25"/>
  <c r="BX31" i="25"/>
  <c r="BW31" i="25"/>
  <c r="BV31" i="25"/>
  <c r="BU31" i="25"/>
  <c r="CC27" i="25"/>
  <c r="CB27" i="25"/>
  <c r="CA27" i="25"/>
  <c r="BZ27" i="25"/>
  <c r="BY27" i="25"/>
  <c r="BX27" i="25"/>
  <c r="BW27" i="25"/>
  <c r="BV27" i="25"/>
  <c r="BU27" i="25"/>
  <c r="BY17" i="25"/>
  <c r="BY25" i="25" s="1"/>
  <c r="BX17" i="25"/>
  <c r="BX23" i="25" s="1"/>
  <c r="CC15" i="25"/>
  <c r="CC29" i="25" s="1"/>
  <c r="CB15" i="25"/>
  <c r="CA15" i="25"/>
  <c r="CA33" i="25" s="1"/>
  <c r="BZ15" i="25"/>
  <c r="BZ33" i="25" s="1"/>
  <c r="BY15" i="25"/>
  <c r="BX15" i="25"/>
  <c r="BX33" i="25" s="1"/>
  <c r="BW15" i="25"/>
  <c r="BW29" i="25" s="1"/>
  <c r="BV15" i="25"/>
  <c r="BV33" i="25" s="1"/>
  <c r="BU15" i="25"/>
  <c r="CC2" i="26"/>
  <c r="CB2" i="26"/>
  <c r="CA2" i="26"/>
  <c r="BY2" i="26"/>
  <c r="BX2" i="26"/>
  <c r="BW2" i="26"/>
  <c r="BV2" i="26"/>
  <c r="BU2" i="26"/>
  <c r="CC7" i="27"/>
  <c r="CC8" i="27" s="1"/>
  <c r="CC6" i="27"/>
  <c r="CC18" i="27" s="1"/>
  <c r="BW6" i="27"/>
  <c r="BW18" i="27" s="1"/>
  <c r="CC5" i="27"/>
  <c r="CC11" i="27" s="1"/>
  <c r="BW7" i="27"/>
  <c r="BW8" i="27" s="1"/>
  <c r="BV7" i="27"/>
  <c r="BV8" i="27" s="1"/>
  <c r="CC2" i="27"/>
  <c r="CB2" i="27"/>
  <c r="CA2" i="27"/>
  <c r="BY2" i="27"/>
  <c r="BX2" i="27"/>
  <c r="BW2" i="27"/>
  <c r="BV2" i="27"/>
  <c r="BU2" i="27"/>
  <c r="CC6" i="28"/>
  <c r="AA71" i="32" s="1"/>
  <c r="CC9" i="25"/>
  <c r="CC11" i="25" s="1"/>
  <c r="CC5" i="26" s="1"/>
  <c r="BD19" i="28" l="1"/>
  <c r="DY22" i="28"/>
  <c r="EC22" i="28"/>
  <c r="DZ22" i="28"/>
  <c r="EB22" i="28"/>
  <c r="EA22" i="28"/>
  <c r="U70" i="61"/>
  <c r="Y71" i="60"/>
  <c r="Y44" i="60" s="1"/>
  <c r="A61" i="47"/>
  <c r="C61" i="47" s="1"/>
  <c r="K44" i="47" s="1"/>
  <c r="Q71" i="60"/>
  <c r="R70" i="61"/>
  <c r="Z71" i="60"/>
  <c r="Z44" i="60" s="1"/>
  <c r="V70" i="61"/>
  <c r="W71" i="60"/>
  <c r="W44" i="60" s="1"/>
  <c r="S70" i="61"/>
  <c r="A60" i="51"/>
  <c r="C60" i="51" s="1"/>
  <c r="J44" i="51" s="1"/>
  <c r="AA71" i="60"/>
  <c r="AA44" i="60" s="1"/>
  <c r="W70" i="61"/>
  <c r="CC19" i="28"/>
  <c r="AA76" i="32" s="1"/>
  <c r="X71" i="60"/>
  <c r="X44" i="60" s="1"/>
  <c r="T70" i="61"/>
  <c r="A48" i="52"/>
  <c r="A48" i="50"/>
  <c r="C48" i="50" s="1"/>
  <c r="A50" i="50"/>
  <c r="C50" i="50" s="1"/>
  <c r="A50" i="52"/>
  <c r="A46" i="52"/>
  <c r="A46" i="50"/>
  <c r="C46" i="50" s="1"/>
  <c r="BZ16" i="24"/>
  <c r="A58" i="51"/>
  <c r="C58" i="51" s="1"/>
  <c r="H44" i="51" s="1"/>
  <c r="A59" i="52"/>
  <c r="C59" i="52" s="1"/>
  <c r="I44" i="52" s="1"/>
  <c r="A59" i="50"/>
  <c r="A59" i="48"/>
  <c r="C59" i="48" s="1"/>
  <c r="I44" i="48" s="1"/>
  <c r="A59" i="51"/>
  <c r="C59" i="51" s="1"/>
  <c r="I44" i="51" s="1"/>
  <c r="A49" i="50"/>
  <c r="C49" i="50" s="1"/>
  <c r="A49" i="52"/>
  <c r="AA68" i="32"/>
  <c r="A60" i="48"/>
  <c r="C60" i="48" s="1"/>
  <c r="J44" i="48" s="1"/>
  <c r="AA44" i="36"/>
  <c r="AB44" i="39"/>
  <c r="AB44" i="38"/>
  <c r="BX22" i="25"/>
  <c r="CA10" i="24"/>
  <c r="A58" i="48"/>
  <c r="C58" i="48" s="1"/>
  <c r="H44" i="48" s="1"/>
  <c r="BU2" i="23"/>
  <c r="BZ11" i="24"/>
  <c r="CA16" i="24"/>
  <c r="BV2" i="23"/>
  <c r="CA11" i="24"/>
  <c r="BZ17" i="24"/>
  <c r="BU2" i="28"/>
  <c r="BU19" i="28" s="1"/>
  <c r="BZ8" i="24"/>
  <c r="BZ13" i="24"/>
  <c r="CA17" i="24"/>
  <c r="BV2" i="28"/>
  <c r="BV19" i="28" s="1"/>
  <c r="CA8" i="24"/>
  <c r="BZ14" i="24"/>
  <c r="BZ18" i="24"/>
  <c r="BX5" i="28"/>
  <c r="BX6" i="28" s="1"/>
  <c r="BZ9" i="24"/>
  <c r="CA14" i="24"/>
  <c r="CA18" i="24"/>
  <c r="BY5" i="28"/>
  <c r="BY6" i="28" s="1"/>
  <c r="CA9" i="24"/>
  <c r="BZ15" i="24"/>
  <c r="BZ10" i="24"/>
  <c r="CA15" i="24"/>
  <c r="BZ5" i="28"/>
  <c r="BZ6" i="28" s="1"/>
  <c r="CB8" i="24"/>
  <c r="CB9" i="24"/>
  <c r="CB10" i="24"/>
  <c r="CB11" i="24"/>
  <c r="CB12" i="24"/>
  <c r="CB13" i="24"/>
  <c r="CB14" i="24"/>
  <c r="CB15" i="24"/>
  <c r="CB16" i="24"/>
  <c r="CB17" i="24"/>
  <c r="CB18" i="24"/>
  <c r="BV29" i="25"/>
  <c r="CA5" i="28"/>
  <c r="CA6" i="28" s="1"/>
  <c r="BU8" i="24"/>
  <c r="BU9" i="24"/>
  <c r="BU10" i="24"/>
  <c r="BU11" i="24"/>
  <c r="BU12" i="24"/>
  <c r="BU13" i="24"/>
  <c r="BU14" i="24"/>
  <c r="BU15" i="24"/>
  <c r="BU16" i="24"/>
  <c r="BU17" i="24"/>
  <c r="BU18" i="24"/>
  <c r="BX2" i="23"/>
  <c r="BX2" i="28"/>
  <c r="BX19" i="28" s="1"/>
  <c r="BZ29" i="25"/>
  <c r="CB5" i="28"/>
  <c r="CB6" i="28" s="1"/>
  <c r="BV8" i="24"/>
  <c r="BV9" i="24"/>
  <c r="BV10" i="24"/>
  <c r="BV11" i="24"/>
  <c r="BV12" i="24"/>
  <c r="BV13" i="24"/>
  <c r="BV14" i="24"/>
  <c r="BV15" i="24"/>
  <c r="BV16" i="24"/>
  <c r="BV17" i="24"/>
  <c r="BV18" i="24"/>
  <c r="BY2" i="23"/>
  <c r="BY2" i="28"/>
  <c r="BY19" i="28" s="1"/>
  <c r="CA13" i="24"/>
  <c r="BU5" i="28"/>
  <c r="BU6" i="28" s="1"/>
  <c r="BW8" i="24"/>
  <c r="BW9" i="24"/>
  <c r="BW10" i="24"/>
  <c r="BW11" i="24"/>
  <c r="BW12" i="24"/>
  <c r="BW13" i="24"/>
  <c r="BW14" i="24"/>
  <c r="BW15" i="24"/>
  <c r="BW16" i="24"/>
  <c r="BW17" i="24"/>
  <c r="BW18" i="24"/>
  <c r="BZ2" i="23"/>
  <c r="BZ2" i="28"/>
  <c r="BZ19" i="28" s="1"/>
  <c r="BW33" i="25"/>
  <c r="BV5" i="28"/>
  <c r="BV6" i="28" s="1"/>
  <c r="BX8" i="24"/>
  <c r="BX9" i="24"/>
  <c r="BX10" i="24"/>
  <c r="BX11" i="24"/>
  <c r="BX12" i="24"/>
  <c r="BX13" i="24"/>
  <c r="BX14" i="24"/>
  <c r="BX15" i="24"/>
  <c r="BX16" i="24"/>
  <c r="BX17" i="24"/>
  <c r="BX18" i="24"/>
  <c r="BZ12" i="24"/>
  <c r="CA12" i="24"/>
  <c r="BY21" i="25"/>
  <c r="BW5" i="28"/>
  <c r="BW6" i="28" s="1"/>
  <c r="CB5" i="27"/>
  <c r="CC16" i="27"/>
  <c r="BX29" i="25"/>
  <c r="BZ37" i="24"/>
  <c r="CB6" i="27"/>
  <c r="CB17" i="27" s="1"/>
  <c r="CC17" i="27"/>
  <c r="CA29" i="25"/>
  <c r="BZ7" i="27"/>
  <c r="BZ8" i="27" s="1"/>
  <c r="BY22" i="25"/>
  <c r="BX60" i="24"/>
  <c r="BX108" i="24"/>
  <c r="BZ108" i="24"/>
  <c r="BZ60" i="24"/>
  <c r="BV60" i="24"/>
  <c r="BV108" i="24"/>
  <c r="BW17" i="27"/>
  <c r="BW16" i="27"/>
  <c r="BY108" i="24"/>
  <c r="BY60" i="24"/>
  <c r="CA108" i="24"/>
  <c r="CA60" i="24"/>
  <c r="CA5" i="27"/>
  <c r="CA7" i="27"/>
  <c r="CA8" i="27" s="1"/>
  <c r="CA6" i="27"/>
  <c r="CB108" i="24"/>
  <c r="CB60" i="24"/>
  <c r="BW11" i="27"/>
  <c r="BY29" i="25"/>
  <c r="BY33" i="25"/>
  <c r="BW60" i="24"/>
  <c r="BW108" i="24"/>
  <c r="BX5" i="27"/>
  <c r="BX6" i="27"/>
  <c r="BY5" i="27"/>
  <c r="BY6" i="27"/>
  <c r="BZ18" i="27"/>
  <c r="BZ5" i="27"/>
  <c r="CB33" i="25"/>
  <c r="CB29" i="25"/>
  <c r="CC33" i="25"/>
  <c r="BU33" i="25"/>
  <c r="BU29" i="25"/>
  <c r="BU60" i="24"/>
  <c r="BU108" i="24"/>
  <c r="BZ17" i="27"/>
  <c r="BX25" i="25"/>
  <c r="BX24" i="25"/>
  <c r="BX21" i="25"/>
  <c r="BX20" i="25"/>
  <c r="BU5" i="27"/>
  <c r="BU6" i="27"/>
  <c r="BV5" i="27"/>
  <c r="BV6" i="27"/>
  <c r="BZ16" i="27"/>
  <c r="BY20" i="25"/>
  <c r="CC19" i="24"/>
  <c r="BY23" i="25"/>
  <c r="BZ99" i="24"/>
  <c r="BY24" i="25"/>
  <c r="BZ54" i="24"/>
  <c r="BZ107" i="24"/>
  <c r="BZ102" i="24"/>
  <c r="BZ59" i="24"/>
  <c r="CC60" i="24"/>
  <c r="CC108" i="24"/>
  <c r="AR3" i="27"/>
  <c r="AR2" i="27"/>
  <c r="AR7" i="26"/>
  <c r="AR10" i="26" s="1"/>
  <c r="AR2" i="26"/>
  <c r="AR31" i="25"/>
  <c r="AR27" i="25"/>
  <c r="AR15" i="25"/>
  <c r="AR33" i="25" s="1"/>
  <c r="AR6" i="25"/>
  <c r="AR2" i="25"/>
  <c r="AR106" i="23"/>
  <c r="AR12" i="23"/>
  <c r="AR9" i="23"/>
  <c r="AR2" i="23"/>
  <c r="AR133" i="24"/>
  <c r="AR117" i="28"/>
  <c r="AR95" i="28"/>
  <c r="AR19" i="28"/>
  <c r="AR26" i="24"/>
  <c r="AR2" i="28"/>
  <c r="R117" i="28"/>
  <c r="Q117" i="28"/>
  <c r="R95" i="28"/>
  <c r="Q95" i="28"/>
  <c r="AF2" i="28"/>
  <c r="V2" i="28"/>
  <c r="U2" i="28"/>
  <c r="T2" i="28"/>
  <c r="S2" i="28"/>
  <c r="R2" i="28"/>
  <c r="Q2" i="28"/>
  <c r="P2" i="28"/>
  <c r="AF2" i="25"/>
  <c r="W2" i="25"/>
  <c r="V2" i="25"/>
  <c r="U2" i="25"/>
  <c r="T2" i="25"/>
  <c r="S2" i="25"/>
  <c r="R2" i="25"/>
  <c r="Q2" i="25"/>
  <c r="P2" i="25"/>
  <c r="AF2" i="26"/>
  <c r="W2" i="26"/>
  <c r="V2" i="26"/>
  <c r="U2" i="26"/>
  <c r="T2" i="26"/>
  <c r="S2" i="26"/>
  <c r="R2" i="26"/>
  <c r="Q2" i="26"/>
  <c r="P2" i="26"/>
  <c r="AF2" i="27"/>
  <c r="W2" i="27"/>
  <c r="V2" i="27"/>
  <c r="U2" i="27"/>
  <c r="T2" i="27"/>
  <c r="S2" i="27"/>
  <c r="R2" i="27"/>
  <c r="Q2" i="27"/>
  <c r="P2" i="27"/>
  <c r="AF2" i="23"/>
  <c r="W2" i="23"/>
  <c r="V2" i="23"/>
  <c r="U2" i="23"/>
  <c r="T2" i="23"/>
  <c r="S2" i="23"/>
  <c r="R2" i="23"/>
  <c r="Q2" i="23"/>
  <c r="P2" i="23"/>
  <c r="Q26" i="24"/>
  <c r="Q60" i="24" s="1"/>
  <c r="Q5" i="24"/>
  <c r="Q102" i="24" s="1"/>
  <c r="Q106" i="23"/>
  <c r="Q29" i="23"/>
  <c r="Q28" i="23"/>
  <c r="Q27" i="23"/>
  <c r="Q26" i="23"/>
  <c r="Q25" i="23"/>
  <c r="Q24" i="23"/>
  <c r="Q23" i="23"/>
  <c r="Q22" i="23"/>
  <c r="Q21" i="23"/>
  <c r="Q20" i="23"/>
  <c r="Q72" i="23" s="1"/>
  <c r="Q31" i="25"/>
  <c r="Q27" i="25"/>
  <c r="Q15" i="25"/>
  <c r="Q33" i="25" s="1"/>
  <c r="R26" i="24"/>
  <c r="R108" i="24" s="1"/>
  <c r="R5" i="24"/>
  <c r="R59" i="24" s="1"/>
  <c r="R106" i="23"/>
  <c r="R29" i="23"/>
  <c r="R28" i="23"/>
  <c r="R27" i="23"/>
  <c r="R26" i="23"/>
  <c r="R25" i="23"/>
  <c r="R24" i="23"/>
  <c r="R23" i="23"/>
  <c r="R22" i="23"/>
  <c r="R21" i="23"/>
  <c r="R20" i="23"/>
  <c r="R72" i="23" s="1"/>
  <c r="R31" i="25"/>
  <c r="R27" i="25"/>
  <c r="R15" i="25"/>
  <c r="R33" i="25" s="1"/>
  <c r="CF2" i="28"/>
  <c r="CE2" i="28"/>
  <c r="CD2" i="28"/>
  <c r="CF117" i="28"/>
  <c r="CE117" i="28"/>
  <c r="CD117" i="28"/>
  <c r="CF95" i="28"/>
  <c r="CE95" i="28"/>
  <c r="CD95" i="28"/>
  <c r="CF2" i="27"/>
  <c r="CE2" i="27"/>
  <c r="CD2" i="27"/>
  <c r="CE21" i="28"/>
  <c r="CE8" i="26" s="1"/>
  <c r="CD21" i="28"/>
  <c r="CD8" i="26" s="1"/>
  <c r="CF21" i="28"/>
  <c r="CF8" i="26" s="1"/>
  <c r="CF2" i="26"/>
  <c r="CE2" i="26"/>
  <c r="CD2" i="26"/>
  <c r="CF2" i="25"/>
  <c r="CE2" i="25"/>
  <c r="CD2" i="25"/>
  <c r="CF2" i="23"/>
  <c r="CE2" i="23"/>
  <c r="CD2" i="23"/>
  <c r="CF3" i="27"/>
  <c r="CF5" i="27" s="1"/>
  <c r="CE3" i="27"/>
  <c r="CE7" i="27" s="1"/>
  <c r="CE8" i="27" s="1"/>
  <c r="CD3" i="27"/>
  <c r="CD6" i="27" s="1"/>
  <c r="CD16" i="27" s="1"/>
  <c r="CF132" i="24"/>
  <c r="CE132" i="24"/>
  <c r="CD132" i="24"/>
  <c r="CF18" i="24"/>
  <c r="CE18" i="24"/>
  <c r="CD18" i="24"/>
  <c r="CF17" i="24"/>
  <c r="CE17" i="24"/>
  <c r="CD17" i="24"/>
  <c r="CF16" i="24"/>
  <c r="CE16" i="24"/>
  <c r="CD16" i="24"/>
  <c r="CF15" i="24"/>
  <c r="CE15" i="24"/>
  <c r="CD15" i="24"/>
  <c r="CF14" i="24"/>
  <c r="CE14" i="24"/>
  <c r="CD14" i="24"/>
  <c r="CF13" i="24"/>
  <c r="CE13" i="24"/>
  <c r="CD13" i="24"/>
  <c r="CF12" i="24"/>
  <c r="CE12" i="24"/>
  <c r="CD12" i="24"/>
  <c r="CF11" i="24"/>
  <c r="CE11" i="24"/>
  <c r="CD11" i="24"/>
  <c r="CF10" i="24"/>
  <c r="CE10" i="24"/>
  <c r="CD10" i="24"/>
  <c r="CF9" i="24"/>
  <c r="CE9" i="24"/>
  <c r="CD9" i="24"/>
  <c r="CF8" i="24"/>
  <c r="CE8" i="24"/>
  <c r="CD8" i="24"/>
  <c r="CF106" i="23"/>
  <c r="CE106" i="23"/>
  <c r="CD106" i="23"/>
  <c r="CF36" i="25"/>
  <c r="CE36" i="25"/>
  <c r="CD36" i="25"/>
  <c r="CF31" i="25"/>
  <c r="CE31" i="25"/>
  <c r="CD31" i="25"/>
  <c r="CF27" i="25"/>
  <c r="CE27" i="25"/>
  <c r="CD27" i="25"/>
  <c r="CF15" i="25"/>
  <c r="CE15" i="25"/>
  <c r="CD15" i="25"/>
  <c r="U14" i="31"/>
  <c r="T14" i="31" s="1"/>
  <c r="R14" i="31"/>
  <c r="BD16" i="28" s="1"/>
  <c r="BW2" i="24"/>
  <c r="BE3" i="27"/>
  <c r="BE6" i="27" s="1"/>
  <c r="BD3" i="27"/>
  <c r="BD6" i="27" s="1"/>
  <c r="BC3" i="27"/>
  <c r="BC7" i="27" s="1"/>
  <c r="BC8" i="27" s="1"/>
  <c r="BE2" i="27"/>
  <c r="BD2" i="27"/>
  <c r="BE117" i="28"/>
  <c r="BD117" i="28"/>
  <c r="BC117" i="28"/>
  <c r="BE95" i="28"/>
  <c r="BD95" i="28"/>
  <c r="BC95" i="28"/>
  <c r="BC133" i="24"/>
  <c r="BC106" i="23"/>
  <c r="BC12" i="23"/>
  <c r="BC9" i="23"/>
  <c r="BC36" i="25"/>
  <c r="BC15" i="25"/>
  <c r="BC29" i="25" s="1"/>
  <c r="BC21" i="28"/>
  <c r="BC8" i="26" s="1"/>
  <c r="BC26" i="24"/>
  <c r="BC4" i="24"/>
  <c r="BD133" i="24"/>
  <c r="BD106" i="23"/>
  <c r="BD12" i="23"/>
  <c r="BD9" i="23"/>
  <c r="BD2" i="23"/>
  <c r="BD36" i="25"/>
  <c r="BD15" i="25"/>
  <c r="BD29" i="25" s="1"/>
  <c r="BD2" i="25"/>
  <c r="BD2" i="26"/>
  <c r="BD21" i="28"/>
  <c r="BD8" i="26" s="1"/>
  <c r="BD26" i="24"/>
  <c r="BD4" i="24"/>
  <c r="BE133" i="24"/>
  <c r="BE106" i="23"/>
  <c r="BE12" i="23"/>
  <c r="BE9" i="23"/>
  <c r="BE2" i="23"/>
  <c r="BE36" i="25"/>
  <c r="BE15" i="25"/>
  <c r="BE29" i="25" s="1"/>
  <c r="BE2" i="25"/>
  <c r="BE2" i="26"/>
  <c r="BE21" i="28"/>
  <c r="BE8" i="26" s="1"/>
  <c r="BE26" i="24"/>
  <c r="BE4" i="24"/>
  <c r="BM2" i="23"/>
  <c r="BL2" i="25"/>
  <c r="BG16" i="28"/>
  <c r="BF16" i="28"/>
  <c r="BH16" i="28"/>
  <c r="BG2" i="27"/>
  <c r="BF2" i="27"/>
  <c r="BG2" i="26"/>
  <c r="BF2" i="26"/>
  <c r="BF2" i="25"/>
  <c r="BG2" i="25"/>
  <c r="BF2" i="23"/>
  <c r="BG2" i="23"/>
  <c r="BH117" i="28"/>
  <c r="BG117" i="28"/>
  <c r="BF117" i="28"/>
  <c r="BH95" i="28"/>
  <c r="BG95" i="28"/>
  <c r="BF95" i="28"/>
  <c r="BH133" i="24"/>
  <c r="BG133" i="24"/>
  <c r="BF133" i="24"/>
  <c r="BH12" i="23"/>
  <c r="BG12" i="23"/>
  <c r="BF12" i="23"/>
  <c r="BH9" i="23"/>
  <c r="BG9" i="23"/>
  <c r="BF9" i="23"/>
  <c r="BH3" i="27"/>
  <c r="BH7" i="27" s="1"/>
  <c r="BH8" i="27" s="1"/>
  <c r="BG3" i="27"/>
  <c r="BF3" i="27"/>
  <c r="BF7" i="27" s="1"/>
  <c r="BF8" i="27" s="1"/>
  <c r="BH21" i="28"/>
  <c r="BH8" i="26" s="1"/>
  <c r="BG21" i="28"/>
  <c r="BG8" i="26" s="1"/>
  <c r="BF21" i="28"/>
  <c r="BF8" i="26" s="1"/>
  <c r="BH26" i="24"/>
  <c r="BH106" i="23"/>
  <c r="BG106" i="23"/>
  <c r="BF106" i="23"/>
  <c r="BH15" i="25"/>
  <c r="BH33" i="25" s="1"/>
  <c r="BG15" i="25"/>
  <c r="BG33" i="25" s="1"/>
  <c r="BF15" i="25"/>
  <c r="BF29" i="25" s="1"/>
  <c r="BG26" i="24"/>
  <c r="BF26" i="24"/>
  <c r="BL3" i="27"/>
  <c r="BL6" i="27" s="1"/>
  <c r="BL31" i="25"/>
  <c r="BL27" i="25"/>
  <c r="BL15" i="25"/>
  <c r="BL33" i="25" s="1"/>
  <c r="BL6" i="25"/>
  <c r="BL106" i="23"/>
  <c r="BL12" i="23"/>
  <c r="BL9" i="23"/>
  <c r="BL133" i="24"/>
  <c r="BL117" i="28"/>
  <c r="BL95" i="28"/>
  <c r="BL21" i="28"/>
  <c r="BL8" i="26" s="1"/>
  <c r="BL13" i="28"/>
  <c r="BL26" i="24" s="1"/>
  <c r="BL108" i="24" s="1"/>
  <c r="BM3" i="27"/>
  <c r="BM6" i="27" s="1"/>
  <c r="BN3" i="27"/>
  <c r="BN6" i="27" s="1"/>
  <c r="BM31" i="25"/>
  <c r="BM27" i="25"/>
  <c r="BM15" i="25"/>
  <c r="BM33" i="25" s="1"/>
  <c r="BM6" i="25"/>
  <c r="BM106" i="23"/>
  <c r="BM12" i="23"/>
  <c r="BM9" i="23"/>
  <c r="BM117" i="28"/>
  <c r="BM95" i="28"/>
  <c r="BM21" i="28"/>
  <c r="BM8" i="26" s="1"/>
  <c r="BM13" i="28"/>
  <c r="BM26" i="24" s="1"/>
  <c r="BM133" i="24"/>
  <c r="BN117" i="28"/>
  <c r="BN95" i="28"/>
  <c r="BQ2" i="23"/>
  <c r="BP2" i="23"/>
  <c r="BO2" i="23"/>
  <c r="BK2" i="23"/>
  <c r="BN133" i="24"/>
  <c r="BN106" i="23"/>
  <c r="BN12" i="23"/>
  <c r="BN9" i="23"/>
  <c r="BN31" i="25"/>
  <c r="BN27" i="25"/>
  <c r="BN15" i="25"/>
  <c r="BN29" i="25" s="1"/>
  <c r="BN6" i="25"/>
  <c r="BN21" i="28"/>
  <c r="BN8" i="26" s="1"/>
  <c r="BN13" i="28"/>
  <c r="BN26" i="24" s="1"/>
  <c r="BP17" i="25"/>
  <c r="BQ2" i="25"/>
  <c r="BP2" i="25"/>
  <c r="BO2" i="25"/>
  <c r="BO17" i="25"/>
  <c r="BS117" i="28"/>
  <c r="BR117" i="28"/>
  <c r="BQ117" i="28"/>
  <c r="BP117" i="28"/>
  <c r="BO117" i="28"/>
  <c r="BS95" i="28"/>
  <c r="BR95" i="28"/>
  <c r="BQ95" i="28"/>
  <c r="BP95" i="28"/>
  <c r="BO95" i="28"/>
  <c r="BQ2" i="27"/>
  <c r="BP2" i="27"/>
  <c r="BO2" i="27"/>
  <c r="BQ2" i="26"/>
  <c r="BP2" i="26"/>
  <c r="BO2" i="26"/>
  <c r="BK2" i="26"/>
  <c r="BS21" i="28"/>
  <c r="BS8" i="26" s="1"/>
  <c r="BR21" i="28"/>
  <c r="BR8" i="26" s="1"/>
  <c r="BQ21" i="28"/>
  <c r="BQ8" i="26" s="1"/>
  <c r="BP21" i="28"/>
  <c r="BP8" i="26" s="1"/>
  <c r="BO21" i="28"/>
  <c r="BO8" i="26" s="1"/>
  <c r="BS133" i="24"/>
  <c r="BR133" i="24"/>
  <c r="BQ133" i="24"/>
  <c r="BP133" i="24"/>
  <c r="BO133" i="24"/>
  <c r="BS12" i="23"/>
  <c r="BR12" i="23"/>
  <c r="BQ12" i="23"/>
  <c r="BP12" i="23"/>
  <c r="BO12" i="23"/>
  <c r="BS9" i="23"/>
  <c r="BR9" i="23"/>
  <c r="BQ9" i="23"/>
  <c r="BP9" i="23"/>
  <c r="BO9" i="23"/>
  <c r="BS6" i="25"/>
  <c r="BR6" i="25"/>
  <c r="BQ6" i="25"/>
  <c r="BP6" i="25"/>
  <c r="BO6" i="25"/>
  <c r="BS3" i="27"/>
  <c r="BS6" i="27" s="1"/>
  <c r="BR3" i="27"/>
  <c r="BR5" i="27" s="1"/>
  <c r="BQ3" i="27"/>
  <c r="BQ7" i="27" s="1"/>
  <c r="BQ8" i="27" s="1"/>
  <c r="BP3" i="27"/>
  <c r="BO3" i="27"/>
  <c r="BO7" i="27" s="1"/>
  <c r="BO8" i="27" s="1"/>
  <c r="BS13" i="28"/>
  <c r="BS26" i="24" s="1"/>
  <c r="BR13" i="28"/>
  <c r="BR26" i="24" s="1"/>
  <c r="BR60" i="24" s="1"/>
  <c r="BQ13" i="28"/>
  <c r="BQ26" i="24" s="1"/>
  <c r="BP13" i="28"/>
  <c r="BP26" i="24" s="1"/>
  <c r="BO13" i="28"/>
  <c r="BO26" i="24" s="1"/>
  <c r="BQ5" i="24"/>
  <c r="BQ85" i="24" s="1"/>
  <c r="BS106" i="23"/>
  <c r="BR106" i="23"/>
  <c r="BQ106" i="23"/>
  <c r="BP106" i="23"/>
  <c r="BO106" i="23"/>
  <c r="BS31" i="25"/>
  <c r="BR31" i="25"/>
  <c r="BQ31" i="25"/>
  <c r="BP31" i="25"/>
  <c r="BO31" i="25"/>
  <c r="BS27" i="25"/>
  <c r="BR27" i="25"/>
  <c r="BQ27" i="25"/>
  <c r="BP27" i="25"/>
  <c r="BO27" i="25"/>
  <c r="BS15" i="25"/>
  <c r="BS29" i="25" s="1"/>
  <c r="BR15" i="25"/>
  <c r="BR33" i="25" s="1"/>
  <c r="BQ15" i="25"/>
  <c r="BQ33" i="25" s="1"/>
  <c r="BP15" i="25"/>
  <c r="BP29" i="25" s="1"/>
  <c r="BO15" i="25"/>
  <c r="BO29" i="25" s="1"/>
  <c r="C59" i="50" l="1"/>
  <c r="I44" i="50" s="1"/>
  <c r="A45" i="72"/>
  <c r="B45" i="72" s="1"/>
  <c r="G44" i="72" s="1"/>
  <c r="B45" i="41"/>
  <c r="Z44" i="64"/>
  <c r="R27" i="64" s="1"/>
  <c r="Z59" i="69"/>
  <c r="Z44" i="69"/>
  <c r="R27" i="69" s="1"/>
  <c r="Z59" i="64"/>
  <c r="D44" i="61"/>
  <c r="C44" i="61"/>
  <c r="Q44" i="60"/>
  <c r="BC16" i="28"/>
  <c r="BE16" i="28"/>
  <c r="D71" i="60"/>
  <c r="D44" i="60" s="1"/>
  <c r="BR7" i="27"/>
  <c r="BR8" i="27" s="1"/>
  <c r="C46" i="52"/>
  <c r="C49" i="52"/>
  <c r="C50" i="52"/>
  <c r="A47" i="51"/>
  <c r="A47" i="48"/>
  <c r="A45" i="48"/>
  <c r="A45" i="51"/>
  <c r="C48" i="52"/>
  <c r="A51" i="48"/>
  <c r="A51" i="51"/>
  <c r="A50" i="48"/>
  <c r="A50" i="51"/>
  <c r="A54" i="48"/>
  <c r="A54" i="51"/>
  <c r="A53" i="48"/>
  <c r="A53" i="51"/>
  <c r="A54" i="42"/>
  <c r="B54" i="42" s="1"/>
  <c r="CB11" i="27"/>
  <c r="A55" i="42"/>
  <c r="B55" i="42" s="1"/>
  <c r="CC16" i="28"/>
  <c r="CW16" i="28"/>
  <c r="BW2" i="25"/>
  <c r="BW2" i="28"/>
  <c r="BW19" i="28" s="1"/>
  <c r="BW2" i="23"/>
  <c r="CB16" i="27"/>
  <c r="CB18" i="27"/>
  <c r="BN2" i="24"/>
  <c r="BN2" i="28" s="1"/>
  <c r="BN19" i="28" s="1"/>
  <c r="BH2" i="28"/>
  <c r="BH19" i="28" s="1"/>
  <c r="CA11" i="27"/>
  <c r="BV18" i="27"/>
  <c r="BV17" i="27"/>
  <c r="BV16" i="27"/>
  <c r="BV11" i="27"/>
  <c r="BZ11" i="27"/>
  <c r="BX16" i="27"/>
  <c r="BX17" i="27"/>
  <c r="BX18" i="27"/>
  <c r="BY11" i="27"/>
  <c r="BX11" i="27"/>
  <c r="BZ2" i="27"/>
  <c r="BZ2" i="26"/>
  <c r="BU18" i="27"/>
  <c r="BU17" i="27"/>
  <c r="BU16" i="27"/>
  <c r="CA17" i="27"/>
  <c r="CA18" i="27"/>
  <c r="CA16" i="27"/>
  <c r="BU11" i="27"/>
  <c r="BY16" i="27"/>
  <c r="BY18" i="27"/>
  <c r="BY17" i="27"/>
  <c r="BS5" i="27"/>
  <c r="BF6" i="27"/>
  <c r="BF17" i="27" s="1"/>
  <c r="BF5" i="27"/>
  <c r="CD5" i="27"/>
  <c r="BH5" i="27"/>
  <c r="CD7" i="27"/>
  <c r="CD8" i="27" s="1"/>
  <c r="AR6" i="27"/>
  <c r="AR18" i="27" s="1"/>
  <c r="CE6" i="27"/>
  <c r="CF6" i="27"/>
  <c r="CF18" i="27" s="1"/>
  <c r="BM7" i="27"/>
  <c r="BM8" i="27" s="1"/>
  <c r="BL7" i="27"/>
  <c r="BL8" i="27" s="1"/>
  <c r="BC5" i="27"/>
  <c r="CF7" i="27"/>
  <c r="CF8" i="27" s="1"/>
  <c r="BC6" i="27"/>
  <c r="BC16" i="27" s="1"/>
  <c r="CE5" i="27"/>
  <c r="BN7" i="27"/>
  <c r="BN8" i="27" s="1"/>
  <c r="BH6" i="27"/>
  <c r="BO6" i="27"/>
  <c r="BO18" i="27" s="1"/>
  <c r="AR7" i="27"/>
  <c r="AR8" i="27" s="1"/>
  <c r="AR108" i="24"/>
  <c r="BH2" i="27"/>
  <c r="AR29" i="25"/>
  <c r="AR60" i="24"/>
  <c r="A56" i="41"/>
  <c r="B56" i="41" s="1"/>
  <c r="A55" i="41"/>
  <c r="B55" i="41" s="1"/>
  <c r="Q85" i="24"/>
  <c r="Q99" i="24" s="1"/>
  <c r="Q29" i="25"/>
  <c r="R60" i="24"/>
  <c r="Q107" i="24"/>
  <c r="R102" i="24"/>
  <c r="Q54" i="24"/>
  <c r="Q108" i="24"/>
  <c r="Q37" i="24"/>
  <c r="Q59" i="24"/>
  <c r="R29" i="25"/>
  <c r="R107" i="24"/>
  <c r="R85" i="24"/>
  <c r="R54" i="24"/>
  <c r="R37" i="24"/>
  <c r="CF11" i="27"/>
  <c r="CD17" i="27"/>
  <c r="CD18" i="27"/>
  <c r="CD19" i="24"/>
  <c r="CE19" i="24"/>
  <c r="CF19" i="24"/>
  <c r="BC33" i="25"/>
  <c r="BD18" i="27"/>
  <c r="BD17" i="27"/>
  <c r="BD16" i="27"/>
  <c r="BE18" i="27"/>
  <c r="BE17" i="27"/>
  <c r="BE16" i="27"/>
  <c r="BD7" i="27"/>
  <c r="BD8" i="27" s="1"/>
  <c r="BE7" i="27"/>
  <c r="BE8" i="27" s="1"/>
  <c r="BD5" i="27"/>
  <c r="BE5" i="27"/>
  <c r="BC108" i="24"/>
  <c r="BC60" i="24"/>
  <c r="BE33" i="25"/>
  <c r="BD108" i="24"/>
  <c r="BD60" i="24"/>
  <c r="BD33" i="25"/>
  <c r="BE108" i="24"/>
  <c r="BE60" i="24"/>
  <c r="BG29" i="25"/>
  <c r="BF33" i="25"/>
  <c r="BM2" i="25"/>
  <c r="BM2" i="27"/>
  <c r="BM2" i="26"/>
  <c r="BL2" i="26"/>
  <c r="BL2" i="27"/>
  <c r="BL2" i="23"/>
  <c r="BH2" i="23"/>
  <c r="BH2" i="26"/>
  <c r="BH2" i="25"/>
  <c r="BN16" i="28"/>
  <c r="BW16" i="28" s="1"/>
  <c r="BH108" i="24"/>
  <c r="BH60" i="24"/>
  <c r="BN33" i="25"/>
  <c r="BG108" i="24"/>
  <c r="BG60" i="24"/>
  <c r="BG5" i="27"/>
  <c r="BG7" i="27"/>
  <c r="BG8" i="27" s="1"/>
  <c r="BG6" i="27"/>
  <c r="BF108" i="24"/>
  <c r="BF60" i="24"/>
  <c r="BH29" i="25"/>
  <c r="BL18" i="27"/>
  <c r="BL17" i="27"/>
  <c r="BL16" i="27"/>
  <c r="BL5" i="27"/>
  <c r="BL29" i="25"/>
  <c r="BL60" i="24"/>
  <c r="BM29" i="25"/>
  <c r="BM18" i="27"/>
  <c r="BM17" i="27"/>
  <c r="BM16" i="27"/>
  <c r="BM5" i="27"/>
  <c r="BN18" i="27"/>
  <c r="BN17" i="27"/>
  <c r="BN16" i="27"/>
  <c r="BN5" i="27"/>
  <c r="BM108" i="24"/>
  <c r="BM60" i="24"/>
  <c r="BQ37" i="24"/>
  <c r="BQ29" i="25"/>
  <c r="BQ107" i="24"/>
  <c r="BN108" i="24"/>
  <c r="BN60" i="24"/>
  <c r="BR29" i="25"/>
  <c r="BP25" i="25"/>
  <c r="BP22" i="25"/>
  <c r="BS17" i="27"/>
  <c r="BO25" i="25"/>
  <c r="BO20" i="25"/>
  <c r="BO23" i="25"/>
  <c r="BO21" i="25"/>
  <c r="BO24" i="25"/>
  <c r="BS108" i="24"/>
  <c r="BS60" i="24"/>
  <c r="BS33" i="25"/>
  <c r="BP7" i="27"/>
  <c r="BP8" i="27" s="1"/>
  <c r="BP5" i="27"/>
  <c r="BP6" i="27"/>
  <c r="BO22" i="25"/>
  <c r="BQ5" i="27"/>
  <c r="BQ6" i="27"/>
  <c r="BP108" i="24"/>
  <c r="BR11" i="27"/>
  <c r="BP20" i="25"/>
  <c r="BP23" i="25"/>
  <c r="BP21" i="25"/>
  <c r="BP24" i="25"/>
  <c r="BQ108" i="24"/>
  <c r="BQ60" i="24"/>
  <c r="BS18" i="27"/>
  <c r="BS16" i="27"/>
  <c r="BP60" i="24"/>
  <c r="BR108" i="24"/>
  <c r="BS7" i="27"/>
  <c r="BS8" i="27" s="1"/>
  <c r="BQ99" i="24"/>
  <c r="BO5" i="27"/>
  <c r="BR6" i="27"/>
  <c r="BO33" i="25"/>
  <c r="BP33" i="25"/>
  <c r="BO60" i="24"/>
  <c r="BO108" i="24"/>
  <c r="BQ102" i="24"/>
  <c r="BQ59" i="24"/>
  <c r="BQ54" i="24"/>
  <c r="BA36" i="25"/>
  <c r="AZ36" i="25"/>
  <c r="AY36" i="25"/>
  <c r="BA31" i="25"/>
  <c r="AZ31" i="25"/>
  <c r="AY31" i="25"/>
  <c r="BA27" i="25"/>
  <c r="AZ27" i="25"/>
  <c r="AY27" i="25"/>
  <c r="BA15" i="25"/>
  <c r="AZ15" i="25"/>
  <c r="AY15" i="25"/>
  <c r="AZ117" i="28"/>
  <c r="AY117" i="28"/>
  <c r="AZ95" i="28"/>
  <c r="AY95" i="28"/>
  <c r="BA2" i="28"/>
  <c r="A54" i="47" s="1"/>
  <c r="AZ2" i="28"/>
  <c r="A51" i="47" s="1"/>
  <c r="AY2" i="28"/>
  <c r="A53" i="47" s="1"/>
  <c r="AZ106" i="23"/>
  <c r="AZ2" i="23"/>
  <c r="AZ2" i="25"/>
  <c r="AZ7" i="26"/>
  <c r="AZ10" i="26" s="1"/>
  <c r="AZ2" i="26"/>
  <c r="AZ3" i="27"/>
  <c r="AZ2" i="27"/>
  <c r="AZ132" i="24"/>
  <c r="AZ18" i="24"/>
  <c r="AZ17" i="24"/>
  <c r="AZ16" i="24"/>
  <c r="AZ15" i="24"/>
  <c r="AZ14" i="24"/>
  <c r="AZ13" i="24"/>
  <c r="AZ12" i="24"/>
  <c r="AZ11" i="24"/>
  <c r="AZ10" i="24"/>
  <c r="AZ9" i="24"/>
  <c r="AZ8" i="24"/>
  <c r="BA2" i="27"/>
  <c r="AY2" i="27"/>
  <c r="AY3" i="27"/>
  <c r="AY7" i="27" s="1"/>
  <c r="AY8" i="27" s="1"/>
  <c r="BA3" i="27"/>
  <c r="BA7" i="27" s="1"/>
  <c r="BA8" i="27" s="1"/>
  <c r="BA7" i="26"/>
  <c r="BA10" i="26" s="1"/>
  <c r="AY7" i="26"/>
  <c r="AY10" i="26" s="1"/>
  <c r="BA2" i="26"/>
  <c r="AY2" i="26"/>
  <c r="AY2" i="25"/>
  <c r="BA2" i="25"/>
  <c r="BA117" i="28"/>
  <c r="BA95" i="28"/>
  <c r="BB95" i="28"/>
  <c r="BB117" i="28"/>
  <c r="BA132" i="24"/>
  <c r="BA18" i="24"/>
  <c r="BA17" i="24"/>
  <c r="BA16" i="24"/>
  <c r="BA15" i="24"/>
  <c r="BA14" i="24"/>
  <c r="BA13" i="24"/>
  <c r="BA12" i="24"/>
  <c r="BA11" i="24"/>
  <c r="BA10" i="24"/>
  <c r="BA9" i="24"/>
  <c r="BA8" i="24"/>
  <c r="BA106" i="23"/>
  <c r="BA2" i="23"/>
  <c r="AY132" i="24"/>
  <c r="AY18" i="24"/>
  <c r="AY17" i="24"/>
  <c r="AY16" i="24"/>
  <c r="AY15" i="24"/>
  <c r="AY14" i="24"/>
  <c r="AY13" i="24"/>
  <c r="AY12" i="24"/>
  <c r="AY11" i="24"/>
  <c r="AY10" i="24"/>
  <c r="AY9" i="24"/>
  <c r="AY8" i="24"/>
  <c r="AY106" i="23"/>
  <c r="AY2" i="23"/>
  <c r="AS2" i="27"/>
  <c r="AW7" i="26"/>
  <c r="AW10" i="26" s="1"/>
  <c r="AV7" i="26"/>
  <c r="AV10" i="26" s="1"/>
  <c r="AU7" i="26"/>
  <c r="AU10" i="26" s="1"/>
  <c r="AT7" i="26"/>
  <c r="AT10" i="26" s="1"/>
  <c r="AS7" i="26"/>
  <c r="AS10" i="26" s="1"/>
  <c r="AS2" i="26"/>
  <c r="AS2" i="25"/>
  <c r="AS2" i="23"/>
  <c r="AS2" i="28"/>
  <c r="A50" i="47" s="1"/>
  <c r="AS117" i="28"/>
  <c r="AS95" i="28"/>
  <c r="AT117" i="28"/>
  <c r="AT95" i="28"/>
  <c r="AS133" i="24"/>
  <c r="AS106" i="23"/>
  <c r="AS12" i="23"/>
  <c r="AS9" i="23"/>
  <c r="AS31" i="25"/>
  <c r="AS27" i="25"/>
  <c r="AS15" i="25"/>
  <c r="AS29" i="25" s="1"/>
  <c r="AS6" i="25"/>
  <c r="AS3" i="27"/>
  <c r="AS7" i="27" s="1"/>
  <c r="AS8" i="27" s="1"/>
  <c r="AS19" i="28"/>
  <c r="AS26" i="24"/>
  <c r="AS17" i="25"/>
  <c r="AT2" i="25"/>
  <c r="AT2" i="26"/>
  <c r="AT2" i="27"/>
  <c r="AT2" i="23"/>
  <c r="AT2" i="28"/>
  <c r="AT133" i="24"/>
  <c r="AT106" i="23"/>
  <c r="AT12" i="23"/>
  <c r="AT9" i="23"/>
  <c r="AT31" i="25"/>
  <c r="AT27" i="25"/>
  <c r="AT15" i="25"/>
  <c r="AT29" i="25" s="1"/>
  <c r="AT6" i="25"/>
  <c r="AT3" i="27"/>
  <c r="AT7" i="27" s="1"/>
  <c r="AT8" i="27" s="1"/>
  <c r="AT19" i="28"/>
  <c r="AT26" i="24"/>
  <c r="AU3" i="27"/>
  <c r="AV3" i="27"/>
  <c r="AV7" i="27" s="1"/>
  <c r="AV8" i="27" s="1"/>
  <c r="AW3" i="27"/>
  <c r="AW7" i="27" s="1"/>
  <c r="AW8" i="27" s="1"/>
  <c r="AU2" i="27"/>
  <c r="AU2" i="26"/>
  <c r="AU2" i="25"/>
  <c r="AW6" i="25"/>
  <c r="AV6" i="25"/>
  <c r="AU6" i="25"/>
  <c r="AW12" i="23"/>
  <c r="AV12" i="23"/>
  <c r="AU12" i="23"/>
  <c r="AU9" i="23"/>
  <c r="AV9" i="23"/>
  <c r="AW9" i="23"/>
  <c r="AU2" i="23"/>
  <c r="AU133" i="24"/>
  <c r="AV133" i="24"/>
  <c r="AW133" i="24"/>
  <c r="AU19" i="28"/>
  <c r="AV19" i="28"/>
  <c r="AW19" i="28"/>
  <c r="AW26" i="24"/>
  <c r="AV26" i="24"/>
  <c r="AV108" i="24" s="1"/>
  <c r="AU26" i="24"/>
  <c r="AU108" i="24" s="1"/>
  <c r="AU2" i="28"/>
  <c r="AW117" i="28"/>
  <c r="AV117" i="28"/>
  <c r="AU117" i="28"/>
  <c r="AW95" i="28"/>
  <c r="AV95" i="28"/>
  <c r="AU95" i="28"/>
  <c r="AU106" i="23"/>
  <c r="AU31" i="25"/>
  <c r="AU27" i="25"/>
  <c r="AU15" i="25"/>
  <c r="AU33" i="25" s="1"/>
  <c r="AV106" i="23"/>
  <c r="AV31" i="25"/>
  <c r="AV27" i="25"/>
  <c r="AV15" i="25"/>
  <c r="AV33" i="25" s="1"/>
  <c r="AW106" i="23"/>
  <c r="AW31" i="25"/>
  <c r="AW27" i="25"/>
  <c r="AW15" i="25"/>
  <c r="AW33" i="25" s="1"/>
  <c r="B95" i="32" l="1"/>
  <c r="AA75" i="32"/>
  <c r="BO17" i="27"/>
  <c r="CF17" i="27"/>
  <c r="AV6" i="27"/>
  <c r="AV17" i="27" s="1"/>
  <c r="BO16" i="27"/>
  <c r="A47" i="52"/>
  <c r="A47" i="50"/>
  <c r="C47" i="50" s="1"/>
  <c r="BH16" i="27"/>
  <c r="CF16" i="27"/>
  <c r="BH17" i="27"/>
  <c r="BX16" i="28"/>
  <c r="BY16" i="28"/>
  <c r="BZ16" i="28"/>
  <c r="CA16" i="28"/>
  <c r="CB16" i="28"/>
  <c r="A45" i="47"/>
  <c r="A47" i="47"/>
  <c r="BC11" i="27"/>
  <c r="AU6" i="27"/>
  <c r="AU17" i="27" s="1"/>
  <c r="BH18" i="27"/>
  <c r="CE18" i="27"/>
  <c r="BF11" i="27"/>
  <c r="BF18" i="27"/>
  <c r="BS11" i="27"/>
  <c r="BF16" i="27"/>
  <c r="BH11" i="27"/>
  <c r="CD11" i="27"/>
  <c r="AR17" i="27"/>
  <c r="BC18" i="27"/>
  <c r="AR16" i="27"/>
  <c r="CE17" i="27"/>
  <c r="CE11" i="27"/>
  <c r="CE16" i="27"/>
  <c r="BC17" i="27"/>
  <c r="AW6" i="27"/>
  <c r="AW17" i="27" s="1"/>
  <c r="AZ6" i="27"/>
  <c r="AZ7" i="27"/>
  <c r="AZ8" i="27" s="1"/>
  <c r="A53" i="43"/>
  <c r="A51" i="43"/>
  <c r="A45" i="43"/>
  <c r="A54" i="43"/>
  <c r="A47" i="43"/>
  <c r="A50" i="43"/>
  <c r="R99" i="24"/>
  <c r="BE11" i="27"/>
  <c r="BD11" i="27"/>
  <c r="BC111" i="24"/>
  <c r="BC110" i="24"/>
  <c r="BC63" i="24"/>
  <c r="BC62" i="24"/>
  <c r="BD63" i="24"/>
  <c r="BD62" i="24"/>
  <c r="BD111" i="24"/>
  <c r="BD110" i="24"/>
  <c r="BE63" i="24"/>
  <c r="BE62" i="24"/>
  <c r="BE110" i="24"/>
  <c r="BE111" i="24"/>
  <c r="BN2" i="25"/>
  <c r="BN2" i="27"/>
  <c r="BN2" i="23"/>
  <c r="BN2" i="26"/>
  <c r="BM16" i="28"/>
  <c r="BV16" i="28" s="1"/>
  <c r="BL16" i="28"/>
  <c r="BU16" i="28" s="1"/>
  <c r="BG17" i="27"/>
  <c r="BG18" i="27"/>
  <c r="BG16" i="27"/>
  <c r="BG11" i="27"/>
  <c r="BL11" i="27"/>
  <c r="BM11" i="27"/>
  <c r="BN11" i="27"/>
  <c r="BP17" i="27"/>
  <c r="BP18" i="27"/>
  <c r="BP16" i="27"/>
  <c r="BR17" i="27"/>
  <c r="BR18" i="27"/>
  <c r="BR16" i="27"/>
  <c r="BQ17" i="27"/>
  <c r="BQ18" i="27"/>
  <c r="BQ16" i="27"/>
  <c r="BP11" i="27"/>
  <c r="BQ11" i="27"/>
  <c r="BO11" i="27"/>
  <c r="AZ19" i="24"/>
  <c r="BA19" i="24"/>
  <c r="AY6" i="27"/>
  <c r="AY17" i="27" s="1"/>
  <c r="BA6" i="27"/>
  <c r="BA17" i="27" s="1"/>
  <c r="AY19" i="24"/>
  <c r="AS33" i="25"/>
  <c r="AS22" i="25"/>
  <c r="AS23" i="25"/>
  <c r="AS21" i="25"/>
  <c r="AS24" i="25"/>
  <c r="AS20" i="25"/>
  <c r="AS25" i="25"/>
  <c r="AS108" i="24"/>
  <c r="AS60" i="24"/>
  <c r="AS6" i="27"/>
  <c r="AT108" i="24"/>
  <c r="AT60" i="24"/>
  <c r="AT33" i="25"/>
  <c r="AU29" i="25"/>
  <c r="AT6" i="27"/>
  <c r="AU7" i="27"/>
  <c r="AU8" i="27" s="1"/>
  <c r="AV29" i="25"/>
  <c r="AW29" i="25"/>
  <c r="AU60" i="24"/>
  <c r="AW60" i="24"/>
  <c r="AW108" i="24"/>
  <c r="AV60" i="24"/>
  <c r="C12" i="38"/>
  <c r="C12" i="39"/>
  <c r="B8" i="37"/>
  <c r="D5" i="37"/>
  <c r="C5" i="37"/>
  <c r="D4" i="37"/>
  <c r="C4" i="37"/>
  <c r="B74" i="32"/>
  <c r="B73" i="32"/>
  <c r="G38" i="37"/>
  <c r="G37" i="37"/>
  <c r="G36" i="37"/>
  <c r="G35" i="37"/>
  <c r="G34" i="37"/>
  <c r="G33" i="37"/>
  <c r="G30" i="37"/>
  <c r="G29" i="37"/>
  <c r="K27" i="37"/>
  <c r="J27" i="37"/>
  <c r="I27" i="37"/>
  <c r="K26" i="37"/>
  <c r="J26" i="37"/>
  <c r="B76" i="32"/>
  <c r="F91" i="32" s="1"/>
  <c r="B75" i="32"/>
  <c r="D44" i="36" l="1"/>
  <c r="D44" i="39"/>
  <c r="D44" i="38"/>
  <c r="AV18" i="27"/>
  <c r="AU16" i="27"/>
  <c r="AV16" i="27"/>
  <c r="AU18" i="27"/>
  <c r="AZ18" i="27"/>
  <c r="C47" i="52"/>
  <c r="AW18" i="27"/>
  <c r="AZ17" i="27"/>
  <c r="AZ16" i="27"/>
  <c r="AW16" i="27"/>
  <c r="AY18" i="27"/>
  <c r="AY16" i="27"/>
  <c r="BA18" i="27"/>
  <c r="BA16" i="27"/>
  <c r="AS18" i="27"/>
  <c r="AS17" i="27"/>
  <c r="AS16" i="27"/>
  <c r="AT18" i="27"/>
  <c r="AT17" i="27"/>
  <c r="AT16" i="27"/>
  <c r="C12" i="36"/>
  <c r="L78" i="32"/>
  <c r="L77" i="32"/>
  <c r="L76" i="32"/>
  <c r="L75" i="32"/>
  <c r="L74" i="32"/>
  <c r="O27" i="14"/>
  <c r="M74" i="32"/>
  <c r="D111" i="32" s="1"/>
  <c r="D12" i="37" s="1"/>
  <c r="B125" i="32"/>
  <c r="B17" i="37"/>
  <c r="F101" i="32"/>
  <c r="K37" i="37" s="1"/>
  <c r="F100" i="32"/>
  <c r="K36" i="37" s="1"/>
  <c r="N69" i="32"/>
  <c r="C99" i="32" s="1"/>
  <c r="H35" i="37" s="1"/>
  <c r="AE78" i="32"/>
  <c r="AD78" i="32"/>
  <c r="AC78" i="32"/>
  <c r="AB78" i="32"/>
  <c r="Z78" i="32"/>
  <c r="Y78" i="32"/>
  <c r="X78" i="32"/>
  <c r="W78" i="32"/>
  <c r="B78" i="32"/>
  <c r="B77" i="32"/>
  <c r="AH76" i="32"/>
  <c r="F102" i="32" s="1"/>
  <c r="K38" i="37" s="1"/>
  <c r="R76" i="32"/>
  <c r="Q76" i="32"/>
  <c r="P76" i="32"/>
  <c r="O76" i="32"/>
  <c r="N76" i="32"/>
  <c r="F99" i="32" s="1"/>
  <c r="K35" i="37" s="1"/>
  <c r="M76" i="32"/>
  <c r="F98" i="32" s="1"/>
  <c r="K34" i="37" s="1"/>
  <c r="K76" i="32"/>
  <c r="J76" i="32"/>
  <c r="F94" i="32" s="1"/>
  <c r="K30" i="37" s="1"/>
  <c r="I76" i="32"/>
  <c r="E76" i="32"/>
  <c r="H76" i="32"/>
  <c r="D76" i="32"/>
  <c r="F93" i="32" s="1"/>
  <c r="K29" i="37" s="1"/>
  <c r="F76" i="32"/>
  <c r="F95" i="32" s="1"/>
  <c r="K31" i="37" s="1"/>
  <c r="C76" i="32"/>
  <c r="F92" i="32" s="1"/>
  <c r="K28" i="37" s="1"/>
  <c r="R75" i="32"/>
  <c r="Q75" i="32"/>
  <c r="P75" i="32"/>
  <c r="O75" i="32"/>
  <c r="N75" i="32"/>
  <c r="M75" i="32"/>
  <c r="K75" i="32"/>
  <c r="J75" i="32"/>
  <c r="I75" i="32"/>
  <c r="E75" i="32"/>
  <c r="H75" i="32"/>
  <c r="E97" i="32" s="1"/>
  <c r="D75" i="32"/>
  <c r="F75" i="32"/>
  <c r="E95" i="32" s="1"/>
  <c r="J31" i="37" s="1"/>
  <c r="C75" i="32"/>
  <c r="E91" i="32"/>
  <c r="B87" i="32"/>
  <c r="C89" i="32"/>
  <c r="B89" i="32"/>
  <c r="AH74" i="32"/>
  <c r="AC74" i="32"/>
  <c r="W74" i="32"/>
  <c r="N74" i="32"/>
  <c r="K74" i="32"/>
  <c r="D110" i="32" s="1"/>
  <c r="J74" i="32"/>
  <c r="H74" i="32"/>
  <c r="D74" i="32"/>
  <c r="D104" i="32"/>
  <c r="C104" i="32"/>
  <c r="B86" i="32"/>
  <c r="K69" i="32"/>
  <c r="J69" i="32"/>
  <c r="C94" i="32" s="1"/>
  <c r="H30" i="37" s="1"/>
  <c r="C12" i="32"/>
  <c r="C11" i="72" s="1"/>
  <c r="DW31" i="25"/>
  <c r="DU31" i="25"/>
  <c r="CX31" i="25"/>
  <c r="CV31" i="25"/>
  <c r="CR31" i="25"/>
  <c r="CQ31" i="25"/>
  <c r="CG31" i="25"/>
  <c r="BT31" i="25"/>
  <c r="BB31" i="25"/>
  <c r="DW27" i="25"/>
  <c r="DU27" i="25"/>
  <c r="CX27" i="25"/>
  <c r="CV27" i="25"/>
  <c r="CR27" i="25"/>
  <c r="CQ27" i="25"/>
  <c r="CG27" i="25"/>
  <c r="BT27" i="25"/>
  <c r="BB27" i="25"/>
  <c r="D15" i="25"/>
  <c r="D29" i="25" s="1"/>
  <c r="E15" i="25"/>
  <c r="E29" i="25" s="1"/>
  <c r="F15" i="25"/>
  <c r="F29" i="25" s="1"/>
  <c r="G15" i="25"/>
  <c r="G33" i="25" s="1"/>
  <c r="H15" i="25"/>
  <c r="H33" i="25" s="1"/>
  <c r="J15" i="25"/>
  <c r="J29" i="25" s="1"/>
  <c r="K15" i="25"/>
  <c r="K33" i="25" s="1"/>
  <c r="L15" i="25"/>
  <c r="L29" i="25" s="1"/>
  <c r="M15" i="25"/>
  <c r="M29" i="25" s="1"/>
  <c r="N15" i="25"/>
  <c r="N29" i="25" s="1"/>
  <c r="O15" i="25"/>
  <c r="O29" i="25" s="1"/>
  <c r="P15" i="25"/>
  <c r="P33" i="25" s="1"/>
  <c r="S15" i="25"/>
  <c r="S33" i="25" s="1"/>
  <c r="T15" i="25"/>
  <c r="T29" i="25" s="1"/>
  <c r="U15" i="25"/>
  <c r="U29" i="25" s="1"/>
  <c r="V15" i="25"/>
  <c r="V29" i="25" s="1"/>
  <c r="W15" i="25"/>
  <c r="W29" i="25" s="1"/>
  <c r="AF15" i="25"/>
  <c r="AF29" i="25" s="1"/>
  <c r="AG15" i="25"/>
  <c r="AG29" i="25" s="1"/>
  <c r="AH15" i="25"/>
  <c r="AH33" i="25" s="1"/>
  <c r="AI15" i="25"/>
  <c r="AI33" i="25" s="1"/>
  <c r="AJ15" i="25"/>
  <c r="AJ29" i="25" s="1"/>
  <c r="AK15" i="25"/>
  <c r="AK29" i="25" s="1"/>
  <c r="AL15" i="25"/>
  <c r="AL29" i="25" s="1"/>
  <c r="AM15" i="25"/>
  <c r="AM29" i="25" s="1"/>
  <c r="AN15" i="25"/>
  <c r="AN29" i="25" s="1"/>
  <c r="AO15" i="25"/>
  <c r="AO29" i="25" s="1"/>
  <c r="AP15" i="25"/>
  <c r="AP33" i="25" s="1"/>
  <c r="AQ15" i="25"/>
  <c r="AQ33" i="25" s="1"/>
  <c r="AX15" i="25"/>
  <c r="AX29" i="25" s="1"/>
  <c r="BB15" i="25"/>
  <c r="BI15" i="25"/>
  <c r="BI29" i="25" s="1"/>
  <c r="BJ15" i="25"/>
  <c r="BJ29" i="25" s="1"/>
  <c r="BK15" i="25"/>
  <c r="BK29" i="25" s="1"/>
  <c r="BT15" i="25"/>
  <c r="BT29" i="25" s="1"/>
  <c r="CG15" i="25"/>
  <c r="CN15" i="25"/>
  <c r="CN29" i="25" s="1"/>
  <c r="CO15" i="25"/>
  <c r="CO33" i="25" s="1"/>
  <c r="CP15" i="25"/>
  <c r="CP33" i="25" s="1"/>
  <c r="CQ15" i="25"/>
  <c r="CQ29" i="25" s="1"/>
  <c r="CR15" i="25"/>
  <c r="CS15" i="25"/>
  <c r="CS33" i="25" s="1"/>
  <c r="CT15" i="25"/>
  <c r="CT29" i="25" s="1"/>
  <c r="CU15" i="25"/>
  <c r="CU29" i="25" s="1"/>
  <c r="CV15" i="25"/>
  <c r="CV29" i="25" s="1"/>
  <c r="CX15" i="25"/>
  <c r="DQ15" i="25"/>
  <c r="DQ29" i="25" s="1"/>
  <c r="DR15" i="25"/>
  <c r="DR33" i="25" s="1"/>
  <c r="DU15" i="25"/>
  <c r="DU33" i="25" s="1"/>
  <c r="DW15" i="25"/>
  <c r="C63" i="22"/>
  <c r="C62" i="22"/>
  <c r="C61" i="22"/>
  <c r="C60" i="22"/>
  <c r="C59" i="22"/>
  <c r="C58" i="22"/>
  <c r="C57" i="22"/>
  <c r="D66" i="22"/>
  <c r="J66" i="22" s="1"/>
  <c r="P66" i="22" s="1"/>
  <c r="L55" i="22"/>
  <c r="D11" i="37" l="1"/>
  <c r="E98" i="32"/>
  <c r="J34" i="37" s="1"/>
  <c r="F97" i="32"/>
  <c r="K33" i="37" s="1"/>
  <c r="E92" i="32"/>
  <c r="J28" i="37" s="1"/>
  <c r="E99" i="32"/>
  <c r="J35" i="37" s="1"/>
  <c r="E93" i="32"/>
  <c r="J29" i="37" s="1"/>
  <c r="J33" i="37"/>
  <c r="E94" i="32"/>
  <c r="J30" i="37" s="1"/>
  <c r="C11" i="55"/>
  <c r="C11" i="63"/>
  <c r="C11" i="50"/>
  <c r="C11" i="54"/>
  <c r="C11" i="51"/>
  <c r="C11" i="74" s="1"/>
  <c r="C11" i="52"/>
  <c r="C11" i="48"/>
  <c r="C11" i="42"/>
  <c r="C11" i="47"/>
  <c r="C11" i="41"/>
  <c r="C11" i="43"/>
  <c r="AM33" i="25"/>
  <c r="W33" i="25"/>
  <c r="K29" i="25"/>
  <c r="CS29" i="25"/>
  <c r="D33" i="25"/>
  <c r="M33" i="25"/>
  <c r="G29" i="25"/>
  <c r="P29" i="25"/>
  <c r="AH29" i="25"/>
  <c r="AP29" i="25"/>
  <c r="CO29" i="25"/>
  <c r="DR29" i="25"/>
  <c r="J33" i="25"/>
  <c r="T33" i="25"/>
  <c r="AJ33" i="25"/>
  <c r="AX33" i="25"/>
  <c r="CQ33" i="25"/>
  <c r="H29" i="25"/>
  <c r="S29" i="25"/>
  <c r="AI29" i="25"/>
  <c r="AQ29" i="25"/>
  <c r="CP29" i="25"/>
  <c r="DU29" i="25"/>
  <c r="U33" i="25"/>
  <c r="AK33" i="25"/>
  <c r="BI33" i="25"/>
  <c r="L33" i="25"/>
  <c r="V33" i="25"/>
  <c r="AL33" i="25"/>
  <c r="BJ33" i="25"/>
  <c r="CT33" i="25"/>
  <c r="BK33" i="25"/>
  <c r="CU33" i="25"/>
  <c r="E33" i="25"/>
  <c r="N33" i="25"/>
  <c r="AF33" i="25"/>
  <c r="AN33" i="25"/>
  <c r="BT33" i="25"/>
  <c r="CV33" i="25"/>
  <c r="F33" i="25"/>
  <c r="O33" i="25"/>
  <c r="AG33" i="25"/>
  <c r="AO33" i="25"/>
  <c r="CN33" i="25"/>
  <c r="DQ33" i="25"/>
  <c r="A31" i="22"/>
  <c r="V56" i="22"/>
  <c r="X56" i="22" s="1"/>
  <c r="U56" i="22"/>
  <c r="I56" i="22"/>
  <c r="K56" i="22" s="1"/>
  <c r="L56" i="22" s="1"/>
  <c r="H56" i="22"/>
  <c r="O66" i="22" l="1"/>
  <c r="O67" i="22" s="1"/>
  <c r="O68" i="22" s="1"/>
  <c r="O69" i="22" s="1"/>
  <c r="I66" i="22"/>
  <c r="I67" i="22" s="1"/>
  <c r="I68" i="22" s="1"/>
  <c r="I69" i="22" s="1"/>
  <c r="C66" i="22"/>
  <c r="C67" i="22" l="1"/>
  <c r="C68" i="22" l="1"/>
  <c r="C69" i="22" s="1"/>
  <c r="S63" i="22" l="1"/>
  <c r="S61" i="22"/>
  <c r="F63" i="22"/>
  <c r="F62" i="22" s="1"/>
  <c r="G62" i="22" s="1"/>
  <c r="F61" i="22"/>
  <c r="F60" i="22"/>
  <c r="F59" i="22"/>
  <c r="F58" i="22"/>
  <c r="D63" i="22"/>
  <c r="D60" i="22"/>
  <c r="D58" i="22"/>
  <c r="Q63" i="22"/>
  <c r="Q60" i="22"/>
  <c r="Q58" i="22"/>
  <c r="S60" i="22"/>
  <c r="S59" i="22"/>
  <c r="S58" i="22"/>
  <c r="U63" i="22" l="1"/>
  <c r="N58" i="22"/>
  <c r="U58" i="22"/>
  <c r="H58" i="22"/>
  <c r="H60" i="22"/>
  <c r="N60" i="22"/>
  <c r="H63" i="22"/>
  <c r="N63" i="22"/>
  <c r="U60" i="22"/>
  <c r="T58" i="22" l="1"/>
  <c r="R58" i="22"/>
  <c r="G58" i="22"/>
  <c r="E58" i="22"/>
  <c r="G60" i="22"/>
  <c r="E60" i="22"/>
  <c r="G63" i="22"/>
  <c r="E63" i="22"/>
  <c r="AE12" i="22"/>
  <c r="F17" i="22"/>
  <c r="D17" i="22"/>
  <c r="C17" i="22"/>
  <c r="A17" i="22"/>
  <c r="F16" i="22"/>
  <c r="D16" i="22"/>
  <c r="C16" i="22"/>
  <c r="A16" i="22"/>
  <c r="F15" i="22"/>
  <c r="D15" i="22"/>
  <c r="C15" i="22"/>
  <c r="A15" i="22"/>
  <c r="F14" i="22"/>
  <c r="D14" i="22"/>
  <c r="C14" i="22"/>
  <c r="O63" i="22" s="1"/>
  <c r="A14" i="22"/>
  <c r="A13" i="22"/>
  <c r="A12" i="22"/>
  <c r="A11" i="22"/>
  <c r="A10" i="22"/>
  <c r="A9" i="22"/>
  <c r="T63" i="22"/>
  <c r="R63" i="22"/>
  <c r="T61" i="22"/>
  <c r="T60" i="22"/>
  <c r="R60" i="22"/>
  <c r="T59" i="22"/>
  <c r="G61" i="22"/>
  <c r="I58" i="22" l="1"/>
  <c r="K58" i="22" s="1"/>
  <c r="L58" i="22" s="1"/>
  <c r="V60" i="22"/>
  <c r="X60" i="22" s="1"/>
  <c r="Y60" i="22" s="1"/>
  <c r="V63" i="22"/>
  <c r="X63" i="22" s="1"/>
  <c r="V58" i="22"/>
  <c r="X58" i="22" s="1"/>
  <c r="I63" i="22"/>
  <c r="K63" i="22" s="1"/>
  <c r="L63" i="22" s="1"/>
  <c r="DV29" i="25" s="1"/>
  <c r="I60" i="22"/>
  <c r="D89" i="22"/>
  <c r="D83" i="22"/>
  <c r="D85" i="22"/>
  <c r="D84" i="22"/>
  <c r="D79" i="22"/>
  <c r="H10" i="30"/>
  <c r="G10" i="30"/>
  <c r="EJ103" i="24" s="1"/>
  <c r="O7" i="30"/>
  <c r="O8" i="30" s="1"/>
  <c r="G9" i="30"/>
  <c r="EJ46" i="24" s="1"/>
  <c r="G8" i="30"/>
  <c r="G5" i="30"/>
  <c r="C88" i="22"/>
  <c r="E88" i="22" s="1"/>
  <c r="C86" i="22"/>
  <c r="C90" i="22"/>
  <c r="C89" i="22"/>
  <c r="C76" i="22"/>
  <c r="S96" i="22"/>
  <c r="E85" i="22"/>
  <c r="Z95" i="22"/>
  <c r="E84" i="22"/>
  <c r="S94" i="22"/>
  <c r="C83" i="22"/>
  <c r="C80" i="22"/>
  <c r="C82" i="22"/>
  <c r="E87" i="22"/>
  <c r="M74" i="22"/>
  <c r="L74" i="22"/>
  <c r="K74" i="22"/>
  <c r="A74" i="22"/>
  <c r="G50" i="22"/>
  <c r="D50" i="22"/>
  <c r="G49" i="22"/>
  <c r="D49" i="22"/>
  <c r="G48" i="22"/>
  <c r="D48" i="22"/>
  <c r="G47" i="22"/>
  <c r="G46" i="22"/>
  <c r="G45" i="22"/>
  <c r="H44" i="22"/>
  <c r="K55" i="22" s="1"/>
  <c r="X55" i="22" s="1"/>
  <c r="AA55" i="22" s="1"/>
  <c r="G43" i="22"/>
  <c r="D43" i="22"/>
  <c r="E39" i="22"/>
  <c r="A36" i="22"/>
  <c r="A50" i="22" s="1"/>
  <c r="A35" i="22"/>
  <c r="A49" i="22" s="1"/>
  <c r="A34" i="22"/>
  <c r="A48" i="22" s="1"/>
  <c r="A33" i="22"/>
  <c r="A47" i="22" s="1"/>
  <c r="A32" i="22"/>
  <c r="A46" i="22" s="1"/>
  <c r="A45" i="22"/>
  <c r="D23" i="22"/>
  <c r="D47" i="22" s="1"/>
  <c r="D22" i="22"/>
  <c r="D46" i="22" s="1"/>
  <c r="D21" i="22"/>
  <c r="D45" i="22" s="1"/>
  <c r="G17" i="22"/>
  <c r="E17" i="22"/>
  <c r="G16" i="22"/>
  <c r="G15" i="22"/>
  <c r="G14" i="22"/>
  <c r="I14" i="22"/>
  <c r="J14" i="22" s="1"/>
  <c r="I32" i="31"/>
  <c r="F32" i="31"/>
  <c r="H32" i="31" s="1"/>
  <c r="J16" i="31"/>
  <c r="I16" i="31" s="1"/>
  <c r="H16" i="31"/>
  <c r="G16" i="31" s="1"/>
  <c r="F16" i="31"/>
  <c r="E16" i="31" s="1"/>
  <c r="C16" i="31"/>
  <c r="D16" i="31" s="1"/>
  <c r="D15" i="31"/>
  <c r="D14" i="31"/>
  <c r="C312" i="29"/>
  <c r="C311" i="29"/>
  <c r="C310" i="29"/>
  <c r="C309" i="29"/>
  <c r="C306" i="29"/>
  <c r="C305" i="29"/>
  <c r="C304" i="29"/>
  <c r="C297" i="29"/>
  <c r="C299" i="29" s="1"/>
  <c r="C291" i="29"/>
  <c r="C285" i="29" s="1"/>
  <c r="C286" i="29" s="1"/>
  <c r="C283" i="29"/>
  <c r="C277" i="29"/>
  <c r="C271" i="29"/>
  <c r="C266" i="29"/>
  <c r="C263" i="29"/>
  <c r="C260" i="29"/>
  <c r="C261" i="29" s="1"/>
  <c r="C254" i="29"/>
  <c r="C253" i="29"/>
  <c r="C256" i="29" s="1"/>
  <c r="C252" i="29"/>
  <c r="C255" i="29" s="1"/>
  <c r="C247" i="29"/>
  <c r="C244" i="29"/>
  <c r="C240" i="29"/>
  <c r="C239" i="29"/>
  <c r="C241" i="29" s="1"/>
  <c r="C238" i="29"/>
  <c r="A231" i="29"/>
  <c r="A230" i="29"/>
  <c r="B221" i="29" s="1"/>
  <c r="A229" i="29"/>
  <c r="B220" i="29" s="1"/>
  <c r="A228" i="29"/>
  <c r="B218" i="29" s="1"/>
  <c r="A227" i="29"/>
  <c r="B217" i="29" s="1"/>
  <c r="A226" i="29"/>
  <c r="B222" i="29"/>
  <c r="D216" i="29"/>
  <c r="E216" i="29" s="1"/>
  <c r="E215" i="29"/>
  <c r="D215" i="29"/>
  <c r="E210" i="29"/>
  <c r="C209" i="29"/>
  <c r="E209" i="29" s="1"/>
  <c r="C208" i="29"/>
  <c r="E208" i="29" s="1"/>
  <c r="C207" i="29"/>
  <c r="E207" i="29" s="1"/>
  <c r="C206" i="29"/>
  <c r="E206" i="29" s="1"/>
  <c r="E205" i="29"/>
  <c r="C202" i="29"/>
  <c r="C201" i="29"/>
  <c r="E201" i="29" s="1"/>
  <c r="C200" i="29"/>
  <c r="E200" i="29" s="1"/>
  <c r="C199" i="29"/>
  <c r="E199" i="29" s="1"/>
  <c r="E198" i="29"/>
  <c r="C180" i="29"/>
  <c r="E180" i="29" s="1"/>
  <c r="A180" i="29"/>
  <c r="C179" i="29"/>
  <c r="E179" i="29" s="1"/>
  <c r="C178" i="29"/>
  <c r="E178" i="29" s="1"/>
  <c r="A178" i="29"/>
  <c r="C176" i="29"/>
  <c r="E176" i="29" s="1"/>
  <c r="C175" i="29"/>
  <c r="E175" i="29" s="1"/>
  <c r="A175" i="29"/>
  <c r="E174" i="29"/>
  <c r="A174" i="29"/>
  <c r="A176" i="29" s="1"/>
  <c r="K168" i="29"/>
  <c r="J168" i="29"/>
  <c r="K167" i="29"/>
  <c r="J167" i="29"/>
  <c r="K166" i="29"/>
  <c r="J166" i="29"/>
  <c r="K165" i="29"/>
  <c r="J165" i="29"/>
  <c r="B164" i="29"/>
  <c r="K164" i="29" s="1"/>
  <c r="C197" i="29" s="1"/>
  <c r="E197" i="29" s="1"/>
  <c r="D142" i="29"/>
  <c r="D141" i="29"/>
  <c r="D140" i="29"/>
  <c r="B139" i="29"/>
  <c r="D139" i="29" s="1"/>
  <c r="D138" i="29"/>
  <c r="D137" i="29"/>
  <c r="C135" i="29"/>
  <c r="E135" i="29" s="1"/>
  <c r="E134" i="29"/>
  <c r="E133" i="29"/>
  <c r="E132" i="29"/>
  <c r="A132" i="29"/>
  <c r="A133" i="29" s="1"/>
  <c r="A134" i="29" s="1"/>
  <c r="A135" i="29" s="1"/>
  <c r="A136" i="29" s="1"/>
  <c r="E131" i="29"/>
  <c r="E130" i="29"/>
  <c r="E129" i="29"/>
  <c r="E128" i="29"/>
  <c r="C123" i="29"/>
  <c r="C122" i="29"/>
  <c r="C112" i="29"/>
  <c r="F100" i="29"/>
  <c r="E100" i="29"/>
  <c r="D100" i="29"/>
  <c r="C100" i="29"/>
  <c r="F99" i="29"/>
  <c r="E99" i="29"/>
  <c r="D99" i="29"/>
  <c r="C99" i="29"/>
  <c r="G98" i="29"/>
  <c r="G97" i="29"/>
  <c r="P96" i="29"/>
  <c r="O96" i="29"/>
  <c r="K96" i="29"/>
  <c r="J96" i="29"/>
  <c r="I96" i="29"/>
  <c r="H96" i="29"/>
  <c r="G96" i="29"/>
  <c r="G95" i="29"/>
  <c r="F95" i="29"/>
  <c r="K95" i="29" s="1"/>
  <c r="E95" i="29"/>
  <c r="J95" i="29" s="1"/>
  <c r="D95" i="29"/>
  <c r="D93" i="29" s="1"/>
  <c r="I93" i="29" s="1"/>
  <c r="C95" i="29"/>
  <c r="P95" i="29" s="1"/>
  <c r="P94" i="29"/>
  <c r="O94" i="29"/>
  <c r="K94" i="29"/>
  <c r="J94" i="29"/>
  <c r="I94" i="29"/>
  <c r="H94" i="29"/>
  <c r="G94" i="29"/>
  <c r="G93" i="29"/>
  <c r="F93" i="29"/>
  <c r="K93" i="29" s="1"/>
  <c r="C93" i="29"/>
  <c r="H93" i="29" s="1"/>
  <c r="P92" i="29"/>
  <c r="O92" i="29"/>
  <c r="K92" i="29"/>
  <c r="J92" i="29"/>
  <c r="I92" i="29"/>
  <c r="H92" i="29"/>
  <c r="G92" i="29"/>
  <c r="P91" i="29"/>
  <c r="C85" i="29"/>
  <c r="E85" i="29" s="1"/>
  <c r="C84" i="29"/>
  <c r="E84" i="29" s="1"/>
  <c r="C83" i="29"/>
  <c r="E83" i="29" s="1"/>
  <c r="E82" i="29"/>
  <c r="C69" i="29"/>
  <c r="E69" i="29" s="1"/>
  <c r="E68" i="29"/>
  <c r="A68" i="29"/>
  <c r="A69" i="29" s="1"/>
  <c r="E67" i="29"/>
  <c r="E66" i="29"/>
  <c r="E65" i="29"/>
  <c r="A65" i="29"/>
  <c r="A66" i="29" s="1"/>
  <c r="B47" i="29"/>
  <c r="B46" i="29"/>
  <c r="B29" i="29"/>
  <c r="B25" i="29"/>
  <c r="B24" i="29" s="1"/>
  <c r="C9" i="29"/>
  <c r="C8" i="29"/>
  <c r="F4" i="29"/>
  <c r="A2" i="29"/>
  <c r="CT3" i="25"/>
  <c r="CN3" i="25"/>
  <c r="E15" i="21"/>
  <c r="C15" i="21"/>
  <c r="B62" i="14"/>
  <c r="C44" i="14"/>
  <c r="E42" i="14"/>
  <c r="D40" i="14"/>
  <c r="C40" i="14"/>
  <c r="C46" i="14" s="1"/>
  <c r="C39" i="14"/>
  <c r="K17" i="14"/>
  <c r="B34" i="14"/>
  <c r="B33" i="14"/>
  <c r="D28" i="14"/>
  <c r="K23" i="14"/>
  <c r="M21" i="14"/>
  <c r="N21" i="14" s="1"/>
  <c r="H21" i="14"/>
  <c r="M19" i="14"/>
  <c r="N19" i="14" s="1"/>
  <c r="O19" i="14" s="1"/>
  <c r="Q19" i="14" s="1"/>
  <c r="H19" i="14"/>
  <c r="F19" i="14"/>
  <c r="M15" i="14"/>
  <c r="N15" i="14" s="1"/>
  <c r="O15" i="14" s="1"/>
  <c r="Q15" i="14" s="1"/>
  <c r="H15" i="14"/>
  <c r="F15" i="14"/>
  <c r="AA14" i="14"/>
  <c r="Z14" i="14"/>
  <c r="M14" i="14"/>
  <c r="N14" i="14" s="1"/>
  <c r="M13" i="14"/>
  <c r="F13" i="14"/>
  <c r="M11" i="14"/>
  <c r="Y10" i="14"/>
  <c r="W10" i="14"/>
  <c r="H10" i="14"/>
  <c r="F10" i="14"/>
  <c r="N9" i="14"/>
  <c r="V7" i="14"/>
  <c r="U7" i="14"/>
  <c r="D23" i="14" s="1"/>
  <c r="U6" i="14"/>
  <c r="B93" i="8"/>
  <c r="B92" i="8"/>
  <c r="B91" i="8"/>
  <c r="A90" i="8"/>
  <c r="B88" i="8"/>
  <c r="E82" i="8"/>
  <c r="C82" i="8"/>
  <c r="C81" i="8"/>
  <c r="B80" i="8"/>
  <c r="F78" i="8"/>
  <c r="E78" i="8"/>
  <c r="D78" i="8"/>
  <c r="C78" i="8"/>
  <c r="B78" i="8"/>
  <c r="G77" i="8"/>
  <c r="A77" i="8"/>
  <c r="G76" i="8"/>
  <c r="A76" i="8"/>
  <c r="G75" i="8"/>
  <c r="A75" i="8"/>
  <c r="G74" i="8"/>
  <c r="H33" i="8" s="1"/>
  <c r="A74" i="8"/>
  <c r="G73" i="8"/>
  <c r="H32" i="8" s="1"/>
  <c r="A73" i="8"/>
  <c r="G72" i="8"/>
  <c r="H31" i="8" s="1"/>
  <c r="A72" i="8"/>
  <c r="G71" i="8"/>
  <c r="A71" i="8"/>
  <c r="A69" i="8"/>
  <c r="H28" i="8" s="1"/>
  <c r="P28" i="8" s="1"/>
  <c r="F67" i="8"/>
  <c r="E67" i="8"/>
  <c r="D67" i="8"/>
  <c r="C67" i="8"/>
  <c r="B67" i="8"/>
  <c r="G66" i="8"/>
  <c r="G36" i="8" s="1"/>
  <c r="A66" i="8"/>
  <c r="G65" i="8"/>
  <c r="G35" i="8" s="1"/>
  <c r="A65" i="8"/>
  <c r="G64" i="8"/>
  <c r="A64" i="8"/>
  <c r="G63" i="8"/>
  <c r="G33" i="8" s="1"/>
  <c r="A63" i="8"/>
  <c r="G62" i="8"/>
  <c r="G32" i="8" s="1"/>
  <c r="A62" i="8"/>
  <c r="G61" i="8"/>
  <c r="G31" i="8" s="1"/>
  <c r="A61" i="8"/>
  <c r="G60" i="8"/>
  <c r="A60" i="8"/>
  <c r="E54" i="8"/>
  <c r="D54" i="8"/>
  <c r="C54" i="8"/>
  <c r="B54" i="8"/>
  <c r="E53" i="8"/>
  <c r="D53" i="8"/>
  <c r="C53" i="8"/>
  <c r="B53" i="8"/>
  <c r="E52" i="8"/>
  <c r="D52" i="8"/>
  <c r="C52" i="8"/>
  <c r="B52" i="8"/>
  <c r="E51" i="8"/>
  <c r="D51" i="8"/>
  <c r="C51" i="8"/>
  <c r="B51" i="8"/>
  <c r="E50" i="8"/>
  <c r="D50" i="8"/>
  <c r="C50" i="8"/>
  <c r="B50" i="8"/>
  <c r="E49" i="8"/>
  <c r="D49" i="8"/>
  <c r="C49" i="8"/>
  <c r="B49" i="8"/>
  <c r="E48" i="8"/>
  <c r="D48" i="8"/>
  <c r="C48" i="8"/>
  <c r="B48" i="8"/>
  <c r="B55" i="8" s="1"/>
  <c r="R39" i="8" s="1"/>
  <c r="E46" i="8"/>
  <c r="D46" i="8"/>
  <c r="L42" i="8" s="1"/>
  <c r="X33" i="8" s="1"/>
  <c r="C46" i="8"/>
  <c r="K42" i="8" s="1"/>
  <c r="B46" i="8"/>
  <c r="J43" i="8" s="1"/>
  <c r="M45" i="8"/>
  <c r="L45" i="8"/>
  <c r="M44" i="8"/>
  <c r="J44" i="8"/>
  <c r="M43" i="8"/>
  <c r="M42" i="8"/>
  <c r="J42" i="8"/>
  <c r="M41" i="8"/>
  <c r="L41" i="8"/>
  <c r="X32" i="8" s="1"/>
  <c r="K41" i="8"/>
  <c r="J41" i="8"/>
  <c r="M40" i="8"/>
  <c r="J40" i="8"/>
  <c r="M39" i="8"/>
  <c r="L39" i="8"/>
  <c r="X29" i="8" s="1"/>
  <c r="J39" i="8"/>
  <c r="E37" i="8"/>
  <c r="M30" i="8" s="1"/>
  <c r="D37" i="8"/>
  <c r="L36" i="8" s="1"/>
  <c r="C37" i="8"/>
  <c r="K35" i="8" s="1"/>
  <c r="B37" i="8"/>
  <c r="V36" i="8"/>
  <c r="M36" i="8"/>
  <c r="H36" i="8"/>
  <c r="F36" i="8"/>
  <c r="V35" i="8"/>
  <c r="M35" i="8"/>
  <c r="H35" i="8"/>
  <c r="F35" i="8"/>
  <c r="V34" i="8"/>
  <c r="H34" i="8"/>
  <c r="G34" i="8"/>
  <c r="V33" i="8"/>
  <c r="M33" i="8"/>
  <c r="J33" i="8"/>
  <c r="V32" i="8"/>
  <c r="Q32" i="8"/>
  <c r="M32" i="8"/>
  <c r="K32" i="8"/>
  <c r="V31" i="8"/>
  <c r="Q31" i="8"/>
  <c r="F31" i="8"/>
  <c r="Q30" i="8"/>
  <c r="G30" i="8"/>
  <c r="F30" i="8"/>
  <c r="F37" i="8" s="1"/>
  <c r="N34" i="8" s="1"/>
  <c r="Q28" i="8"/>
  <c r="K28" i="8"/>
  <c r="G28" i="8"/>
  <c r="O28" i="8" s="1"/>
  <c r="F28" i="8"/>
  <c r="N28" i="8" s="1"/>
  <c r="E28" i="8"/>
  <c r="D28" i="8"/>
  <c r="L28" i="8" s="1"/>
  <c r="C28" i="8"/>
  <c r="B28" i="8"/>
  <c r="J28" i="8" s="1"/>
  <c r="B16" i="8"/>
  <c r="E15" i="8"/>
  <c r="C15" i="8"/>
  <c r="E14" i="8"/>
  <c r="D14" i="8"/>
  <c r="C14" i="8"/>
  <c r="B14" i="8"/>
  <c r="E13" i="8"/>
  <c r="D13" i="8"/>
  <c r="W27" i="8" s="1"/>
  <c r="C13" i="8"/>
  <c r="E12" i="8"/>
  <c r="D12" i="8"/>
  <c r="B12" i="8"/>
  <c r="B13" i="8" s="1"/>
  <c r="B15" i="8" s="1"/>
  <c r="E11" i="8"/>
  <c r="D11" i="8"/>
  <c r="C11" i="8"/>
  <c r="E10" i="8"/>
  <c r="D10" i="8"/>
  <c r="C10" i="8"/>
  <c r="E9" i="8"/>
  <c r="D9" i="8"/>
  <c r="C9" i="8"/>
  <c r="E8" i="8"/>
  <c r="D8" i="8"/>
  <c r="C8" i="8"/>
  <c r="B7" i="8"/>
  <c r="A59" i="15"/>
  <c r="B56" i="15"/>
  <c r="B55" i="15"/>
  <c r="B59" i="15" s="1"/>
  <c r="C54" i="15"/>
  <c r="B54" i="15"/>
  <c r="A54" i="15"/>
  <c r="B47" i="15"/>
  <c r="B48" i="15" s="1"/>
  <c r="B39" i="15"/>
  <c r="B38" i="15"/>
  <c r="C25" i="15"/>
  <c r="D25" i="15" s="1"/>
  <c r="C24" i="15"/>
  <c r="D22" i="15"/>
  <c r="C22" i="15"/>
  <c r="G20" i="15"/>
  <c r="F20" i="15"/>
  <c r="F16" i="15"/>
  <c r="G15" i="15"/>
  <c r="F15" i="15"/>
  <c r="F14" i="15"/>
  <c r="F10" i="15"/>
  <c r="F9" i="15"/>
  <c r="F22" i="15" s="1"/>
  <c r="F59" i="13"/>
  <c r="F58" i="13"/>
  <c r="F45" i="13"/>
  <c r="E45" i="13"/>
  <c r="D45" i="13"/>
  <c r="D46" i="13" s="1"/>
  <c r="N40" i="13"/>
  <c r="F37" i="13"/>
  <c r="F46" i="13" s="1"/>
  <c r="C37" i="13"/>
  <c r="C38" i="13" s="1"/>
  <c r="E31" i="13"/>
  <c r="T25" i="13"/>
  <c r="E25" i="13"/>
  <c r="N25" i="13" s="1"/>
  <c r="T24" i="13"/>
  <c r="I16" i="13"/>
  <c r="K16" i="13" s="1"/>
  <c r="H16" i="13"/>
  <c r="J16" i="13" s="1"/>
  <c r="F16" i="13"/>
  <c r="M16" i="13" s="1"/>
  <c r="O16" i="13" s="1"/>
  <c r="E16" i="13"/>
  <c r="L16" i="13" s="1"/>
  <c r="N16" i="13" s="1"/>
  <c r="F15" i="13"/>
  <c r="E15" i="13"/>
  <c r="C15" i="13"/>
  <c r="N10" i="13"/>
  <c r="H10" i="13"/>
  <c r="E10" i="13"/>
  <c r="L10" i="13" s="1"/>
  <c r="D10" i="13"/>
  <c r="I10" i="13" s="1"/>
  <c r="F9" i="13"/>
  <c r="E9" i="13"/>
  <c r="I8" i="13"/>
  <c r="M8" i="13" s="1"/>
  <c r="H8" i="13"/>
  <c r="L8" i="13" s="1"/>
  <c r="F8" i="13"/>
  <c r="K8" i="13" s="1"/>
  <c r="O8" i="13" s="1"/>
  <c r="E8" i="13"/>
  <c r="J8" i="13" s="1"/>
  <c r="N8" i="13" s="1"/>
  <c r="N7" i="13"/>
  <c r="L7" i="13"/>
  <c r="L6" i="13"/>
  <c r="H6" i="13"/>
  <c r="H4" i="13"/>
  <c r="K83" i="10"/>
  <c r="K82" i="10"/>
  <c r="W4" i="28" s="1"/>
  <c r="K80" i="10"/>
  <c r="K79" i="10"/>
  <c r="I77" i="10"/>
  <c r="E77" i="10"/>
  <c r="E78" i="10" s="1"/>
  <c r="D77" i="10"/>
  <c r="D78" i="10" s="1"/>
  <c r="H76" i="10"/>
  <c r="J76" i="10" s="1"/>
  <c r="F76" i="10"/>
  <c r="G70" i="10"/>
  <c r="F70" i="10"/>
  <c r="A69" i="10"/>
  <c r="A70" i="10" s="1"/>
  <c r="B67" i="10"/>
  <c r="F62" i="10"/>
  <c r="D62" i="10"/>
  <c r="C19" i="10"/>
  <c r="L19" i="10" s="1"/>
  <c r="AE13" i="24" s="1"/>
  <c r="Y13" i="24" s="1"/>
  <c r="C18" i="10"/>
  <c r="L18" i="10" s="1"/>
  <c r="AE8" i="24" s="1"/>
  <c r="N59" i="10"/>
  <c r="N60" i="10" s="1"/>
  <c r="M58" i="10"/>
  <c r="K58" i="10" s="1"/>
  <c r="L59" i="10"/>
  <c r="K40" i="10"/>
  <c r="J36" i="10"/>
  <c r="J39" i="10" s="1"/>
  <c r="J40" i="10" s="1"/>
  <c r="I36" i="10"/>
  <c r="K36" i="10" s="1"/>
  <c r="H36" i="10"/>
  <c r="H39" i="10" s="1"/>
  <c r="H40" i="10" s="1"/>
  <c r="G36" i="10"/>
  <c r="D36" i="10"/>
  <c r="C34" i="10"/>
  <c r="E34" i="10" s="1"/>
  <c r="E45" i="10" s="1"/>
  <c r="D26" i="10"/>
  <c r="AF4" i="25"/>
  <c r="AF36" i="25" s="1"/>
  <c r="D11" i="10"/>
  <c r="D10" i="10"/>
  <c r="F9" i="10"/>
  <c r="D8" i="10"/>
  <c r="D7" i="10"/>
  <c r="C6" i="10"/>
  <c r="B72" i="27"/>
  <c r="D60" i="27"/>
  <c r="D59" i="27"/>
  <c r="B58" i="27"/>
  <c r="A58" i="27"/>
  <c r="A55" i="27"/>
  <c r="A78" i="27" s="1"/>
  <c r="A54" i="27"/>
  <c r="A77" i="27" s="1"/>
  <c r="A51" i="27"/>
  <c r="A74" i="27" s="1"/>
  <c r="A50" i="27"/>
  <c r="A73" i="27" s="1"/>
  <c r="B49" i="27"/>
  <c r="A39" i="27"/>
  <c r="A62" i="27" s="1"/>
  <c r="A38" i="27"/>
  <c r="A61" i="27" s="1"/>
  <c r="D37" i="27"/>
  <c r="D36" i="27"/>
  <c r="B35" i="27"/>
  <c r="A35" i="27"/>
  <c r="D33" i="27"/>
  <c r="B28" i="27"/>
  <c r="B24" i="27"/>
  <c r="B15" i="27"/>
  <c r="A15" i="27"/>
  <c r="A13" i="27"/>
  <c r="A18" i="27" s="1"/>
  <c r="A12" i="27"/>
  <c r="A17" i="27" s="1"/>
  <c r="A11" i="27"/>
  <c r="A10" i="27"/>
  <c r="D9" i="27"/>
  <c r="CX7" i="27"/>
  <c r="CX8" i="27" s="1"/>
  <c r="CV7" i="27"/>
  <c r="CV8" i="27" s="1"/>
  <c r="CU7" i="27"/>
  <c r="CU8" i="27" s="1"/>
  <c r="CT7" i="27"/>
  <c r="CT8" i="27" s="1"/>
  <c r="CS7" i="27"/>
  <c r="CS8" i="27" s="1"/>
  <c r="CR7" i="27"/>
  <c r="CR8" i="27" s="1"/>
  <c r="CQ7" i="27"/>
  <c r="CQ8" i="27" s="1"/>
  <c r="CP7" i="27"/>
  <c r="CP8" i="27" s="1"/>
  <c r="CO7" i="27"/>
  <c r="CO8" i="27" s="1"/>
  <c r="CN7" i="27"/>
  <c r="CN8" i="27" s="1"/>
  <c r="CG7" i="27"/>
  <c r="CG8" i="27" s="1"/>
  <c r="BT7" i="27"/>
  <c r="BT8" i="27" s="1"/>
  <c r="BK7" i="27"/>
  <c r="BK8" i="27" s="1"/>
  <c r="BJ7" i="27"/>
  <c r="BJ8" i="27" s="1"/>
  <c r="BI7" i="27"/>
  <c r="BI8" i="27" s="1"/>
  <c r="BB7" i="27"/>
  <c r="BB8" i="27" s="1"/>
  <c r="AX7" i="27"/>
  <c r="AX8" i="27" s="1"/>
  <c r="AQ7" i="27"/>
  <c r="AQ8" i="27" s="1"/>
  <c r="AP7" i="27"/>
  <c r="AP8" i="27" s="1"/>
  <c r="AO7" i="27"/>
  <c r="AO8" i="27" s="1"/>
  <c r="AN7" i="27"/>
  <c r="AN8" i="27" s="1"/>
  <c r="AM7" i="27"/>
  <c r="AM8" i="27" s="1"/>
  <c r="AL7" i="27"/>
  <c r="AL8" i="27" s="1"/>
  <c r="AK7" i="27"/>
  <c r="AK8" i="27" s="1"/>
  <c r="AJ7" i="27"/>
  <c r="AJ8" i="27" s="1"/>
  <c r="AI7" i="27"/>
  <c r="AI8" i="27" s="1"/>
  <c r="AH7" i="27"/>
  <c r="AH8" i="27" s="1"/>
  <c r="AG7" i="27"/>
  <c r="AG8" i="27" s="1"/>
  <c r="AF7" i="27"/>
  <c r="AF8" i="27" s="1"/>
  <c r="W7" i="27"/>
  <c r="W8" i="27" s="1"/>
  <c r="V7" i="27"/>
  <c r="V8" i="27" s="1"/>
  <c r="U7" i="27"/>
  <c r="U8" i="27" s="1"/>
  <c r="T7" i="27"/>
  <c r="T8" i="27" s="1"/>
  <c r="S7" i="27"/>
  <c r="S8" i="27" s="1"/>
  <c r="P7" i="27"/>
  <c r="P8" i="27" s="1"/>
  <c r="O7" i="27"/>
  <c r="O8" i="27" s="1"/>
  <c r="N7" i="27"/>
  <c r="N8" i="27" s="1"/>
  <c r="M7" i="27"/>
  <c r="M8" i="27" s="1"/>
  <c r="L7" i="27"/>
  <c r="L8" i="27" s="1"/>
  <c r="K7" i="27"/>
  <c r="K8" i="27" s="1"/>
  <c r="J7" i="27"/>
  <c r="J8" i="27" s="1"/>
  <c r="H7" i="27"/>
  <c r="H8" i="27" s="1"/>
  <c r="G7" i="27"/>
  <c r="G8" i="27" s="1"/>
  <c r="F7" i="27"/>
  <c r="F8" i="27" s="1"/>
  <c r="E7" i="27"/>
  <c r="E8" i="27" s="1"/>
  <c r="D7" i="27"/>
  <c r="D8" i="27" s="1"/>
  <c r="CX6" i="27"/>
  <c r="CV6" i="27"/>
  <c r="CU6" i="27"/>
  <c r="CU18" i="27" s="1"/>
  <c r="CT6" i="27"/>
  <c r="CT18" i="27" s="1"/>
  <c r="CS6" i="27"/>
  <c r="CR6" i="27"/>
  <c r="CQ6" i="27"/>
  <c r="CQ17" i="27" s="1"/>
  <c r="CP6" i="27"/>
  <c r="CP17" i="27" s="1"/>
  <c r="CO6" i="27"/>
  <c r="CN6" i="27"/>
  <c r="CG6" i="27"/>
  <c r="CG16" i="27" s="1"/>
  <c r="BT6" i="27"/>
  <c r="BT26" i="27" s="1"/>
  <c r="BK6" i="27"/>
  <c r="BJ6" i="27"/>
  <c r="BI6" i="27"/>
  <c r="BI17" i="27" s="1"/>
  <c r="BB6" i="27"/>
  <c r="BB18" i="27" s="1"/>
  <c r="AX6" i="27"/>
  <c r="AQ6" i="27"/>
  <c r="AP6" i="27"/>
  <c r="AO6" i="27"/>
  <c r="AO17" i="27" s="1"/>
  <c r="AN6" i="27"/>
  <c r="AM6" i="27"/>
  <c r="AL6" i="27"/>
  <c r="AK6" i="27"/>
  <c r="AK18" i="27" s="1"/>
  <c r="DW5" i="27"/>
  <c r="DU5" i="27"/>
  <c r="DU22" i="27" s="1"/>
  <c r="DR5" i="27"/>
  <c r="DQ5" i="27"/>
  <c r="CX5" i="27"/>
  <c r="CV5" i="27"/>
  <c r="CU5" i="27"/>
  <c r="CT5" i="27"/>
  <c r="CS5" i="27"/>
  <c r="CG5" i="27"/>
  <c r="BT5" i="27"/>
  <c r="BK5" i="27"/>
  <c r="BJ5" i="27"/>
  <c r="BI5" i="27"/>
  <c r="AN5" i="27"/>
  <c r="AM5" i="27"/>
  <c r="AL5" i="27"/>
  <c r="AK5" i="27"/>
  <c r="DW2" i="27"/>
  <c r="DU2" i="27"/>
  <c r="DR2" i="27"/>
  <c r="DQ2" i="27"/>
  <c r="CX2" i="27"/>
  <c r="CV2" i="27"/>
  <c r="CU2" i="27"/>
  <c r="CT2" i="27"/>
  <c r="CS2" i="27"/>
  <c r="CG2" i="27"/>
  <c r="BT2" i="27"/>
  <c r="BK2" i="27"/>
  <c r="BJ2" i="27"/>
  <c r="BI2" i="27"/>
  <c r="BB2" i="27"/>
  <c r="AX2" i="27"/>
  <c r="AQ2" i="27"/>
  <c r="AP2" i="27"/>
  <c r="AO2" i="27"/>
  <c r="AN2" i="27"/>
  <c r="AM2" i="27"/>
  <c r="AL2" i="27"/>
  <c r="AK2" i="27"/>
  <c r="AJ2" i="27"/>
  <c r="AI2" i="27"/>
  <c r="AH2" i="27"/>
  <c r="AG2" i="27"/>
  <c r="O2" i="27"/>
  <c r="N2" i="27"/>
  <c r="M2" i="27"/>
  <c r="L2" i="27"/>
  <c r="K2" i="27"/>
  <c r="J2" i="27"/>
  <c r="H2" i="27"/>
  <c r="G2" i="27"/>
  <c r="F2" i="27"/>
  <c r="E2" i="27"/>
  <c r="D2" i="27"/>
  <c r="EF15" i="26"/>
  <c r="B15" i="26"/>
  <c r="EH14" i="26"/>
  <c r="EF14" i="26"/>
  <c r="EZ13" i="26"/>
  <c r="EY13" i="26"/>
  <c r="EH13" i="26"/>
  <c r="EF13" i="26"/>
  <c r="EF12" i="26"/>
  <c r="EZ11" i="26"/>
  <c r="EY11" i="26"/>
  <c r="EF9" i="26"/>
  <c r="DW8" i="26"/>
  <c r="DU8" i="26"/>
  <c r="DR8" i="26"/>
  <c r="DQ8" i="26"/>
  <c r="CX8" i="26"/>
  <c r="CV8" i="26"/>
  <c r="CU8" i="26"/>
  <c r="CT8" i="26"/>
  <c r="CS8" i="26"/>
  <c r="CG8" i="26"/>
  <c r="BT8" i="26"/>
  <c r="BK8" i="26"/>
  <c r="BJ8" i="26"/>
  <c r="BI8" i="26"/>
  <c r="AM8" i="26"/>
  <c r="EJ7" i="26"/>
  <c r="CR7" i="26"/>
  <c r="CR10" i="26" s="1"/>
  <c r="CQ7" i="26"/>
  <c r="CQ10" i="26" s="1"/>
  <c r="CP7" i="26"/>
  <c r="CP10" i="26" s="1"/>
  <c r="CO7" i="26"/>
  <c r="CO10" i="26" s="1"/>
  <c r="CN7" i="26"/>
  <c r="CN10" i="26" s="1"/>
  <c r="BB7" i="26"/>
  <c r="BB10" i="26" s="1"/>
  <c r="AX7" i="26"/>
  <c r="AX10" i="26" s="1"/>
  <c r="AQ7" i="26"/>
  <c r="AQ10" i="26" s="1"/>
  <c r="AP7" i="26"/>
  <c r="AP10" i="26" s="1"/>
  <c r="AO7" i="26"/>
  <c r="AO10" i="26" s="1"/>
  <c r="AM7" i="26"/>
  <c r="AM10" i="26" s="1"/>
  <c r="AL7" i="26"/>
  <c r="AL10" i="26" s="1"/>
  <c r="AK7" i="26"/>
  <c r="AK10" i="26" s="1"/>
  <c r="AH7" i="26"/>
  <c r="AH10" i="26" s="1"/>
  <c r="AG7" i="26"/>
  <c r="AG10" i="26" s="1"/>
  <c r="D7" i="26"/>
  <c r="D10" i="26" s="1"/>
  <c r="EH4" i="26"/>
  <c r="EH5" i="26" s="1"/>
  <c r="AN3" i="26"/>
  <c r="AM3" i="26"/>
  <c r="AM12" i="26" s="1"/>
  <c r="AL3" i="26"/>
  <c r="AL12" i="26" s="1"/>
  <c r="AK3" i="26"/>
  <c r="AK13" i="26" s="1"/>
  <c r="AJ3" i="26"/>
  <c r="AI3" i="26"/>
  <c r="AH3" i="26"/>
  <c r="AH12" i="26" s="1"/>
  <c r="AG3" i="26"/>
  <c r="AG12" i="26" s="1"/>
  <c r="W3" i="26"/>
  <c r="J3" i="26"/>
  <c r="F3" i="26"/>
  <c r="D3" i="26"/>
  <c r="D12" i="26" s="1"/>
  <c r="DW2" i="26"/>
  <c r="DU2" i="26"/>
  <c r="DR2" i="26"/>
  <c r="DQ2" i="26"/>
  <c r="CX2" i="26"/>
  <c r="CV2" i="26"/>
  <c r="CU2" i="26"/>
  <c r="CT2" i="26"/>
  <c r="CS2" i="26"/>
  <c r="CG2" i="26"/>
  <c r="BT2" i="26"/>
  <c r="BJ2" i="26"/>
  <c r="BI2" i="26"/>
  <c r="BB2" i="26"/>
  <c r="AX2" i="26"/>
  <c r="AQ2" i="26"/>
  <c r="AP2" i="26"/>
  <c r="AO2" i="26"/>
  <c r="AN2" i="26"/>
  <c r="AM2" i="26"/>
  <c r="AL2" i="26"/>
  <c r="AK2" i="26"/>
  <c r="AJ2" i="26"/>
  <c r="AI2" i="26"/>
  <c r="AH2" i="26"/>
  <c r="AG2" i="26"/>
  <c r="O2" i="26"/>
  <c r="N2" i="26"/>
  <c r="M2" i="26"/>
  <c r="L2" i="26"/>
  <c r="K2" i="26"/>
  <c r="J2" i="26"/>
  <c r="H2" i="26"/>
  <c r="G2" i="26"/>
  <c r="F2" i="26"/>
  <c r="E2" i="26"/>
  <c r="D2" i="26"/>
  <c r="DW36" i="25"/>
  <c r="DR36" i="25"/>
  <c r="DQ36" i="25"/>
  <c r="CX36" i="25"/>
  <c r="CT36" i="25"/>
  <c r="CS36" i="25"/>
  <c r="CR36" i="25"/>
  <c r="CO36" i="25"/>
  <c r="CN36" i="25"/>
  <c r="CG36" i="25"/>
  <c r="BJ36" i="25"/>
  <c r="BI36" i="25"/>
  <c r="BB36" i="25"/>
  <c r="AP36" i="25"/>
  <c r="AO36" i="25"/>
  <c r="AM36" i="25"/>
  <c r="AK36" i="25"/>
  <c r="AI36" i="25"/>
  <c r="AG36" i="25"/>
  <c r="CQ35" i="25"/>
  <c r="AG35" i="25"/>
  <c r="O35" i="25"/>
  <c r="F35" i="25"/>
  <c r="CR40" i="25"/>
  <c r="AX31" i="25"/>
  <c r="AN31" i="25"/>
  <c r="AL31" i="25"/>
  <c r="AJ31" i="25"/>
  <c r="AJ40" i="25" s="1"/>
  <c r="AI31" i="25"/>
  <c r="AH31" i="25"/>
  <c r="AG31" i="25"/>
  <c r="AF31" i="25"/>
  <c r="W31" i="25"/>
  <c r="V31" i="25"/>
  <c r="U31" i="25"/>
  <c r="T31" i="25"/>
  <c r="T40" i="25" s="1"/>
  <c r="S31" i="25"/>
  <c r="P31" i="25"/>
  <c r="O31" i="25"/>
  <c r="N31" i="25"/>
  <c r="M31" i="25"/>
  <c r="L31" i="25"/>
  <c r="K31" i="25"/>
  <c r="J31" i="25"/>
  <c r="J40" i="25" s="1"/>
  <c r="H31" i="25"/>
  <c r="G31" i="25"/>
  <c r="F31" i="25"/>
  <c r="E31" i="25"/>
  <c r="D31" i="25"/>
  <c r="AX27" i="25"/>
  <c r="AN27" i="25"/>
  <c r="AL27" i="25"/>
  <c r="AJ27" i="25"/>
  <c r="AI27" i="25"/>
  <c r="AH27" i="25"/>
  <c r="AG27" i="25"/>
  <c r="AF27" i="25"/>
  <c r="W27" i="25"/>
  <c r="V27" i="25"/>
  <c r="U27" i="25"/>
  <c r="T27" i="25"/>
  <c r="S27" i="25"/>
  <c r="P27" i="25"/>
  <c r="O27" i="25"/>
  <c r="N27" i="25"/>
  <c r="M27" i="25"/>
  <c r="L27" i="25"/>
  <c r="K27" i="25"/>
  <c r="J27" i="25"/>
  <c r="H27" i="25"/>
  <c r="G27" i="25"/>
  <c r="F27" i="25"/>
  <c r="E27" i="25"/>
  <c r="D27" i="25"/>
  <c r="V17" i="25"/>
  <c r="AO8" i="25"/>
  <c r="AL8" i="25"/>
  <c r="AK8" i="25"/>
  <c r="P8" i="25"/>
  <c r="O8" i="25"/>
  <c r="CP6" i="25"/>
  <c r="AQ6" i="25"/>
  <c r="P82" i="32" s="1"/>
  <c r="AJ4" i="25"/>
  <c r="V4" i="25"/>
  <c r="DW2" i="25"/>
  <c r="DU2" i="25"/>
  <c r="DR2" i="25"/>
  <c r="DQ2" i="25"/>
  <c r="CX2" i="25"/>
  <c r="CV2" i="25"/>
  <c r="CU2" i="25"/>
  <c r="CT2" i="25"/>
  <c r="CS2" i="25"/>
  <c r="CG2" i="25"/>
  <c r="BT2" i="25"/>
  <c r="BK2" i="25"/>
  <c r="BJ2" i="25"/>
  <c r="BI2" i="25"/>
  <c r="BB2" i="25"/>
  <c r="AX2" i="25"/>
  <c r="AQ2" i="25"/>
  <c r="AP2" i="25"/>
  <c r="AO2" i="25"/>
  <c r="AN2" i="25"/>
  <c r="AM2" i="25"/>
  <c r="AL2" i="25"/>
  <c r="AK2" i="25"/>
  <c r="AJ2" i="25"/>
  <c r="AI2" i="25"/>
  <c r="AH2" i="25"/>
  <c r="AG2" i="25"/>
  <c r="O2" i="25"/>
  <c r="N2" i="25"/>
  <c r="M2" i="25"/>
  <c r="L2" i="25"/>
  <c r="K2" i="25"/>
  <c r="J2" i="25"/>
  <c r="H2" i="25"/>
  <c r="G2" i="25"/>
  <c r="F2" i="25"/>
  <c r="E2" i="25"/>
  <c r="D2" i="25"/>
  <c r="A107" i="23"/>
  <c r="DW106" i="23"/>
  <c r="DU106" i="23"/>
  <c r="DR106" i="23"/>
  <c r="DQ106" i="23"/>
  <c r="CX106" i="23"/>
  <c r="CV106" i="23"/>
  <c r="CU106" i="23"/>
  <c r="CT106" i="23"/>
  <c r="CS106" i="23"/>
  <c r="CR106" i="23"/>
  <c r="CQ106" i="23"/>
  <c r="CP106" i="23"/>
  <c r="CO106" i="23"/>
  <c r="CN106" i="23"/>
  <c r="CG106" i="23"/>
  <c r="BT106" i="23"/>
  <c r="BK106" i="23"/>
  <c r="BJ106" i="23"/>
  <c r="BI106" i="23"/>
  <c r="BB106" i="23"/>
  <c r="AX106" i="23"/>
  <c r="AQ106" i="23"/>
  <c r="AP106" i="23"/>
  <c r="AO106" i="23"/>
  <c r="AN106" i="23"/>
  <c r="AM106" i="23"/>
  <c r="AL106" i="23"/>
  <c r="AK106" i="23"/>
  <c r="AJ106" i="23"/>
  <c r="AI106" i="23"/>
  <c r="AH106" i="23"/>
  <c r="AG106" i="23"/>
  <c r="AF106" i="23"/>
  <c r="W106" i="23"/>
  <c r="V106" i="23"/>
  <c r="U106" i="23"/>
  <c r="T106" i="23"/>
  <c r="S106" i="23"/>
  <c r="P106" i="23"/>
  <c r="O106" i="23"/>
  <c r="N106" i="23"/>
  <c r="M106" i="23"/>
  <c r="L106" i="23"/>
  <c r="K106" i="23"/>
  <c r="J106" i="23"/>
  <c r="H106" i="23"/>
  <c r="G106" i="23"/>
  <c r="F106" i="23"/>
  <c r="E106" i="23"/>
  <c r="A105" i="23"/>
  <c r="A103" i="23"/>
  <c r="A101" i="23"/>
  <c r="D106" i="23"/>
  <c r="A94" i="23"/>
  <c r="A92" i="23"/>
  <c r="A90" i="23"/>
  <c r="A88" i="23"/>
  <c r="A81" i="23"/>
  <c r="A79" i="23"/>
  <c r="A77" i="23"/>
  <c r="A75" i="23"/>
  <c r="A68" i="23"/>
  <c r="A66" i="23"/>
  <c r="A64" i="23"/>
  <c r="A62" i="23"/>
  <c r="A55" i="23"/>
  <c r="A53" i="23"/>
  <c r="A51" i="23"/>
  <c r="A49" i="23"/>
  <c r="D49" i="23"/>
  <c r="D46" i="23"/>
  <c r="A42" i="23"/>
  <c r="A40" i="23"/>
  <c r="A38" i="23"/>
  <c r="A36" i="23"/>
  <c r="EL36" i="23"/>
  <c r="D36" i="23" s="1"/>
  <c r="EJ36" i="23"/>
  <c r="EF35" i="23"/>
  <c r="D33" i="23"/>
  <c r="AF29" i="23"/>
  <c r="W29" i="23"/>
  <c r="V29" i="23"/>
  <c r="U29" i="23"/>
  <c r="T29" i="23"/>
  <c r="S29" i="23"/>
  <c r="P29" i="23"/>
  <c r="O29" i="23"/>
  <c r="N29" i="23"/>
  <c r="M29" i="23"/>
  <c r="L29" i="23"/>
  <c r="K29" i="23"/>
  <c r="J29" i="23"/>
  <c r="H29" i="23"/>
  <c r="G29" i="23"/>
  <c r="F29" i="23"/>
  <c r="E29" i="23"/>
  <c r="D29" i="23"/>
  <c r="A29" i="23"/>
  <c r="AF28" i="23"/>
  <c r="W28" i="23"/>
  <c r="V28" i="23"/>
  <c r="U28" i="23"/>
  <c r="T28" i="23"/>
  <c r="S28" i="23"/>
  <c r="P28" i="23"/>
  <c r="O28" i="23"/>
  <c r="N28" i="23"/>
  <c r="M28" i="23"/>
  <c r="L28" i="23"/>
  <c r="K28" i="23"/>
  <c r="J28" i="23"/>
  <c r="H28" i="23"/>
  <c r="G28" i="23"/>
  <c r="F28" i="23"/>
  <c r="E28" i="23"/>
  <c r="D28" i="23"/>
  <c r="AF27" i="23"/>
  <c r="W27" i="23"/>
  <c r="V27" i="23"/>
  <c r="U27" i="23"/>
  <c r="T27" i="23"/>
  <c r="S27" i="23"/>
  <c r="P27" i="23"/>
  <c r="O27" i="23"/>
  <c r="N27" i="23"/>
  <c r="M27" i="23"/>
  <c r="L27" i="23"/>
  <c r="K27" i="23"/>
  <c r="J27" i="23"/>
  <c r="H27" i="23"/>
  <c r="G27" i="23"/>
  <c r="F27" i="23"/>
  <c r="E27" i="23"/>
  <c r="D27" i="23"/>
  <c r="A27" i="23"/>
  <c r="AF26" i="23"/>
  <c r="W26" i="23"/>
  <c r="V26" i="23"/>
  <c r="U26" i="23"/>
  <c r="T26" i="23"/>
  <c r="S26" i="23"/>
  <c r="P26" i="23"/>
  <c r="O26" i="23"/>
  <c r="N26" i="23"/>
  <c r="M26" i="23"/>
  <c r="L26" i="23"/>
  <c r="K26" i="23"/>
  <c r="J26" i="23"/>
  <c r="H26" i="23"/>
  <c r="G26" i="23"/>
  <c r="F26" i="23"/>
  <c r="E26" i="23"/>
  <c r="D26" i="23"/>
  <c r="AF25" i="23"/>
  <c r="W25" i="23"/>
  <c r="V25" i="23"/>
  <c r="U25" i="23"/>
  <c r="T25" i="23"/>
  <c r="S25" i="23"/>
  <c r="P25" i="23"/>
  <c r="O25" i="23"/>
  <c r="N25" i="23"/>
  <c r="M25" i="23"/>
  <c r="L25" i="23"/>
  <c r="K25" i="23"/>
  <c r="J25" i="23"/>
  <c r="H25" i="23"/>
  <c r="G25" i="23"/>
  <c r="F25" i="23"/>
  <c r="E25" i="23"/>
  <c r="D25" i="23"/>
  <c r="A25" i="23"/>
  <c r="AF24" i="23"/>
  <c r="W24" i="23"/>
  <c r="V24" i="23"/>
  <c r="U24" i="23"/>
  <c r="T24" i="23"/>
  <c r="S24" i="23"/>
  <c r="P24" i="23"/>
  <c r="O24" i="23"/>
  <c r="N24" i="23"/>
  <c r="M24" i="23"/>
  <c r="L24" i="23"/>
  <c r="K24" i="23"/>
  <c r="J24" i="23"/>
  <c r="H24" i="23"/>
  <c r="G24" i="23"/>
  <c r="F24" i="23"/>
  <c r="E24" i="23"/>
  <c r="D24" i="23"/>
  <c r="AF23" i="23"/>
  <c r="W23" i="23"/>
  <c r="V23" i="23"/>
  <c r="U23" i="23"/>
  <c r="T23" i="23"/>
  <c r="S23" i="23"/>
  <c r="P23" i="23"/>
  <c r="O23" i="23"/>
  <c r="N23" i="23"/>
  <c r="M23" i="23"/>
  <c r="L23" i="23"/>
  <c r="K23" i="23"/>
  <c r="J23" i="23"/>
  <c r="H23" i="23"/>
  <c r="G23" i="23"/>
  <c r="F23" i="23"/>
  <c r="E23" i="23"/>
  <c r="D23" i="23"/>
  <c r="A23" i="23"/>
  <c r="AF22" i="23"/>
  <c r="W22" i="23"/>
  <c r="V22" i="23"/>
  <c r="U22" i="23"/>
  <c r="T22" i="23"/>
  <c r="S22" i="23"/>
  <c r="P22" i="23"/>
  <c r="O22" i="23"/>
  <c r="N22" i="23"/>
  <c r="M22" i="23"/>
  <c r="L22" i="23"/>
  <c r="K22" i="23"/>
  <c r="J22" i="23"/>
  <c r="H22" i="23"/>
  <c r="G22" i="23"/>
  <c r="F22" i="23"/>
  <c r="E22" i="23"/>
  <c r="D22" i="23"/>
  <c r="AF21" i="23"/>
  <c r="W21" i="23"/>
  <c r="V21" i="23"/>
  <c r="U21" i="23"/>
  <c r="T21" i="23"/>
  <c r="S21" i="23"/>
  <c r="P21" i="23"/>
  <c r="O21" i="23"/>
  <c r="N21" i="23"/>
  <c r="M21" i="23"/>
  <c r="L21" i="23"/>
  <c r="K21" i="23"/>
  <c r="J21" i="23"/>
  <c r="H21" i="23"/>
  <c r="G21" i="23"/>
  <c r="F21" i="23"/>
  <c r="E21" i="23"/>
  <c r="D21" i="23"/>
  <c r="AF20" i="23"/>
  <c r="AF72" i="23" s="1"/>
  <c r="W20" i="23"/>
  <c r="W72" i="23" s="1"/>
  <c r="V20" i="23"/>
  <c r="V72" i="23" s="1"/>
  <c r="U20" i="23"/>
  <c r="U72" i="23" s="1"/>
  <c r="T20" i="23"/>
  <c r="T72" i="23" s="1"/>
  <c r="S20" i="23"/>
  <c r="S72" i="23" s="1"/>
  <c r="P20" i="23"/>
  <c r="P72" i="23" s="1"/>
  <c r="O20" i="23"/>
  <c r="O72" i="23" s="1"/>
  <c r="N20" i="23"/>
  <c r="N72" i="23" s="1"/>
  <c r="M20" i="23"/>
  <c r="M72" i="23" s="1"/>
  <c r="L20" i="23"/>
  <c r="L72" i="23" s="1"/>
  <c r="K20" i="23"/>
  <c r="K72" i="23" s="1"/>
  <c r="J20" i="23"/>
  <c r="J72" i="23" s="1"/>
  <c r="H20" i="23"/>
  <c r="H72" i="23" s="1"/>
  <c r="G20" i="23"/>
  <c r="G72" i="23" s="1"/>
  <c r="F20" i="23"/>
  <c r="F72" i="23" s="1"/>
  <c r="E20" i="23"/>
  <c r="E72" i="23" s="1"/>
  <c r="D20" i="23"/>
  <c r="D72" i="23" s="1"/>
  <c r="A16" i="23"/>
  <c r="A14" i="23"/>
  <c r="AG13" i="23"/>
  <c r="AH13" i="23" s="1"/>
  <c r="AI13" i="23" s="1"/>
  <c r="AJ13" i="23" s="1"/>
  <c r="AK13" i="23" s="1"/>
  <c r="AL13" i="23" s="1"/>
  <c r="AM13" i="23" s="1"/>
  <c r="AN13" i="23" s="1"/>
  <c r="DQ12" i="23"/>
  <c r="A12" i="23"/>
  <c r="A10" i="23"/>
  <c r="DQ9" i="23"/>
  <c r="ED9" i="23" s="1"/>
  <c r="DW2" i="23"/>
  <c r="DU2" i="23"/>
  <c r="DR2" i="23"/>
  <c r="DQ2" i="23"/>
  <c r="CX2" i="23"/>
  <c r="CV2" i="23"/>
  <c r="CU2" i="23"/>
  <c r="CT2" i="23"/>
  <c r="CS2" i="23"/>
  <c r="CG2" i="23"/>
  <c r="BT2" i="23"/>
  <c r="BJ2" i="23"/>
  <c r="BI2" i="23"/>
  <c r="BB2" i="23"/>
  <c r="AX2" i="23"/>
  <c r="AQ2" i="23"/>
  <c r="AP2" i="23"/>
  <c r="AO2" i="23"/>
  <c r="AN2" i="23"/>
  <c r="AM2" i="23"/>
  <c r="AL2" i="23"/>
  <c r="AK2" i="23"/>
  <c r="AJ2" i="23"/>
  <c r="AI2" i="23"/>
  <c r="AH2" i="23"/>
  <c r="AG2" i="23"/>
  <c r="O2" i="23"/>
  <c r="N2" i="23"/>
  <c r="M2" i="23"/>
  <c r="L2" i="23"/>
  <c r="K2" i="23"/>
  <c r="J2" i="23"/>
  <c r="H2" i="23"/>
  <c r="G2" i="23"/>
  <c r="F2" i="23"/>
  <c r="E2" i="23"/>
  <c r="D2" i="23"/>
  <c r="B142" i="24"/>
  <c r="CR132" i="24"/>
  <c r="CQ132" i="24"/>
  <c r="CP132" i="24"/>
  <c r="CO132" i="24"/>
  <c r="CN132" i="24"/>
  <c r="BB132" i="24"/>
  <c r="AX132" i="24"/>
  <c r="AR132" i="24" s="1"/>
  <c r="AQ132" i="24"/>
  <c r="AP132" i="24"/>
  <c r="AO132" i="24"/>
  <c r="EH115" i="24"/>
  <c r="A112" i="24"/>
  <c r="A111" i="24"/>
  <c r="EH112" i="24" s="1"/>
  <c r="A110" i="24"/>
  <c r="EH108" i="24" s="1"/>
  <c r="A109" i="24"/>
  <c r="EJ108" i="24"/>
  <c r="EI108" i="24"/>
  <c r="DV110" i="24" s="1"/>
  <c r="A108" i="24"/>
  <c r="A107" i="24"/>
  <c r="EJ106" i="24"/>
  <c r="EH106" i="24"/>
  <c r="A102" i="24"/>
  <c r="EH101" i="24"/>
  <c r="EJ98" i="24"/>
  <c r="EI98" i="24"/>
  <c r="DV98" i="24" s="1"/>
  <c r="EJ97" i="24"/>
  <c r="EI97" i="24"/>
  <c r="DV97" i="24" s="1"/>
  <c r="EJ96" i="24"/>
  <c r="EI96" i="24"/>
  <c r="DV96" i="24" s="1"/>
  <c r="EJ95" i="24"/>
  <c r="EI95" i="24"/>
  <c r="DV95" i="24" s="1"/>
  <c r="EJ94" i="24"/>
  <c r="EI94" i="24"/>
  <c r="DV94" i="24" s="1"/>
  <c r="A85" i="24"/>
  <c r="EH84" i="24"/>
  <c r="EH67" i="24"/>
  <c r="ER66" i="24"/>
  <c r="EQ66" i="24"/>
  <c r="EP66" i="24"/>
  <c r="EO66" i="24"/>
  <c r="EN66" i="24"/>
  <c r="EM66" i="24"/>
  <c r="EL66" i="24"/>
  <c r="EK66" i="24"/>
  <c r="EJ66" i="24"/>
  <c r="A64" i="24"/>
  <c r="A63" i="24"/>
  <c r="EH64" i="24" s="1"/>
  <c r="A62" i="24"/>
  <c r="EH60" i="24" s="1"/>
  <c r="A61" i="24"/>
  <c r="A60" i="24"/>
  <c r="A59" i="24"/>
  <c r="EJ58" i="24"/>
  <c r="EH58" i="24"/>
  <c r="EH54" i="24"/>
  <c r="A54" i="24"/>
  <c r="EJ53" i="24"/>
  <c r="EH53" i="24"/>
  <c r="EH50" i="24"/>
  <c r="EH98" i="24" s="1"/>
  <c r="EH49" i="24"/>
  <c r="EH97" i="24" s="1"/>
  <c r="EH48" i="24"/>
  <c r="EH96" i="24" s="1"/>
  <c r="EH47" i="24"/>
  <c r="EH95" i="24" s="1"/>
  <c r="EI46" i="24"/>
  <c r="DV46" i="24" s="1"/>
  <c r="EH46" i="24"/>
  <c r="EH94" i="24" s="1"/>
  <c r="EH45" i="24"/>
  <c r="EH93" i="24" s="1"/>
  <c r="EH44" i="24"/>
  <c r="EH92" i="24" s="1"/>
  <c r="EH43" i="24"/>
  <c r="EH91" i="24" s="1"/>
  <c r="EH42" i="24"/>
  <c r="EH90" i="24" s="1"/>
  <c r="EH41" i="24"/>
  <c r="EH89" i="24" s="1"/>
  <c r="EH40" i="24"/>
  <c r="EH88" i="24" s="1"/>
  <c r="EH39" i="24"/>
  <c r="EH87" i="24" s="1"/>
  <c r="EH38" i="24"/>
  <c r="EH86" i="24" s="1"/>
  <c r="A37" i="24"/>
  <c r="EQ29" i="24"/>
  <c r="EP29" i="24"/>
  <c r="EO29" i="24"/>
  <c r="EN29" i="24"/>
  <c r="EM29" i="24"/>
  <c r="EK29" i="24"/>
  <c r="EJ29" i="24"/>
  <c r="EI29" i="24"/>
  <c r="EQ28" i="24"/>
  <c r="EP28" i="24"/>
  <c r="EO28" i="24"/>
  <c r="EN28" i="24"/>
  <c r="EM28" i="24"/>
  <c r="EL28" i="24"/>
  <c r="EK28" i="24"/>
  <c r="EJ28" i="24"/>
  <c r="EI28" i="24"/>
  <c r="EH28" i="24"/>
  <c r="DW26" i="24"/>
  <c r="DQ26" i="24"/>
  <c r="CV26" i="24"/>
  <c r="CU26" i="24"/>
  <c r="CT26" i="24"/>
  <c r="CS26" i="24"/>
  <c r="CQ26" i="24"/>
  <c r="CP26" i="24"/>
  <c r="CO26" i="24"/>
  <c r="CN26" i="24"/>
  <c r="BT26" i="24"/>
  <c r="BT60" i="24" s="1"/>
  <c r="BK26" i="24"/>
  <c r="BJ26" i="24"/>
  <c r="BI26" i="24"/>
  <c r="AX26" i="24"/>
  <c r="AQ26" i="24"/>
  <c r="AP26" i="24"/>
  <c r="AO26" i="24"/>
  <c r="AN26" i="24"/>
  <c r="AM26" i="24"/>
  <c r="AL26" i="24"/>
  <c r="AK26" i="24"/>
  <c r="AJ26" i="24"/>
  <c r="AI26" i="24"/>
  <c r="AH26" i="24"/>
  <c r="AG26" i="24"/>
  <c r="AF26" i="24"/>
  <c r="W26" i="24"/>
  <c r="V26" i="24"/>
  <c r="U26" i="24"/>
  <c r="T26" i="24"/>
  <c r="S26" i="24"/>
  <c r="P26" i="24"/>
  <c r="O26" i="24"/>
  <c r="N26" i="24"/>
  <c r="M26" i="24"/>
  <c r="L26" i="24"/>
  <c r="K26" i="24"/>
  <c r="J26" i="24"/>
  <c r="H26" i="24"/>
  <c r="G26" i="24"/>
  <c r="F26" i="24"/>
  <c r="E26" i="24"/>
  <c r="D26" i="24"/>
  <c r="D24" i="24"/>
  <c r="A24" i="24"/>
  <c r="D23" i="24"/>
  <c r="A23" i="24"/>
  <c r="D22" i="24"/>
  <c r="A22" i="24"/>
  <c r="A33" i="27" s="1"/>
  <c r="CX18" i="24"/>
  <c r="CV18" i="24"/>
  <c r="CU18" i="24"/>
  <c r="CT18" i="24"/>
  <c r="CS18" i="24"/>
  <c r="CR18" i="24"/>
  <c r="CQ18" i="24"/>
  <c r="CP18" i="24"/>
  <c r="CO18" i="24"/>
  <c r="CN18" i="24"/>
  <c r="CG18" i="24"/>
  <c r="BT18" i="24"/>
  <c r="BK18" i="24"/>
  <c r="BJ18" i="24"/>
  <c r="BI18" i="24"/>
  <c r="BB18" i="24"/>
  <c r="AX18" i="24"/>
  <c r="AR18" i="24" s="1"/>
  <c r="AQ18" i="24"/>
  <c r="AP18" i="24"/>
  <c r="AO18" i="24"/>
  <c r="AK18" i="24"/>
  <c r="AM18" i="24" s="1"/>
  <c r="A18" i="24"/>
  <c r="T21" i="14" s="1"/>
  <c r="CX17" i="24"/>
  <c r="CV17" i="24"/>
  <c r="CU17" i="24"/>
  <c r="CT17" i="24"/>
  <c r="CS17" i="24"/>
  <c r="CR17" i="24"/>
  <c r="CQ17" i="24"/>
  <c r="CP17" i="24"/>
  <c r="CO17" i="24"/>
  <c r="CN17" i="24"/>
  <c r="CG17" i="24"/>
  <c r="BT17" i="24"/>
  <c r="BK17" i="24"/>
  <c r="BJ17" i="24"/>
  <c r="BI17" i="24"/>
  <c r="BB17" i="24"/>
  <c r="AX17" i="24"/>
  <c r="AR17" i="24" s="1"/>
  <c r="AQ17" i="24"/>
  <c r="AP17" i="24"/>
  <c r="AO17" i="24"/>
  <c r="AK17" i="24"/>
  <c r="AM17" i="24" s="1"/>
  <c r="CX16" i="24"/>
  <c r="CV16" i="24"/>
  <c r="CU16" i="24"/>
  <c r="CT16" i="24"/>
  <c r="CS16" i="24"/>
  <c r="CR16" i="24"/>
  <c r="CQ16" i="24"/>
  <c r="CP16" i="24"/>
  <c r="CO16" i="24"/>
  <c r="CN16" i="24"/>
  <c r="CG16" i="24"/>
  <c r="BT16" i="24"/>
  <c r="BK16" i="24"/>
  <c r="BJ16" i="24"/>
  <c r="BI16" i="24"/>
  <c r="BB16" i="24"/>
  <c r="AX16" i="24"/>
  <c r="AR16" i="24" s="1"/>
  <c r="AQ16" i="24"/>
  <c r="AP16" i="24"/>
  <c r="AO16" i="24"/>
  <c r="CX15" i="24"/>
  <c r="CV15" i="24"/>
  <c r="CU15" i="24"/>
  <c r="CT15" i="24"/>
  <c r="CS15" i="24"/>
  <c r="CR15" i="24"/>
  <c r="CQ15" i="24"/>
  <c r="CP15" i="24"/>
  <c r="CO15" i="24"/>
  <c r="CN15" i="24"/>
  <c r="CG15" i="24"/>
  <c r="BT15" i="24"/>
  <c r="BK15" i="24"/>
  <c r="BJ15" i="24"/>
  <c r="BI15" i="24"/>
  <c r="BB15" i="24"/>
  <c r="AX15" i="24"/>
  <c r="AR15" i="24" s="1"/>
  <c r="AQ15" i="24"/>
  <c r="AP15" i="24"/>
  <c r="AO15" i="24"/>
  <c r="AK15" i="24"/>
  <c r="AM15" i="24" s="1"/>
  <c r="CX14" i="24"/>
  <c r="CV14" i="24"/>
  <c r="CU14" i="24"/>
  <c r="CT14" i="24"/>
  <c r="CS14" i="24"/>
  <c r="CR14" i="24"/>
  <c r="CQ14" i="24"/>
  <c r="CP14" i="24"/>
  <c r="CO14" i="24"/>
  <c r="CN14" i="24"/>
  <c r="CG14" i="24"/>
  <c r="BT14" i="24"/>
  <c r="BK14" i="24"/>
  <c r="BJ14" i="24"/>
  <c r="BI14" i="24"/>
  <c r="BB14" i="24"/>
  <c r="AX14" i="24"/>
  <c r="AR14" i="24" s="1"/>
  <c r="AQ14" i="24"/>
  <c r="AP14" i="24"/>
  <c r="AO14" i="24"/>
  <c r="CX13" i="24"/>
  <c r="CV13" i="24"/>
  <c r="CU13" i="24"/>
  <c r="CT13" i="24"/>
  <c r="CS13" i="24"/>
  <c r="CR13" i="24"/>
  <c r="CQ13" i="24"/>
  <c r="CP13" i="24"/>
  <c r="CO13" i="24"/>
  <c r="CN13" i="24"/>
  <c r="CG13" i="24"/>
  <c r="BT13" i="24"/>
  <c r="BK13" i="24"/>
  <c r="BJ13" i="24"/>
  <c r="BI13" i="24"/>
  <c r="BB13" i="24"/>
  <c r="AX13" i="24"/>
  <c r="AR13" i="24" s="1"/>
  <c r="AQ13" i="24"/>
  <c r="AP13" i="24"/>
  <c r="AO13" i="24"/>
  <c r="AK13" i="24"/>
  <c r="AM13" i="24" s="1"/>
  <c r="CX12" i="24"/>
  <c r="CV12" i="24"/>
  <c r="CU12" i="24"/>
  <c r="CT12" i="24"/>
  <c r="CS12" i="24"/>
  <c r="CR12" i="24"/>
  <c r="CQ12" i="24"/>
  <c r="CP12" i="24"/>
  <c r="CO12" i="24"/>
  <c r="CN12" i="24"/>
  <c r="CG12" i="24"/>
  <c r="BT12" i="24"/>
  <c r="BK12" i="24"/>
  <c r="BJ12" i="24"/>
  <c r="BI12" i="24"/>
  <c r="BB12" i="24"/>
  <c r="AX12" i="24"/>
  <c r="AR12" i="24" s="1"/>
  <c r="AQ12" i="24"/>
  <c r="AP12" i="24"/>
  <c r="AO12" i="24"/>
  <c r="AK12" i="24"/>
  <c r="AM12" i="24" s="1"/>
  <c r="CX11" i="24"/>
  <c r="CV11" i="24"/>
  <c r="CU11" i="24"/>
  <c r="CT11" i="24"/>
  <c r="CS11" i="24"/>
  <c r="CR11" i="24"/>
  <c r="CQ11" i="24"/>
  <c r="CP11" i="24"/>
  <c r="CO11" i="24"/>
  <c r="CN11" i="24"/>
  <c r="CG11" i="24"/>
  <c r="BT11" i="24"/>
  <c r="BK11" i="24"/>
  <c r="BJ11" i="24"/>
  <c r="BI11" i="24"/>
  <c r="BB11" i="24"/>
  <c r="AX11" i="24"/>
  <c r="AR11" i="24" s="1"/>
  <c r="AQ11" i="24"/>
  <c r="AP11" i="24"/>
  <c r="AO11" i="24"/>
  <c r="CX10" i="24"/>
  <c r="CV10" i="24"/>
  <c r="CU10" i="24"/>
  <c r="CT10" i="24"/>
  <c r="CS10" i="24"/>
  <c r="CR10" i="24"/>
  <c r="CQ10" i="24"/>
  <c r="CP10" i="24"/>
  <c r="CO10" i="24"/>
  <c r="CN10" i="24"/>
  <c r="CG10" i="24"/>
  <c r="BT10" i="24"/>
  <c r="BK10" i="24"/>
  <c r="BJ10" i="24"/>
  <c r="BI10" i="24"/>
  <c r="BB10" i="24"/>
  <c r="AX10" i="24"/>
  <c r="AR10" i="24" s="1"/>
  <c r="AQ10" i="24"/>
  <c r="AP10" i="24"/>
  <c r="AO10" i="24"/>
  <c r="CX9" i="24"/>
  <c r="CV9" i="24"/>
  <c r="CU9" i="24"/>
  <c r="CT9" i="24"/>
  <c r="CS9" i="24"/>
  <c r="CR9" i="24"/>
  <c r="CQ9" i="24"/>
  <c r="CP9" i="24"/>
  <c r="CO9" i="24"/>
  <c r="CN9" i="24"/>
  <c r="CG9" i="24"/>
  <c r="BT9" i="24"/>
  <c r="BK9" i="24"/>
  <c r="BJ9" i="24"/>
  <c r="BI9" i="24"/>
  <c r="BB9" i="24"/>
  <c r="AX9" i="24"/>
  <c r="AR9" i="24" s="1"/>
  <c r="AQ9" i="24"/>
  <c r="AP9" i="24"/>
  <c r="AO9" i="24"/>
  <c r="CX8" i="24"/>
  <c r="CV8" i="24"/>
  <c r="CU8" i="24"/>
  <c r="CT8" i="24"/>
  <c r="CS8" i="24"/>
  <c r="CR8" i="24"/>
  <c r="CQ8" i="24"/>
  <c r="CP8" i="24"/>
  <c r="CO8" i="24"/>
  <c r="CN8" i="24"/>
  <c r="CG8" i="24"/>
  <c r="BT8" i="24"/>
  <c r="BK8" i="24"/>
  <c r="BJ8" i="24"/>
  <c r="BI8" i="24"/>
  <c r="BB8" i="24"/>
  <c r="AX8" i="24"/>
  <c r="AR8" i="24" s="1"/>
  <c r="AQ8" i="24"/>
  <c r="AP8" i="24"/>
  <c r="AO8" i="24"/>
  <c r="AK8" i="24"/>
  <c r="AM8" i="24" s="1"/>
  <c r="AF5" i="24"/>
  <c r="V5" i="24"/>
  <c r="V37" i="24" s="1"/>
  <c r="U5" i="24"/>
  <c r="T5" i="24"/>
  <c r="T37" i="24" s="1"/>
  <c r="S5" i="24"/>
  <c r="P5" i="24"/>
  <c r="O5" i="24"/>
  <c r="N5" i="24"/>
  <c r="M5" i="24"/>
  <c r="M54" i="24" s="1"/>
  <c r="L5" i="24"/>
  <c r="K5" i="24"/>
  <c r="J5" i="24"/>
  <c r="J37" i="24" s="1"/>
  <c r="H5" i="24"/>
  <c r="H54" i="24" s="1"/>
  <c r="G5" i="24"/>
  <c r="E5" i="24"/>
  <c r="E37" i="24" s="1"/>
  <c r="D5" i="24"/>
  <c r="D37" i="24" s="1"/>
  <c r="DQ4" i="24"/>
  <c r="CS4" i="24"/>
  <c r="CN4" i="24"/>
  <c r="BI4" i="24"/>
  <c r="AO4" i="24"/>
  <c r="AM4" i="24"/>
  <c r="AL4" i="24"/>
  <c r="AK4" i="24"/>
  <c r="AI4" i="24"/>
  <c r="AG4" i="24"/>
  <c r="CR2" i="24"/>
  <c r="CQ2" i="24"/>
  <c r="CQ2" i="28" s="1"/>
  <c r="CP2" i="24"/>
  <c r="CP2" i="28" s="1"/>
  <c r="CO2" i="24"/>
  <c r="DW117" i="28"/>
  <c r="DU117" i="28"/>
  <c r="DR117" i="28"/>
  <c r="DQ117" i="28"/>
  <c r="CX117" i="28"/>
  <c r="CV117" i="28"/>
  <c r="CU117" i="28"/>
  <c r="CT117" i="28"/>
  <c r="CS117" i="28"/>
  <c r="CR117" i="28"/>
  <c r="CQ117" i="28"/>
  <c r="CP117" i="28"/>
  <c r="CO117" i="28"/>
  <c r="CN117" i="28"/>
  <c r="CG117" i="28"/>
  <c r="BT117" i="28"/>
  <c r="BK117" i="28"/>
  <c r="BJ117" i="28"/>
  <c r="BI117" i="28"/>
  <c r="AX117" i="28"/>
  <c r="AQ117" i="28"/>
  <c r="AP117" i="28"/>
  <c r="AO117" i="28"/>
  <c r="AN117" i="28"/>
  <c r="AM117" i="28"/>
  <c r="AL117" i="28"/>
  <c r="AK117" i="28"/>
  <c r="AJ117" i="28"/>
  <c r="AI117" i="28"/>
  <c r="AH117" i="28"/>
  <c r="AG117" i="28"/>
  <c r="AF117" i="28"/>
  <c r="W117" i="28"/>
  <c r="V117" i="28"/>
  <c r="U117" i="28"/>
  <c r="T117" i="28"/>
  <c r="S117" i="28"/>
  <c r="P117" i="28"/>
  <c r="O117" i="28"/>
  <c r="N117" i="28"/>
  <c r="M117" i="28"/>
  <c r="L117" i="28"/>
  <c r="J117" i="28"/>
  <c r="H117" i="28"/>
  <c r="G117" i="28"/>
  <c r="F117" i="28"/>
  <c r="E117" i="28"/>
  <c r="D117" i="28"/>
  <c r="A117" i="28"/>
  <c r="A116" i="28"/>
  <c r="A115" i="28"/>
  <c r="A114" i="28"/>
  <c r="A113" i="28"/>
  <c r="DW95" i="28"/>
  <c r="DU95" i="28"/>
  <c r="DR95" i="28"/>
  <c r="DQ95" i="28"/>
  <c r="CX95" i="28"/>
  <c r="CV95" i="28"/>
  <c r="CU95" i="28"/>
  <c r="CT95" i="28"/>
  <c r="CS95" i="28"/>
  <c r="CR95" i="28"/>
  <c r="CQ95" i="28"/>
  <c r="CP95" i="28"/>
  <c r="CO95" i="28"/>
  <c r="CN95" i="28"/>
  <c r="CG95" i="28"/>
  <c r="BT95" i="28"/>
  <c r="BK95" i="28"/>
  <c r="BJ95" i="28"/>
  <c r="BI95" i="28"/>
  <c r="AX95" i="28"/>
  <c r="AQ95" i="28"/>
  <c r="AP95" i="28"/>
  <c r="AO95" i="28"/>
  <c r="AN95" i="28"/>
  <c r="AM95" i="28"/>
  <c r="AL95" i="28"/>
  <c r="AK95" i="28"/>
  <c r="AJ95" i="28"/>
  <c r="AI95" i="28"/>
  <c r="AH95" i="28"/>
  <c r="AG95" i="28"/>
  <c r="AF95" i="28"/>
  <c r="W95" i="28"/>
  <c r="V95" i="28"/>
  <c r="U95" i="28"/>
  <c r="T95" i="28"/>
  <c r="S95" i="28"/>
  <c r="P95" i="28"/>
  <c r="O95" i="28"/>
  <c r="N95" i="28"/>
  <c r="M95" i="28"/>
  <c r="L95" i="28"/>
  <c r="J95" i="28"/>
  <c r="H95" i="28"/>
  <c r="G95" i="28"/>
  <c r="F95" i="28"/>
  <c r="E95" i="28"/>
  <c r="D95" i="28"/>
  <c r="A88" i="28"/>
  <c r="A87" i="28"/>
  <c r="A109" i="28" s="1"/>
  <c r="A86" i="28"/>
  <c r="A85" i="28"/>
  <c r="A107" i="28" s="1"/>
  <c r="A84" i="28"/>
  <c r="A106" i="28" s="1"/>
  <c r="M78" i="32"/>
  <c r="AJ20" i="28"/>
  <c r="AI20" i="28" s="1"/>
  <c r="V19" i="28"/>
  <c r="V3" i="26" s="1"/>
  <c r="H19" i="28"/>
  <c r="H3" i="26" s="1"/>
  <c r="G19" i="28"/>
  <c r="G3" i="26" s="1"/>
  <c r="E19" i="28"/>
  <c r="E3" i="26" s="1"/>
  <c r="W75" i="32"/>
  <c r="DU26" i="24"/>
  <c r="DR26" i="24"/>
  <c r="CX26" i="24"/>
  <c r="CR26" i="24"/>
  <c r="F5" i="24"/>
  <c r="DU11" i="28"/>
  <c r="DT11" i="28" s="1"/>
  <c r="DS11" i="28" s="1"/>
  <c r="DS4" i="24" s="1"/>
  <c r="DR11" i="28"/>
  <c r="DW11" i="28" s="1"/>
  <c r="DV11" i="28" s="1"/>
  <c r="DV4" i="24" s="1"/>
  <c r="CO11" i="28"/>
  <c r="CO4" i="24" s="1"/>
  <c r="AQ11" i="28"/>
  <c r="AN4" i="24"/>
  <c r="AF11" i="28"/>
  <c r="W11" i="28"/>
  <c r="D11" i="28"/>
  <c r="CS10" i="28"/>
  <c r="CY10" i="28" s="1"/>
  <c r="CR10" i="28"/>
  <c r="AQ10" i="28"/>
  <c r="AK10" i="28"/>
  <c r="AQ17" i="25"/>
  <c r="AP17" i="25"/>
  <c r="AO17" i="25"/>
  <c r="F17" i="25"/>
  <c r="E17" i="25"/>
  <c r="B7" i="28"/>
  <c r="B22" i="28" s="1"/>
  <c r="A7" i="28"/>
  <c r="B6" i="28"/>
  <c r="A6" i="28"/>
  <c r="AH71" i="32"/>
  <c r="DW5" i="28"/>
  <c r="DU5" i="28"/>
  <c r="DR5" i="28"/>
  <c r="DR6" i="28" s="1"/>
  <c r="AD71" i="32" s="1"/>
  <c r="DQ5" i="28"/>
  <c r="DM5" i="28" s="1"/>
  <c r="CX5" i="28"/>
  <c r="CX9" i="25" s="1"/>
  <c r="CX11" i="25" s="1"/>
  <c r="CV5" i="28"/>
  <c r="CV9" i="25" s="1"/>
  <c r="CV11" i="25" s="1"/>
  <c r="CU5" i="28"/>
  <c r="CU9" i="25" s="1"/>
  <c r="CU11" i="25" s="1"/>
  <c r="CT5" i="28"/>
  <c r="CT9" i="25" s="1"/>
  <c r="CT11" i="25" s="1"/>
  <c r="CS5" i="28"/>
  <c r="CS9" i="25" s="1"/>
  <c r="CS11" i="25" s="1"/>
  <c r="CR5" i="28"/>
  <c r="CR9" i="25" s="1"/>
  <c r="CR11" i="25" s="1"/>
  <c r="CQ5" i="28"/>
  <c r="CQ9" i="25" s="1"/>
  <c r="CQ11" i="25" s="1"/>
  <c r="CP5" i="28"/>
  <c r="CP9" i="25" s="1"/>
  <c r="CP11" i="25" s="1"/>
  <c r="CO5" i="28"/>
  <c r="CO9" i="25" s="1"/>
  <c r="CO11" i="25" s="1"/>
  <c r="CN5" i="28"/>
  <c r="CN9" i="25" s="1"/>
  <c r="CG5" i="28"/>
  <c r="BT5" i="28"/>
  <c r="BK5" i="28"/>
  <c r="BK6" i="28" s="1"/>
  <c r="Y71" i="32" s="1"/>
  <c r="BJ5" i="28"/>
  <c r="BI5" i="28"/>
  <c r="BB5" i="28"/>
  <c r="AX5" i="28"/>
  <c r="AR5" i="28" s="1"/>
  <c r="AQ5" i="28"/>
  <c r="AQ6" i="28" s="1"/>
  <c r="P71" i="32" s="1"/>
  <c r="AP5" i="28"/>
  <c r="AP6" i="28" s="1"/>
  <c r="O71" i="32" s="1"/>
  <c r="AO6" i="28"/>
  <c r="N71" i="32" s="1"/>
  <c r="AK6" i="28"/>
  <c r="J71" i="32" s="1"/>
  <c r="AI5" i="28"/>
  <c r="AI6" i="28" s="1"/>
  <c r="H71" i="32" s="1"/>
  <c r="AG5" i="28"/>
  <c r="D5" i="28"/>
  <c r="D6" i="28" s="1"/>
  <c r="C71" i="32" s="1"/>
  <c r="A5" i="28"/>
  <c r="DM4" i="28"/>
  <c r="DM8" i="25" s="1"/>
  <c r="CR4" i="28"/>
  <c r="CR8" i="25" s="1"/>
  <c r="CQ4" i="28"/>
  <c r="CQ8" i="25" s="1"/>
  <c r="CP4" i="28"/>
  <c r="CP8" i="25" s="1"/>
  <c r="CO4" i="28"/>
  <c r="CO8" i="25" s="1"/>
  <c r="CN4" i="28"/>
  <c r="CN8" i="25" s="1"/>
  <c r="BB4" i="28"/>
  <c r="AX4" i="28"/>
  <c r="AR4" i="28" s="1"/>
  <c r="AR8" i="25" s="1"/>
  <c r="AQ4" i="28"/>
  <c r="AP4" i="28"/>
  <c r="AH4" i="28"/>
  <c r="AG4" i="28"/>
  <c r="AF4" i="28"/>
  <c r="F4" i="28"/>
  <c r="F8" i="25" s="1"/>
  <c r="E4" i="28"/>
  <c r="E8" i="25" s="1"/>
  <c r="B4" i="28"/>
  <c r="A4" i="28"/>
  <c r="DW2" i="28"/>
  <c r="DU2" i="28"/>
  <c r="DR2" i="28"/>
  <c r="DQ2" i="28"/>
  <c r="CX2" i="28"/>
  <c r="A52" i="51" s="1"/>
  <c r="CV2" i="28"/>
  <c r="CV19" i="28" s="1"/>
  <c r="CU2" i="28"/>
  <c r="CU19" i="28" s="1"/>
  <c r="CT2" i="28"/>
  <c r="A55" i="51" s="1"/>
  <c r="CS2" i="28"/>
  <c r="A56" i="51" s="1"/>
  <c r="CG2" i="28"/>
  <c r="AX2" i="28"/>
  <c r="AQ2" i="28"/>
  <c r="AP2" i="28"/>
  <c r="AO2" i="28"/>
  <c r="A62" i="74" s="1"/>
  <c r="C62" i="74" s="1"/>
  <c r="H44" i="74" s="1"/>
  <c r="AN2" i="28"/>
  <c r="AM2" i="28"/>
  <c r="AL2" i="28"/>
  <c r="AK2" i="28"/>
  <c r="AJ2" i="28"/>
  <c r="AI2" i="28"/>
  <c r="AH2" i="28"/>
  <c r="AG2" i="28"/>
  <c r="O2" i="28"/>
  <c r="N2" i="28"/>
  <c r="M2" i="28"/>
  <c r="L2" i="28"/>
  <c r="K2" i="28"/>
  <c r="J2" i="28"/>
  <c r="H2" i="28"/>
  <c r="G2" i="28"/>
  <c r="F2" i="28"/>
  <c r="E2" i="28"/>
  <c r="D2" i="28"/>
  <c r="C2" i="28"/>
  <c r="D1" i="28"/>
  <c r="S5" i="33"/>
  <c r="M9" i="33"/>
  <c r="L9" i="33"/>
  <c r="K9" i="33"/>
  <c r="J9" i="33"/>
  <c r="I9" i="33"/>
  <c r="H9" i="33"/>
  <c r="G9" i="33"/>
  <c r="F9" i="33"/>
  <c r="E9" i="33"/>
  <c r="D9" i="33"/>
  <c r="C9" i="33"/>
  <c r="B9" i="33"/>
  <c r="M8" i="33"/>
  <c r="L8" i="33"/>
  <c r="K8" i="33"/>
  <c r="J8" i="33"/>
  <c r="I8" i="33"/>
  <c r="H8" i="33"/>
  <c r="G8" i="33"/>
  <c r="F8" i="33"/>
  <c r="E8" i="33"/>
  <c r="D8" i="33"/>
  <c r="C8" i="33"/>
  <c r="B8" i="33"/>
  <c r="M7" i="33"/>
  <c r="L7" i="33"/>
  <c r="K7" i="33"/>
  <c r="J7" i="33"/>
  <c r="I7" i="33"/>
  <c r="H7" i="33"/>
  <c r="G7" i="33"/>
  <c r="F7" i="33"/>
  <c r="E7" i="33"/>
  <c r="D7" i="33"/>
  <c r="C7" i="33"/>
  <c r="B7" i="33"/>
  <c r="M6" i="33"/>
  <c r="L6" i="33"/>
  <c r="K6" i="33"/>
  <c r="J6" i="33"/>
  <c r="I6" i="33"/>
  <c r="H6" i="33"/>
  <c r="G6" i="33"/>
  <c r="F6" i="33"/>
  <c r="E6" i="33"/>
  <c r="D6" i="33"/>
  <c r="C6" i="33"/>
  <c r="B6" i="33"/>
  <c r="M5" i="33"/>
  <c r="L5" i="33"/>
  <c r="K5" i="33"/>
  <c r="J5" i="33"/>
  <c r="I5" i="33"/>
  <c r="H5" i="33"/>
  <c r="G5" i="33"/>
  <c r="F5" i="33"/>
  <c r="E5" i="33"/>
  <c r="D5" i="33"/>
  <c r="C5" i="33"/>
  <c r="B5" i="33"/>
  <c r="M4" i="33"/>
  <c r="L4" i="33"/>
  <c r="K4" i="33"/>
  <c r="J4" i="33"/>
  <c r="I4" i="33"/>
  <c r="H4" i="33"/>
  <c r="G4" i="33"/>
  <c r="F4" i="33"/>
  <c r="E4" i="33"/>
  <c r="D4" i="33"/>
  <c r="C4" i="33"/>
  <c r="B4" i="33"/>
  <c r="R43" i="8" l="1"/>
  <c r="B24" i="8"/>
  <c r="D55" i="8"/>
  <c r="G78" i="8"/>
  <c r="H37" i="8" s="1"/>
  <c r="A48" i="74"/>
  <c r="A48" i="55"/>
  <c r="EI47" i="24"/>
  <c r="DV47" i="24" s="1"/>
  <c r="ED10" i="28"/>
  <c r="K36" i="8"/>
  <c r="E55" i="8"/>
  <c r="M94" i="29"/>
  <c r="EJ60" i="24"/>
  <c r="EI60" i="24"/>
  <c r="R62" i="24" s="1"/>
  <c r="EJ47" i="24"/>
  <c r="X47" i="24" s="1"/>
  <c r="E52" i="13"/>
  <c r="H30" i="8"/>
  <c r="P30" i="8" s="1"/>
  <c r="K33" i="8"/>
  <c r="J45" i="8"/>
  <c r="C55" i="8"/>
  <c r="K9" i="14"/>
  <c r="EI48" i="24"/>
  <c r="DV48" i="24" s="1"/>
  <c r="K30" i="8"/>
  <c r="K45" i="8"/>
  <c r="C173" i="29"/>
  <c r="E173" i="29" s="1"/>
  <c r="A108" i="28"/>
  <c r="B84" i="32"/>
  <c r="EJ48" i="24"/>
  <c r="X48" i="24" s="1"/>
  <c r="DV122" i="24"/>
  <c r="Q37" i="8"/>
  <c r="X36" i="8"/>
  <c r="EI49" i="24"/>
  <c r="DV49" i="24" s="1"/>
  <c r="EJ49" i="24"/>
  <c r="BZ49" i="24" s="1"/>
  <c r="K31" i="8"/>
  <c r="K34" i="8"/>
  <c r="K32" i="22"/>
  <c r="DV21" i="25"/>
  <c r="I21" i="25"/>
  <c r="AC21" i="25"/>
  <c r="Z21" i="25"/>
  <c r="AD21" i="25"/>
  <c r="AB21" i="25"/>
  <c r="AA21" i="25"/>
  <c r="AE21" i="25"/>
  <c r="DH21" i="25"/>
  <c r="CI21" i="25"/>
  <c r="DE21" i="25"/>
  <c r="DI21" i="25"/>
  <c r="CK21" i="25"/>
  <c r="CJ21" i="25"/>
  <c r="DJ21" i="25"/>
  <c r="CH21" i="25"/>
  <c r="CL21" i="25"/>
  <c r="DF21" i="25"/>
  <c r="CM21" i="25"/>
  <c r="CZ21" i="25"/>
  <c r="DA21" i="25"/>
  <c r="DB21" i="25"/>
  <c r="CY21" i="25"/>
  <c r="DC21" i="25"/>
  <c r="DD21" i="25"/>
  <c r="M31" i="8"/>
  <c r="EI50" i="24"/>
  <c r="DV50" i="24" s="1"/>
  <c r="K37" i="8"/>
  <c r="U46" i="8"/>
  <c r="A58" i="8"/>
  <c r="S7" i="33"/>
  <c r="EJ50" i="24"/>
  <c r="M37" i="8"/>
  <c r="J46" i="8"/>
  <c r="AJ5" i="28"/>
  <c r="S6" i="33"/>
  <c r="F10" i="13"/>
  <c r="M10" i="13" s="1"/>
  <c r="O10" i="13" s="1"/>
  <c r="M46" i="8"/>
  <c r="F13" i="29"/>
  <c r="H95" i="29"/>
  <c r="A62" i="63"/>
  <c r="C62" i="63" s="1"/>
  <c r="A63" i="74"/>
  <c r="C63" i="74" s="1"/>
  <c r="I44" i="74" s="1"/>
  <c r="E24" i="8"/>
  <c r="K24" i="8" s="1"/>
  <c r="CE33" i="25"/>
  <c r="DV33" i="25"/>
  <c r="E203" i="29"/>
  <c r="E64" i="29"/>
  <c r="D13" i="29" s="1"/>
  <c r="E13" i="29" s="1"/>
  <c r="M93" i="29"/>
  <c r="C114" i="29"/>
  <c r="C113" i="29"/>
  <c r="C177" i="29"/>
  <c r="E177" i="29" s="1"/>
  <c r="F15" i="29" s="1"/>
  <c r="F8" i="29" s="1"/>
  <c r="C267" i="29"/>
  <c r="M92" i="29"/>
  <c r="E93" i="29"/>
  <c r="J93" i="29" s="1"/>
  <c r="C303" i="29"/>
  <c r="D15" i="29"/>
  <c r="C257" i="29"/>
  <c r="J164" i="29"/>
  <c r="C273" i="29"/>
  <c r="C275" i="29" s="1"/>
  <c r="C276" i="29" s="1"/>
  <c r="C278" i="29" s="1"/>
  <c r="C279" i="29" s="1"/>
  <c r="C280" i="29" s="1"/>
  <c r="C281" i="29"/>
  <c r="B231" i="29" s="1"/>
  <c r="E202" i="29"/>
  <c r="D16" i="29" s="1"/>
  <c r="P93" i="29"/>
  <c r="Y7" i="27"/>
  <c r="Y8" i="27" s="1"/>
  <c r="Z7" i="27"/>
  <c r="Z8" i="27" s="1"/>
  <c r="AC7" i="27"/>
  <c r="AC8" i="27" s="1"/>
  <c r="X7" i="27"/>
  <c r="X8" i="27" s="1"/>
  <c r="AB7" i="27"/>
  <c r="AB8" i="27" s="1"/>
  <c r="AA7" i="27"/>
  <c r="AA8" i="27" s="1"/>
  <c r="I7" i="27"/>
  <c r="I8" i="27" s="1"/>
  <c r="AD7" i="27"/>
  <c r="AD8" i="27" s="1"/>
  <c r="AE7" i="27"/>
  <c r="AE8" i="27" s="1"/>
  <c r="Q7" i="27"/>
  <c r="Q8" i="27" s="1"/>
  <c r="R7" i="27"/>
  <c r="R8" i="27" s="1"/>
  <c r="C204" i="29"/>
  <c r="E204" i="29" s="1"/>
  <c r="AR5" i="27"/>
  <c r="AY5" i="27"/>
  <c r="AV5" i="27"/>
  <c r="AU5" i="27"/>
  <c r="AT5" i="27"/>
  <c r="AS5" i="27"/>
  <c r="AW5" i="27"/>
  <c r="AZ5" i="27"/>
  <c r="BA5" i="27"/>
  <c r="CN5" i="27"/>
  <c r="CN22" i="27" s="1"/>
  <c r="AQ5" i="27"/>
  <c r="AP5" i="27"/>
  <c r="AO5" i="27"/>
  <c r="CR5" i="27"/>
  <c r="CR21" i="27" s="1"/>
  <c r="CQ5" i="27"/>
  <c r="CQ21" i="27" s="1"/>
  <c r="CP5" i="27"/>
  <c r="BB5" i="27"/>
  <c r="CO5" i="27"/>
  <c r="AX5" i="27"/>
  <c r="ED5" i="27"/>
  <c r="EC5" i="27"/>
  <c r="EB5" i="27"/>
  <c r="EA5" i="27"/>
  <c r="DY5" i="27"/>
  <c r="DX5" i="27"/>
  <c r="DZ5" i="27"/>
  <c r="CL21" i="27"/>
  <c r="CH21" i="27"/>
  <c r="DI21" i="27"/>
  <c r="DF21" i="27"/>
  <c r="CJ22" i="27"/>
  <c r="CI26" i="27"/>
  <c r="CK26" i="27"/>
  <c r="CM21" i="27"/>
  <c r="DJ21" i="27"/>
  <c r="DI22" i="27"/>
  <c r="DF22" i="27"/>
  <c r="DF30" i="27" s="1"/>
  <c r="DH22" i="27"/>
  <c r="DH30" i="27" s="1"/>
  <c r="CI22" i="27"/>
  <c r="CK21" i="27"/>
  <c r="CK24" i="28" s="1"/>
  <c r="DF26" i="27"/>
  <c r="DH26" i="27"/>
  <c r="CK22" i="27"/>
  <c r="CH22" i="27"/>
  <c r="DJ26" i="27"/>
  <c r="CJ26" i="27"/>
  <c r="DE22" i="27"/>
  <c r="CM22" i="27"/>
  <c r="DI26" i="27"/>
  <c r="DE26" i="27"/>
  <c r="DE21" i="27"/>
  <c r="DJ22" i="27"/>
  <c r="DJ30" i="27" s="1"/>
  <c r="DH21" i="27"/>
  <c r="CM26" i="27"/>
  <c r="CJ21" i="27"/>
  <c r="CL26" i="27"/>
  <c r="CI21" i="27"/>
  <c r="CL22" i="27"/>
  <c r="CH26" i="27"/>
  <c r="CZ21" i="27"/>
  <c r="DA21" i="27"/>
  <c r="DC22" i="27"/>
  <c r="DD21" i="27"/>
  <c r="DA22" i="27"/>
  <c r="DA26" i="27"/>
  <c r="DC21" i="27"/>
  <c r="DB22" i="27"/>
  <c r="CY26" i="27"/>
  <c r="DB26" i="27"/>
  <c r="CZ22" i="27"/>
  <c r="CZ30" i="27" s="1"/>
  <c r="CY21" i="27"/>
  <c r="DC26" i="27"/>
  <c r="DD22" i="27"/>
  <c r="CZ26" i="27"/>
  <c r="DD26" i="27"/>
  <c r="DB21" i="27"/>
  <c r="CY22" i="27"/>
  <c r="EB26" i="27"/>
  <c r="DX26" i="27"/>
  <c r="CW26" i="27"/>
  <c r="EC26" i="27"/>
  <c r="CW21" i="27"/>
  <c r="DY26" i="27"/>
  <c r="DZ26" i="27"/>
  <c r="ED26" i="27"/>
  <c r="EA26" i="27"/>
  <c r="CW22" i="27"/>
  <c r="CC21" i="27"/>
  <c r="BW26" i="27"/>
  <c r="BW22" i="27"/>
  <c r="CC26" i="27"/>
  <c r="BW21" i="27"/>
  <c r="BZ26" i="27"/>
  <c r="CC22" i="27"/>
  <c r="BR21" i="27"/>
  <c r="BV26" i="27"/>
  <c r="BY26" i="27"/>
  <c r="CF22" i="27"/>
  <c r="BN26" i="27"/>
  <c r="CB21" i="27"/>
  <c r="BX26" i="27"/>
  <c r="BX22" i="27"/>
  <c r="BU26" i="27"/>
  <c r="BU21" i="27"/>
  <c r="BS26" i="27"/>
  <c r="CB22" i="27"/>
  <c r="CA22" i="27"/>
  <c r="BX21" i="27"/>
  <c r="BL26" i="27"/>
  <c r="BE26" i="27"/>
  <c r="BM26" i="27"/>
  <c r="BZ22" i="27"/>
  <c r="CD26" i="27"/>
  <c r="CA21" i="27"/>
  <c r="BV21" i="27"/>
  <c r="BY21" i="27"/>
  <c r="BU22" i="27"/>
  <c r="BR22" i="27"/>
  <c r="CB26" i="27"/>
  <c r="BV22" i="27"/>
  <c r="BZ21" i="27"/>
  <c r="CF21" i="27"/>
  <c r="CA26" i="27"/>
  <c r="BY22" i="27"/>
  <c r="BD26" i="27"/>
  <c r="BF21" i="27"/>
  <c r="BG21" i="27"/>
  <c r="BP26" i="27"/>
  <c r="BQ26" i="27"/>
  <c r="BO21" i="27"/>
  <c r="BH21" i="27"/>
  <c r="CF26" i="27"/>
  <c r="BF26" i="27"/>
  <c r="BC22" i="27"/>
  <c r="BE21" i="27"/>
  <c r="BD21" i="27"/>
  <c r="BM21" i="27"/>
  <c r="BS21" i="27"/>
  <c r="CD22" i="27"/>
  <c r="BL22" i="27"/>
  <c r="BL30" i="27" s="1"/>
  <c r="BS22" i="27"/>
  <c r="CD21" i="27"/>
  <c r="BL21" i="27"/>
  <c r="BQ22" i="27"/>
  <c r="CE21" i="27"/>
  <c r="BD22" i="27"/>
  <c r="BD30" i="27" s="1"/>
  <c r="BM22" i="27"/>
  <c r="BO22" i="27"/>
  <c r="BH26" i="27"/>
  <c r="BF22" i="27"/>
  <c r="BC26" i="27"/>
  <c r="BP21" i="27"/>
  <c r="BN22" i="27"/>
  <c r="AR26" i="27"/>
  <c r="CE26" i="27"/>
  <c r="BE22" i="27"/>
  <c r="BE30" i="27" s="1"/>
  <c r="BR26" i="27"/>
  <c r="BQ21" i="27"/>
  <c r="BO26" i="27"/>
  <c r="BG22" i="27"/>
  <c r="BH22" i="27"/>
  <c r="BH30" i="27" s="1"/>
  <c r="CE22" i="27"/>
  <c r="BG26" i="27"/>
  <c r="BP22" i="27"/>
  <c r="BC21" i="27"/>
  <c r="BN21" i="27"/>
  <c r="AY26" i="27"/>
  <c r="AW26" i="27"/>
  <c r="AV26" i="27"/>
  <c r="AU26" i="27"/>
  <c r="AT26" i="27"/>
  <c r="BA26" i="27"/>
  <c r="AS26" i="27"/>
  <c r="AZ26" i="27"/>
  <c r="B216" i="29"/>
  <c r="C216" i="29"/>
  <c r="DV5" i="27"/>
  <c r="DS5" i="27"/>
  <c r="DK5" i="27"/>
  <c r="DM5" i="27"/>
  <c r="DP5" i="27"/>
  <c r="DN5" i="27"/>
  <c r="DO5" i="27"/>
  <c r="DT5" i="27"/>
  <c r="DL5" i="27"/>
  <c r="DS97" i="24"/>
  <c r="Y97" i="24"/>
  <c r="DS110" i="24"/>
  <c r="DS122" i="24" s="1"/>
  <c r="Y110" i="24"/>
  <c r="Y122" i="24" s="1"/>
  <c r="DS46" i="24"/>
  <c r="Y46" i="24"/>
  <c r="AJ36" i="25"/>
  <c r="I80" i="32"/>
  <c r="I83" i="32" s="1"/>
  <c r="DS49" i="24"/>
  <c r="DS95" i="24"/>
  <c r="Y95" i="24"/>
  <c r="DS98" i="24"/>
  <c r="Y98" i="24"/>
  <c r="DS47" i="24"/>
  <c r="Y47" i="24"/>
  <c r="DS96" i="24"/>
  <c r="Y96" i="24"/>
  <c r="Y29" i="24"/>
  <c r="Y31" i="24" s="1"/>
  <c r="DS94" i="24"/>
  <c r="Y94" i="24"/>
  <c r="E100" i="32"/>
  <c r="J36" i="37" s="1"/>
  <c r="CV10" i="28"/>
  <c r="CV3" i="24" s="1"/>
  <c r="BJ10" i="28"/>
  <c r="CI10" i="28" s="1"/>
  <c r="BK10" i="28"/>
  <c r="BK3" i="24" s="1"/>
  <c r="CN10" i="28"/>
  <c r="CN3" i="24" s="1"/>
  <c r="CN3" i="23" s="1"/>
  <c r="G41" i="10"/>
  <c r="C36" i="10"/>
  <c r="Y8" i="24"/>
  <c r="AB8" i="24"/>
  <c r="AD8" i="24"/>
  <c r="Z8" i="24"/>
  <c r="AC8" i="24"/>
  <c r="X8" i="24"/>
  <c r="AA8" i="24"/>
  <c r="X94" i="24"/>
  <c r="X98" i="24"/>
  <c r="X110" i="24"/>
  <c r="X122" i="24" s="1"/>
  <c r="X46" i="24"/>
  <c r="X95" i="24"/>
  <c r="X13" i="24"/>
  <c r="X103" i="24"/>
  <c r="X116" i="24" s="1"/>
  <c r="X97" i="24"/>
  <c r="X96" i="24"/>
  <c r="X29" i="24"/>
  <c r="X31" i="24" s="1"/>
  <c r="X50" i="24"/>
  <c r="Z94" i="24"/>
  <c r="Z98" i="24"/>
  <c r="Z110" i="24"/>
  <c r="Z122" i="24" s="1"/>
  <c r="Z46" i="24"/>
  <c r="Z95" i="24"/>
  <c r="Z13" i="24"/>
  <c r="Z19" i="24" s="1"/>
  <c r="Z47" i="24"/>
  <c r="Z96" i="24"/>
  <c r="Z29" i="24"/>
  <c r="Z31" i="24" s="1"/>
  <c r="Z97" i="24"/>
  <c r="AD13" i="24"/>
  <c r="BZ110" i="24"/>
  <c r="AB110" i="24"/>
  <c r="AB122" i="24" s="1"/>
  <c r="BZ97" i="24"/>
  <c r="AB97" i="24"/>
  <c r="A60" i="63"/>
  <c r="C60" i="63" s="1"/>
  <c r="I44" i="63" s="1"/>
  <c r="A46" i="72"/>
  <c r="B46" i="72" s="1"/>
  <c r="H44" i="72" s="1"/>
  <c r="BZ48" i="24"/>
  <c r="AB48" i="24"/>
  <c r="AC94" i="24"/>
  <c r="AD94" i="24"/>
  <c r="AC98" i="24"/>
  <c r="AD98" i="24"/>
  <c r="AD110" i="24"/>
  <c r="AD122" i="24" s="1"/>
  <c r="AC110" i="24"/>
  <c r="AC122" i="24" s="1"/>
  <c r="BZ98" i="24"/>
  <c r="AB98" i="24"/>
  <c r="BZ46" i="24"/>
  <c r="AB46" i="24"/>
  <c r="AC95" i="24"/>
  <c r="AD95" i="24"/>
  <c r="A53" i="41"/>
  <c r="B53" i="41" s="1"/>
  <c r="BZ95" i="24"/>
  <c r="AB95" i="24"/>
  <c r="BZ103" i="24"/>
  <c r="AB103" i="24"/>
  <c r="AB116" i="24" s="1"/>
  <c r="AC47" i="24"/>
  <c r="AD47" i="24"/>
  <c r="AC96" i="24"/>
  <c r="AD96" i="24"/>
  <c r="AD46" i="24"/>
  <c r="AC46" i="24"/>
  <c r="BZ94" i="24"/>
  <c r="AB94" i="24"/>
  <c r="A52" i="41"/>
  <c r="B52" i="41" s="1"/>
  <c r="BZ96" i="24"/>
  <c r="AB96" i="24"/>
  <c r="AB29" i="24"/>
  <c r="AB31" i="24" s="1"/>
  <c r="AC29" i="24"/>
  <c r="AC31" i="24" s="1"/>
  <c r="AD29" i="24"/>
  <c r="AD31" i="24" s="1"/>
  <c r="BZ50" i="24"/>
  <c r="AB50" i="24"/>
  <c r="AC97" i="24"/>
  <c r="AD97" i="24"/>
  <c r="AA13" i="24"/>
  <c r="AC13" i="24"/>
  <c r="AB13" i="24"/>
  <c r="I95" i="24"/>
  <c r="I98" i="24"/>
  <c r="I47" i="24"/>
  <c r="I96" i="24"/>
  <c r="I110" i="24"/>
  <c r="I94" i="24"/>
  <c r="I46" i="24"/>
  <c r="I97" i="24"/>
  <c r="I29" i="24"/>
  <c r="AA95" i="24"/>
  <c r="AA46" i="24"/>
  <c r="AA98" i="24"/>
  <c r="AA47" i="24"/>
  <c r="AA96" i="24"/>
  <c r="AA110" i="24"/>
  <c r="AA122" i="24" s="1"/>
  <c r="AA29" i="24"/>
  <c r="AA31" i="24" s="1"/>
  <c r="AA97" i="24"/>
  <c r="AA94" i="24"/>
  <c r="DW9" i="25"/>
  <c r="DW11" i="25" s="1"/>
  <c r="DW5" i="26" s="1"/>
  <c r="AG70" i="32"/>
  <c r="AF4" i="24"/>
  <c r="AE95" i="24"/>
  <c r="AE47" i="24"/>
  <c r="AE96" i="24"/>
  <c r="AE97" i="24"/>
  <c r="AE46" i="24"/>
  <c r="AF8" i="25"/>
  <c r="AE94" i="24"/>
  <c r="AE98" i="24"/>
  <c r="AE110" i="24"/>
  <c r="AE122" i="24" s="1"/>
  <c r="BK3" i="25"/>
  <c r="CJ3" i="25"/>
  <c r="CJ35" i="25" s="1"/>
  <c r="CI3" i="25"/>
  <c r="AE29" i="24"/>
  <c r="AE31" i="24" s="1"/>
  <c r="CU3" i="25"/>
  <c r="CU35" i="25" s="1"/>
  <c r="BI3" i="25"/>
  <c r="CH3" i="25"/>
  <c r="CH35" i="25" s="1"/>
  <c r="CH38" i="25" s="1"/>
  <c r="G14" i="15"/>
  <c r="AE37" i="25"/>
  <c r="AE35" i="25"/>
  <c r="AE40" i="25"/>
  <c r="DE37" i="25"/>
  <c r="DH37" i="25"/>
  <c r="DH35" i="25"/>
  <c r="CL37" i="25"/>
  <c r="CM35" i="25"/>
  <c r="CM38" i="25" s="1"/>
  <c r="CK37" i="25"/>
  <c r="CL35" i="25"/>
  <c r="CH37" i="25"/>
  <c r="DF37" i="25"/>
  <c r="DJ35" i="25"/>
  <c r="DJ38" i="25" s="1"/>
  <c r="CJ37" i="25"/>
  <c r="CK35" i="25"/>
  <c r="DI37" i="25"/>
  <c r="DI35" i="25"/>
  <c r="CI37" i="25"/>
  <c r="DJ40" i="25"/>
  <c r="CZ37" i="25"/>
  <c r="DI40" i="25"/>
  <c r="CM40" i="25"/>
  <c r="DD35" i="25"/>
  <c r="DD38" i="25" s="1"/>
  <c r="CL40" i="25"/>
  <c r="DC37" i="25"/>
  <c r="DB37" i="25"/>
  <c r="DC35" i="25"/>
  <c r="DH40" i="25"/>
  <c r="DA37" i="25"/>
  <c r="DB35" i="25"/>
  <c r="CK40" i="25"/>
  <c r="CY37" i="25"/>
  <c r="DD40" i="25"/>
  <c r="DC40" i="25"/>
  <c r="DB40" i="25"/>
  <c r="E50" i="10"/>
  <c r="D40" i="10"/>
  <c r="D39" i="10"/>
  <c r="C35" i="10"/>
  <c r="AE36" i="25"/>
  <c r="N20" i="28"/>
  <c r="N7" i="26" s="1"/>
  <c r="AE7" i="26"/>
  <c r="DT4" i="24"/>
  <c r="AF74" i="32"/>
  <c r="DW8" i="25"/>
  <c r="AG69" i="32"/>
  <c r="DW4" i="24"/>
  <c r="AG74" i="32"/>
  <c r="D120" i="32" s="1"/>
  <c r="D21" i="37" s="1"/>
  <c r="DW19" i="28"/>
  <c r="AG76" i="32" s="1"/>
  <c r="AG68" i="32"/>
  <c r="B120" i="32" s="1"/>
  <c r="B21" i="37" s="1"/>
  <c r="AG44" i="36"/>
  <c r="AH44" i="38"/>
  <c r="AH44" i="39"/>
  <c r="EI104" i="24"/>
  <c r="DV104" i="24" s="1"/>
  <c r="EJ104" i="24"/>
  <c r="EI112" i="24"/>
  <c r="AO10" i="28"/>
  <c r="BT10" i="28"/>
  <c r="CK10" i="28" s="1"/>
  <c r="CT10" i="28"/>
  <c r="CT3" i="24" s="1"/>
  <c r="AP11" i="28"/>
  <c r="BB11" i="28" s="1"/>
  <c r="R74" i="32" s="1"/>
  <c r="D117" i="32" s="1"/>
  <c r="D18" i="37" s="1"/>
  <c r="AP10" i="28"/>
  <c r="AP3" i="24" s="1"/>
  <c r="CG10" i="28"/>
  <c r="CG3" i="24" s="1"/>
  <c r="CU10" i="28"/>
  <c r="CU3" i="24" s="1"/>
  <c r="AX10" i="28"/>
  <c r="AU10" i="28" s="1"/>
  <c r="CO10" i="28"/>
  <c r="CX10" i="28"/>
  <c r="DD10" i="28" s="1"/>
  <c r="DD3" i="24" s="1"/>
  <c r="CT11" i="28"/>
  <c r="CX11" i="28" s="1"/>
  <c r="CX4" i="24" s="1"/>
  <c r="EJ112" i="24"/>
  <c r="BB10" i="28"/>
  <c r="BB3" i="24" s="1"/>
  <c r="CP10" i="28"/>
  <c r="CP3" i="24" s="1"/>
  <c r="EI103" i="24"/>
  <c r="DV103" i="24" s="1"/>
  <c r="BI10" i="28"/>
  <c r="CH10" i="28" s="1"/>
  <c r="CQ10" i="28"/>
  <c r="CQ3" i="24" s="1"/>
  <c r="D4" i="25"/>
  <c r="D6" i="10"/>
  <c r="F25" i="13"/>
  <c r="L25" i="13"/>
  <c r="CI11" i="28"/>
  <c r="BJ11" i="28"/>
  <c r="CG11" i="28" s="1"/>
  <c r="CG4" i="24" s="1"/>
  <c r="EJ64" i="24"/>
  <c r="EJ56" i="24"/>
  <c r="EJ55" i="24"/>
  <c r="EI64" i="24"/>
  <c r="EI55" i="24"/>
  <c r="DV55" i="24" s="1"/>
  <c r="EI56" i="24"/>
  <c r="DV56" i="24" s="1"/>
  <c r="CW10" i="28"/>
  <c r="CC10" i="28"/>
  <c r="CF10" i="28"/>
  <c r="CE10" i="28"/>
  <c r="CD10" i="28"/>
  <c r="BA10" i="28"/>
  <c r="AY10" i="28"/>
  <c r="AZ10" i="28"/>
  <c r="CN11" i="25"/>
  <c r="CN5" i="26" s="1"/>
  <c r="H16" i="14"/>
  <c r="J17" i="14" s="1"/>
  <c r="DJ29" i="24"/>
  <c r="DE29" i="24"/>
  <c r="DE31" i="24" s="1"/>
  <c r="DF29" i="24"/>
  <c r="DI29" i="24"/>
  <c r="DH29" i="24"/>
  <c r="CL29" i="24"/>
  <c r="CH29" i="24"/>
  <c r="CH31" i="24" s="1"/>
  <c r="CI29" i="24"/>
  <c r="CK29" i="24"/>
  <c r="CM29" i="24"/>
  <c r="CJ29" i="24"/>
  <c r="CJ31" i="24" s="1"/>
  <c r="CR2" i="28"/>
  <c r="A52" i="47" s="1"/>
  <c r="CM2" i="24"/>
  <c r="D124" i="32"/>
  <c r="D110" i="60"/>
  <c r="D109" i="61"/>
  <c r="DM6" i="28"/>
  <c r="DM9" i="25"/>
  <c r="DM11" i="25" s="1"/>
  <c r="DC29" i="24"/>
  <c r="DA29" i="24"/>
  <c r="DD29" i="24"/>
  <c r="DB29" i="24"/>
  <c r="CY29" i="24"/>
  <c r="CY31" i="24" s="1"/>
  <c r="CZ29" i="24"/>
  <c r="J32" i="31"/>
  <c r="G70" i="61"/>
  <c r="G44" i="61" s="1"/>
  <c r="F71" i="60"/>
  <c r="F44" i="60" s="1"/>
  <c r="I71" i="60"/>
  <c r="I44" i="60" s="1"/>
  <c r="J70" i="61"/>
  <c r="AB71" i="60"/>
  <c r="AB44" i="60" s="1"/>
  <c r="X70" i="61"/>
  <c r="AE71" i="60"/>
  <c r="AE44" i="60" s="1"/>
  <c r="AA70" i="61"/>
  <c r="AF44" i="38"/>
  <c r="AF44" i="39"/>
  <c r="AE44" i="36"/>
  <c r="AC71" i="60"/>
  <c r="AC44" i="60" s="1"/>
  <c r="B56" i="60" s="1"/>
  <c r="Y70" i="61"/>
  <c r="C71" i="60"/>
  <c r="C44" i="60" s="1"/>
  <c r="C70" i="61"/>
  <c r="J71" i="60"/>
  <c r="J44" i="60" s="1"/>
  <c r="K70" i="61"/>
  <c r="AD71" i="60"/>
  <c r="AD44" i="60" s="1"/>
  <c r="Z70" i="61"/>
  <c r="K71" i="60"/>
  <c r="K44" i="60" s="1"/>
  <c r="L70" i="61"/>
  <c r="M70" i="61"/>
  <c r="E44" i="61" s="1"/>
  <c r="L71" i="60"/>
  <c r="L44" i="60" s="1"/>
  <c r="A60" i="47"/>
  <c r="C60" i="47" s="1"/>
  <c r="J44" i="47" s="1"/>
  <c r="P71" i="60"/>
  <c r="Q70" i="61"/>
  <c r="E71" i="60"/>
  <c r="E44" i="60" s="1"/>
  <c r="F70" i="61"/>
  <c r="M71" i="60"/>
  <c r="N70" i="61"/>
  <c r="S44" i="61" s="1"/>
  <c r="O71" i="60"/>
  <c r="P70" i="61"/>
  <c r="H71" i="60"/>
  <c r="H44" i="60" s="1"/>
  <c r="I70" i="61"/>
  <c r="F44" i="61" s="1"/>
  <c r="G71" i="60"/>
  <c r="G44" i="60" s="1"/>
  <c r="H70" i="61"/>
  <c r="A59" i="47"/>
  <c r="C59" i="47" s="1"/>
  <c r="I44" i="47" s="1"/>
  <c r="O70" i="61"/>
  <c r="N71" i="60"/>
  <c r="AF37" i="24"/>
  <c r="C124" i="32"/>
  <c r="C109" i="61"/>
  <c r="C110" i="60"/>
  <c r="D111" i="60"/>
  <c r="C106" i="60" s="1"/>
  <c r="D110" i="61"/>
  <c r="C105" i="61" s="1"/>
  <c r="C125" i="32"/>
  <c r="C110" i="61"/>
  <c r="C111" i="60"/>
  <c r="C28" i="15"/>
  <c r="C30" i="15" s="1"/>
  <c r="C79" i="22"/>
  <c r="C45" i="14"/>
  <c r="C43" i="14"/>
  <c r="DS4" i="25" s="1"/>
  <c r="DS36" i="25" s="1"/>
  <c r="DS38" i="25" s="1"/>
  <c r="E43" i="14"/>
  <c r="DQ3" i="25" s="1"/>
  <c r="ED4" i="25"/>
  <c r="N24" i="8"/>
  <c r="CO3" i="25"/>
  <c r="CO35" i="25" s="1"/>
  <c r="CP3" i="25"/>
  <c r="EP4" i="26" s="1"/>
  <c r="ET4" i="26" s="1"/>
  <c r="D75" i="22"/>
  <c r="G88" i="22" s="1"/>
  <c r="D77" i="22"/>
  <c r="D78" i="22"/>
  <c r="C77" i="22"/>
  <c r="K77" i="22" s="1"/>
  <c r="DM29" i="24"/>
  <c r="DM31" i="24" s="1"/>
  <c r="EL29" i="24"/>
  <c r="DT29" i="24" s="1"/>
  <c r="O29" i="14"/>
  <c r="O31" i="14" s="1"/>
  <c r="O23" i="14" s="1"/>
  <c r="K14" i="14"/>
  <c r="AO3" i="25"/>
  <c r="DK37" i="25"/>
  <c r="DZ37" i="25"/>
  <c r="DX35" i="25"/>
  <c r="DT37" i="25"/>
  <c r="DY37" i="25"/>
  <c r="DT35" i="25"/>
  <c r="DX37" i="25"/>
  <c r="DM37" i="25"/>
  <c r="EC35" i="25"/>
  <c r="DP37" i="25"/>
  <c r="EB35" i="25"/>
  <c r="ED35" i="25"/>
  <c r="CW37" i="25"/>
  <c r="DO37" i="25"/>
  <c r="EC37" i="25"/>
  <c r="EA35" i="25"/>
  <c r="ED37" i="25"/>
  <c r="CW35" i="25"/>
  <c r="DN37" i="25"/>
  <c r="EB37" i="25"/>
  <c r="DZ35" i="25"/>
  <c r="DL37" i="25"/>
  <c r="EA37" i="25"/>
  <c r="DY35" i="25"/>
  <c r="EB40" i="25"/>
  <c r="DZ40" i="25"/>
  <c r="CW40" i="25"/>
  <c r="DT40" i="25"/>
  <c r="DX40" i="25"/>
  <c r="ED40" i="25"/>
  <c r="EC40" i="25"/>
  <c r="EA40" i="25"/>
  <c r="DY40" i="25"/>
  <c r="DQ6" i="28"/>
  <c r="DO5" i="28"/>
  <c r="DP5" i="28"/>
  <c r="DK5" i="28"/>
  <c r="DL5" i="28"/>
  <c r="DN5" i="28"/>
  <c r="DP29" i="24"/>
  <c r="DP31" i="24" s="1"/>
  <c r="DN29" i="24"/>
  <c r="DN31" i="24" s="1"/>
  <c r="DL29" i="24"/>
  <c r="DL31" i="24" s="1"/>
  <c r="DO29" i="24"/>
  <c r="DO31" i="24" s="1"/>
  <c r="DK29" i="24"/>
  <c r="DK31" i="24" s="1"/>
  <c r="DP4" i="28"/>
  <c r="DP8" i="25" s="1"/>
  <c r="DO4" i="28"/>
  <c r="DO8" i="25" s="1"/>
  <c r="DN4" i="28"/>
  <c r="DN8" i="25" s="1"/>
  <c r="DK4" i="28"/>
  <c r="DK8" i="25" s="1"/>
  <c r="DL4" i="28"/>
  <c r="A58" i="54"/>
  <c r="C58" i="54" s="1"/>
  <c r="H44" i="54" s="1"/>
  <c r="A62" i="55"/>
  <c r="C62" i="55" s="1"/>
  <c r="H44" i="55" s="1"/>
  <c r="DQ19" i="28"/>
  <c r="AC76" i="32" s="1"/>
  <c r="A63" i="55"/>
  <c r="C63" i="55" s="1"/>
  <c r="I44" i="55" s="1"/>
  <c r="DX29" i="24"/>
  <c r="DX31" i="24" s="1"/>
  <c r="EC29" i="24"/>
  <c r="EC31" i="24" s="1"/>
  <c r="DY29" i="24"/>
  <c r="DY31" i="24" s="1"/>
  <c r="EA29" i="24"/>
  <c r="EA31" i="24" s="1"/>
  <c r="EB29" i="24"/>
  <c r="EB31" i="24" s="1"/>
  <c r="DZ29" i="24"/>
  <c r="DZ31" i="24" s="1"/>
  <c r="ED29" i="24"/>
  <c r="ED31" i="24" s="1"/>
  <c r="CT5" i="26"/>
  <c r="CU5" i="26"/>
  <c r="CR3" i="24"/>
  <c r="CV5" i="26"/>
  <c r="CS3" i="24"/>
  <c r="CS3" i="23" s="1"/>
  <c r="CS5" i="26"/>
  <c r="CQ5" i="26"/>
  <c r="CR5" i="26"/>
  <c r="DR12" i="23"/>
  <c r="DU12" i="23" s="1"/>
  <c r="DW12" i="23" s="1"/>
  <c r="DT12" i="23"/>
  <c r="DV12" i="23" s="1"/>
  <c r="DR9" i="23"/>
  <c r="DU9" i="23" s="1"/>
  <c r="DW9" i="23" s="1"/>
  <c r="DT9" i="23"/>
  <c r="DV9" i="23" s="1"/>
  <c r="A58" i="52"/>
  <c r="C58" i="52" s="1"/>
  <c r="H44" i="52" s="1"/>
  <c r="A62" i="51"/>
  <c r="C62" i="51" s="1"/>
  <c r="L44" i="51" s="1"/>
  <c r="A62" i="48"/>
  <c r="C62" i="48" s="1"/>
  <c r="L44" i="48" s="1"/>
  <c r="A58" i="50"/>
  <c r="C58" i="50" s="1"/>
  <c r="H44" i="50" s="1"/>
  <c r="A61" i="48"/>
  <c r="C61" i="48" s="1"/>
  <c r="K44" i="48" s="1"/>
  <c r="A61" i="51"/>
  <c r="C61" i="51" s="1"/>
  <c r="K44" i="51" s="1"/>
  <c r="CX19" i="28"/>
  <c r="A52" i="48"/>
  <c r="CX5" i="26"/>
  <c r="A49" i="47"/>
  <c r="A58" i="47"/>
  <c r="CS19" i="28"/>
  <c r="A56" i="48"/>
  <c r="CW29" i="24"/>
  <c r="A59" i="42"/>
  <c r="B59" i="42" s="1"/>
  <c r="CT19" i="28"/>
  <c r="A55" i="48"/>
  <c r="D76" i="22"/>
  <c r="C75" i="22"/>
  <c r="AZ29" i="25"/>
  <c r="CE29" i="25"/>
  <c r="CA37" i="25"/>
  <c r="CB35" i="25"/>
  <c r="BY37" i="25"/>
  <c r="BV37" i="25"/>
  <c r="BW35" i="25"/>
  <c r="CC37" i="25"/>
  <c r="BU37" i="25"/>
  <c r="BV35" i="25"/>
  <c r="BZ37" i="25"/>
  <c r="CA35" i="25"/>
  <c r="BZ35" i="25"/>
  <c r="CB37" i="25"/>
  <c r="CC35" i="25"/>
  <c r="BU35" i="25"/>
  <c r="BX37" i="25"/>
  <c r="BY35" i="25"/>
  <c r="BW37" i="25"/>
  <c r="BX35" i="25"/>
  <c r="BY40" i="25"/>
  <c r="BU40" i="25"/>
  <c r="R37" i="25"/>
  <c r="CF35" i="25"/>
  <c r="CF38" i="25" s="1"/>
  <c r="BC37" i="25"/>
  <c r="BF37" i="25"/>
  <c r="BL35" i="25"/>
  <c r="BM35" i="25"/>
  <c r="BN35" i="25"/>
  <c r="BQ37" i="25"/>
  <c r="BP37" i="25"/>
  <c r="BO37" i="25"/>
  <c r="BS35" i="25"/>
  <c r="AR37" i="25"/>
  <c r="BR35" i="25"/>
  <c r="BW40" i="25"/>
  <c r="BM37" i="25"/>
  <c r="BO35" i="25"/>
  <c r="BZ40" i="25"/>
  <c r="CC40" i="25"/>
  <c r="R35" i="25"/>
  <c r="CE35" i="25"/>
  <c r="CE38" i="25" s="1"/>
  <c r="BE37" i="25"/>
  <c r="AR35" i="25"/>
  <c r="BL37" i="25"/>
  <c r="BR37" i="25"/>
  <c r="BV40" i="25"/>
  <c r="CD35" i="25"/>
  <c r="CD38" i="25" s="1"/>
  <c r="Q35" i="25"/>
  <c r="BG37" i="25"/>
  <c r="BN37" i="25"/>
  <c r="CB40" i="25"/>
  <c r="Q37" i="25"/>
  <c r="BQ35" i="25"/>
  <c r="BX40" i="25"/>
  <c r="BD37" i="25"/>
  <c r="BH37" i="25"/>
  <c r="BS37" i="25"/>
  <c r="BP35" i="25"/>
  <c r="CA40" i="25"/>
  <c r="AR40" i="25"/>
  <c r="CD40" i="25"/>
  <c r="CE40" i="25"/>
  <c r="BS40" i="25"/>
  <c r="Q40" i="25"/>
  <c r="R40" i="25"/>
  <c r="BO40" i="25"/>
  <c r="BR40" i="25"/>
  <c r="CF40" i="25"/>
  <c r="BM40" i="25"/>
  <c r="BP40" i="25"/>
  <c r="BQ40" i="25"/>
  <c r="BN40" i="25"/>
  <c r="BL40" i="25"/>
  <c r="CS3" i="25"/>
  <c r="AP3" i="25"/>
  <c r="AQ3" i="25"/>
  <c r="BJ3" i="25"/>
  <c r="G15" i="21"/>
  <c r="CC29" i="24"/>
  <c r="BZ29" i="24"/>
  <c r="BW29" i="24"/>
  <c r="BY29" i="24"/>
  <c r="BV29" i="24"/>
  <c r="BX29" i="24"/>
  <c r="CA29" i="24"/>
  <c r="CB29" i="24"/>
  <c r="BU29" i="24"/>
  <c r="AR6" i="28"/>
  <c r="AR9" i="25"/>
  <c r="AR11" i="25" s="1"/>
  <c r="AR5" i="26" s="1"/>
  <c r="CG6" i="28"/>
  <c r="AB71" i="32" s="1"/>
  <c r="CE5" i="28"/>
  <c r="CE6" i="28" s="1"/>
  <c r="CF5" i="28"/>
  <c r="CD5" i="28"/>
  <c r="CG26" i="24"/>
  <c r="CG29" i="24" s="1"/>
  <c r="CF26" i="24"/>
  <c r="CF29" i="24" s="1"/>
  <c r="BQ96" i="24"/>
  <c r="BQ103" i="24"/>
  <c r="BQ110" i="24"/>
  <c r="BQ95" i="24"/>
  <c r="AR19" i="24"/>
  <c r="A60" i="43"/>
  <c r="A61" i="43"/>
  <c r="BQ50" i="24"/>
  <c r="A59" i="43"/>
  <c r="BQ97" i="24"/>
  <c r="BQ48" i="24"/>
  <c r="BQ94" i="24"/>
  <c r="BQ98" i="24"/>
  <c r="A49" i="43"/>
  <c r="A58" i="43"/>
  <c r="AR29" i="24"/>
  <c r="BQ46" i="24"/>
  <c r="A46" i="42"/>
  <c r="B46" i="42" s="1"/>
  <c r="H44" i="42" s="1"/>
  <c r="R94" i="24"/>
  <c r="Q94" i="24"/>
  <c r="R98" i="24"/>
  <c r="Q98" i="24"/>
  <c r="R46" i="24"/>
  <c r="Q46" i="24"/>
  <c r="Q29" i="24"/>
  <c r="R95" i="24"/>
  <c r="Q95" i="24"/>
  <c r="R47" i="24"/>
  <c r="Q47" i="24"/>
  <c r="R96" i="24"/>
  <c r="Q96" i="24"/>
  <c r="R110" i="24"/>
  <c r="Q110" i="24"/>
  <c r="R50" i="24"/>
  <c r="R97" i="24"/>
  <c r="Q97" i="24"/>
  <c r="R29" i="24"/>
  <c r="K21" i="28"/>
  <c r="K8" i="26" s="1"/>
  <c r="AF20" i="28"/>
  <c r="AF7" i="26" s="1"/>
  <c r="CO2" i="28"/>
  <c r="A55" i="47" s="1"/>
  <c r="CN6" i="28"/>
  <c r="AL5" i="28"/>
  <c r="AL6" i="28" s="1"/>
  <c r="K71" i="32" s="1"/>
  <c r="CQ6" i="28"/>
  <c r="BA5" i="28"/>
  <c r="AZ5" i="28"/>
  <c r="AZ6" i="28" s="1"/>
  <c r="AY5" i="28"/>
  <c r="CT6" i="28"/>
  <c r="AW5" i="28"/>
  <c r="AW6" i="28" s="1"/>
  <c r="AV5" i="28"/>
  <c r="AV6" i="28" s="1"/>
  <c r="AS5" i="28"/>
  <c r="AS6" i="28" s="1"/>
  <c r="AU5" i="28"/>
  <c r="AU6" i="28" s="1"/>
  <c r="AT5" i="28"/>
  <c r="AT6" i="28" s="1"/>
  <c r="AZ4" i="28"/>
  <c r="BA4" i="28"/>
  <c r="BA8" i="25" s="1"/>
  <c r="AY4" i="28"/>
  <c r="CP6" i="28"/>
  <c r="BE5" i="28"/>
  <c r="BE6" i="28" s="1"/>
  <c r="BF5" i="28"/>
  <c r="BF6" i="28" s="1"/>
  <c r="BG5" i="28"/>
  <c r="BG6" i="28" s="1"/>
  <c r="BH5" i="28"/>
  <c r="BH6" i="28" s="1"/>
  <c r="BC5" i="28"/>
  <c r="BC6" i="28" s="1"/>
  <c r="BD5" i="28"/>
  <c r="BD6" i="28" s="1"/>
  <c r="BB6" i="28"/>
  <c r="R71" i="32" s="1"/>
  <c r="CU6" i="28"/>
  <c r="BR5" i="28"/>
  <c r="BS5" i="28"/>
  <c r="BQ5" i="28"/>
  <c r="BM5" i="28"/>
  <c r="BN5" i="28"/>
  <c r="BP5" i="28"/>
  <c r="BL5" i="28"/>
  <c r="BO5" i="28"/>
  <c r="BI6" i="28"/>
  <c r="BI20" i="28" s="1"/>
  <c r="CV6" i="28"/>
  <c r="AJ21" i="28"/>
  <c r="AI21" i="28" s="1"/>
  <c r="AV4" i="28"/>
  <c r="AV8" i="25" s="1"/>
  <c r="AT4" i="28"/>
  <c r="AT8" i="25" s="1"/>
  <c r="AS4" i="28"/>
  <c r="AS8" i="25" s="1"/>
  <c r="AU4" i="28"/>
  <c r="AU8" i="25" s="1"/>
  <c r="AW4" i="28"/>
  <c r="AW8" i="25" s="1"/>
  <c r="BT6" i="28"/>
  <c r="Z71" i="32" s="1"/>
  <c r="BB26" i="24"/>
  <c r="BB108" i="24" s="1"/>
  <c r="AZ13" i="28"/>
  <c r="AY13" i="28"/>
  <c r="BA13" i="28"/>
  <c r="BA26" i="24" s="1"/>
  <c r="BA29" i="24" s="1"/>
  <c r="A78" i="28"/>
  <c r="A100" i="28" s="1"/>
  <c r="BD13" i="24"/>
  <c r="BC13" i="24"/>
  <c r="BD16" i="24"/>
  <c r="BC16" i="24"/>
  <c r="BD74" i="24"/>
  <c r="BC29" i="24"/>
  <c r="BC31" i="24" s="1"/>
  <c r="BD3" i="25"/>
  <c r="BD35" i="25" s="1"/>
  <c r="BD38" i="25" s="1"/>
  <c r="BC3" i="25"/>
  <c r="BC35" i="25" s="1"/>
  <c r="BC38" i="25" s="1"/>
  <c r="BD9" i="24"/>
  <c r="BC9" i="24"/>
  <c r="BD12" i="24"/>
  <c r="BC12" i="24"/>
  <c r="BD15" i="24"/>
  <c r="BC15" i="24"/>
  <c r="BD11" i="24"/>
  <c r="BC11" i="24"/>
  <c r="BD17" i="24"/>
  <c r="BC17" i="24"/>
  <c r="BD10" i="24"/>
  <c r="BC10" i="24"/>
  <c r="BD8" i="24"/>
  <c r="BC8" i="24"/>
  <c r="BD14" i="24"/>
  <c r="BC14" i="24"/>
  <c r="BD18" i="24"/>
  <c r="BC18" i="24"/>
  <c r="BD29" i="24"/>
  <c r="BD31" i="24" s="1"/>
  <c r="BH10" i="24"/>
  <c r="BG10" i="24"/>
  <c r="BF10" i="24"/>
  <c r="BE10" i="24"/>
  <c r="BG13" i="24"/>
  <c r="BF13" i="24"/>
  <c r="BE13" i="24"/>
  <c r="BH13" i="24"/>
  <c r="BF16" i="24"/>
  <c r="BH16" i="24"/>
  <c r="BE16" i="24"/>
  <c r="BG16" i="24"/>
  <c r="BE29" i="24"/>
  <c r="BE31" i="24" s="1"/>
  <c r="BE3" i="25"/>
  <c r="BE35" i="25" s="1"/>
  <c r="BE38" i="25" s="1"/>
  <c r="BH3" i="25"/>
  <c r="BH35" i="25" s="1"/>
  <c r="BG3" i="25"/>
  <c r="BG35" i="25" s="1"/>
  <c r="BF3" i="25"/>
  <c r="BF35" i="25" s="1"/>
  <c r="BE9" i="24"/>
  <c r="BH9" i="24"/>
  <c r="BG9" i="24"/>
  <c r="BF9" i="24"/>
  <c r="BH12" i="24"/>
  <c r="BE12" i="24"/>
  <c r="BG12" i="24"/>
  <c r="BF12" i="24"/>
  <c r="BE17" i="24"/>
  <c r="BH17" i="24"/>
  <c r="BG17" i="24"/>
  <c r="BF17" i="24"/>
  <c r="BE15" i="24"/>
  <c r="BH15" i="24"/>
  <c r="BG15" i="24"/>
  <c r="BF15" i="24"/>
  <c r="BF11" i="24"/>
  <c r="BE11" i="24"/>
  <c r="BH11" i="24"/>
  <c r="BG11" i="24"/>
  <c r="BF8" i="24"/>
  <c r="BE8" i="24"/>
  <c r="BG8" i="24"/>
  <c r="BH8" i="24"/>
  <c r="BE14" i="24"/>
  <c r="BF14" i="24"/>
  <c r="BH14" i="24"/>
  <c r="BG14" i="24"/>
  <c r="BH18" i="24"/>
  <c r="BG18" i="24"/>
  <c r="BF18" i="24"/>
  <c r="BE18" i="24"/>
  <c r="BL9" i="24"/>
  <c r="BL12" i="24"/>
  <c r="BL11" i="24"/>
  <c r="BL15" i="24"/>
  <c r="BL8" i="24"/>
  <c r="BL14" i="24"/>
  <c r="BL18" i="24"/>
  <c r="BL17" i="24"/>
  <c r="BG29" i="24"/>
  <c r="BL29" i="24"/>
  <c r="BF29" i="24"/>
  <c r="BH29" i="24"/>
  <c r="BL10" i="24"/>
  <c r="BL13" i="24"/>
  <c r="BL16" i="24"/>
  <c r="BM15" i="24"/>
  <c r="BM11" i="24"/>
  <c r="BM17" i="24"/>
  <c r="BM10" i="24"/>
  <c r="BM8" i="24"/>
  <c r="BM14" i="24"/>
  <c r="BM13" i="24"/>
  <c r="BM16" i="24"/>
  <c r="BM18" i="24"/>
  <c r="BM9" i="24"/>
  <c r="BM12" i="24"/>
  <c r="BN29" i="24"/>
  <c r="BM29" i="24"/>
  <c r="CN2" i="23"/>
  <c r="BO11" i="24"/>
  <c r="BS11" i="24"/>
  <c r="BN11" i="24"/>
  <c r="BR11" i="24"/>
  <c r="BQ11" i="24"/>
  <c r="BP11" i="24"/>
  <c r="BP9" i="24"/>
  <c r="BO9" i="24"/>
  <c r="BQ9" i="24"/>
  <c r="BS9" i="24"/>
  <c r="BN9" i="24"/>
  <c r="BR9" i="24"/>
  <c r="BS8" i="24"/>
  <c r="BR8" i="24"/>
  <c r="BN8" i="24"/>
  <c r="BQ8" i="24"/>
  <c r="BP8" i="24"/>
  <c r="BO8" i="24"/>
  <c r="BO14" i="24"/>
  <c r="BN14" i="24"/>
  <c r="BP14" i="24"/>
  <c r="BS14" i="24"/>
  <c r="BR14" i="24"/>
  <c r="BQ14" i="24"/>
  <c r="BS18" i="24"/>
  <c r="BR18" i="24"/>
  <c r="BQ18" i="24"/>
  <c r="BP18" i="24"/>
  <c r="BO18" i="24"/>
  <c r="BN18" i="24"/>
  <c r="BS13" i="24"/>
  <c r="BN13" i="24"/>
  <c r="BR13" i="24"/>
  <c r="BQ13" i="24"/>
  <c r="BP13" i="24"/>
  <c r="BO13" i="24"/>
  <c r="BS16" i="24"/>
  <c r="BR16" i="24"/>
  <c r="BQ16" i="24"/>
  <c r="BP16" i="24"/>
  <c r="BO16" i="24"/>
  <c r="BN16" i="24"/>
  <c r="BP17" i="24"/>
  <c r="BO17" i="24"/>
  <c r="BS17" i="24"/>
  <c r="BN17" i="24"/>
  <c r="BR17" i="24"/>
  <c r="BQ17" i="24"/>
  <c r="BS10" i="24"/>
  <c r="BR10" i="24"/>
  <c r="BQ10" i="24"/>
  <c r="BP10" i="24"/>
  <c r="BO10" i="24"/>
  <c r="BN10" i="24"/>
  <c r="BQ12" i="24"/>
  <c r="BP12" i="24"/>
  <c r="BO12" i="24"/>
  <c r="BN12" i="24"/>
  <c r="BR12" i="24"/>
  <c r="BS12" i="24"/>
  <c r="BN15" i="24"/>
  <c r="BR15" i="24"/>
  <c r="BQ15" i="24"/>
  <c r="BP15" i="24"/>
  <c r="BO15" i="24"/>
  <c r="BS15" i="24"/>
  <c r="AS9" i="24"/>
  <c r="AS15" i="24"/>
  <c r="BQ29" i="24"/>
  <c r="BR29" i="24"/>
  <c r="BP29" i="24"/>
  <c r="BS29" i="24"/>
  <c r="BO29" i="24"/>
  <c r="AS132" i="24"/>
  <c r="AS11" i="24"/>
  <c r="AS8" i="24"/>
  <c r="AS14" i="24"/>
  <c r="AS18" i="24"/>
  <c r="AS17" i="24"/>
  <c r="AS10" i="24"/>
  <c r="AS12" i="24"/>
  <c r="CO5" i="26"/>
  <c r="AS13" i="24"/>
  <c r="AS16" i="24"/>
  <c r="CP5" i="26"/>
  <c r="Y58" i="22"/>
  <c r="D80" i="22"/>
  <c r="Y63" i="22"/>
  <c r="AZ33" i="25"/>
  <c r="F8" i="10"/>
  <c r="AT35" i="25"/>
  <c r="AS37" i="25"/>
  <c r="BA35" i="25"/>
  <c r="AZ35" i="25"/>
  <c r="AS35" i="25"/>
  <c r="AU37" i="25"/>
  <c r="AV37" i="25"/>
  <c r="AY35" i="25"/>
  <c r="AU35" i="25"/>
  <c r="AV35" i="25"/>
  <c r="AW37" i="25"/>
  <c r="AW35" i="25"/>
  <c r="AT37" i="25"/>
  <c r="AV40" i="25"/>
  <c r="AT40" i="25"/>
  <c r="AU40" i="25"/>
  <c r="AY40" i="25"/>
  <c r="AS40" i="25"/>
  <c r="AZ40" i="25"/>
  <c r="AW40" i="25"/>
  <c r="BA40" i="25"/>
  <c r="AS29" i="24"/>
  <c r="AG17" i="25"/>
  <c r="AG21" i="25" s="1"/>
  <c r="AV8" i="24"/>
  <c r="AW8" i="24"/>
  <c r="AT8" i="24"/>
  <c r="AU8" i="24"/>
  <c r="AW17" i="24"/>
  <c r="AU17" i="24"/>
  <c r="AV17" i="24"/>
  <c r="AT17" i="24"/>
  <c r="AT18" i="24"/>
  <c r="AU18" i="24"/>
  <c r="AV18" i="24"/>
  <c r="AW18" i="24"/>
  <c r="AT10" i="24"/>
  <c r="AU10" i="24"/>
  <c r="AV10" i="24"/>
  <c r="AW10" i="24"/>
  <c r="AW13" i="24"/>
  <c r="AT13" i="24"/>
  <c r="AU13" i="24"/>
  <c r="AV13" i="24"/>
  <c r="AV16" i="24"/>
  <c r="AW16" i="24"/>
  <c r="AT16" i="24"/>
  <c r="AU16" i="24"/>
  <c r="AU9" i="24"/>
  <c r="AV9" i="24"/>
  <c r="AW9" i="24"/>
  <c r="AT9" i="24"/>
  <c r="AV12" i="24"/>
  <c r="AT12" i="24"/>
  <c r="AU12" i="24"/>
  <c r="AW12" i="24"/>
  <c r="AW132" i="24"/>
  <c r="AT132" i="24"/>
  <c r="AU132" i="24"/>
  <c r="AV132" i="24"/>
  <c r="AT14" i="24"/>
  <c r="AU14" i="24"/>
  <c r="AV14" i="24"/>
  <c r="AW14" i="24"/>
  <c r="AT15" i="24"/>
  <c r="AU15" i="24"/>
  <c r="AV15" i="24"/>
  <c r="AW15" i="24"/>
  <c r="AT29" i="24"/>
  <c r="AU11" i="24"/>
  <c r="AV11" i="24"/>
  <c r="AW11" i="24"/>
  <c r="AT11" i="24"/>
  <c r="D35" i="23"/>
  <c r="CN2" i="28"/>
  <c r="A56" i="47" s="1"/>
  <c r="AU29" i="24"/>
  <c r="AV29" i="24"/>
  <c r="AW29" i="24"/>
  <c r="A37" i="27"/>
  <c r="A60" i="27" s="1"/>
  <c r="D62" i="23"/>
  <c r="I75" i="23" s="1"/>
  <c r="I101" i="23" s="1"/>
  <c r="I73" i="23"/>
  <c r="U19" i="28"/>
  <c r="U3" i="26" s="1"/>
  <c r="BB19" i="24"/>
  <c r="D48" i="23"/>
  <c r="BI19" i="24"/>
  <c r="U40" i="25"/>
  <c r="CV40" i="25"/>
  <c r="G35" i="25"/>
  <c r="P35" i="25"/>
  <c r="CV35" i="25"/>
  <c r="D81" i="22"/>
  <c r="L81" i="22" s="1"/>
  <c r="B9" i="30"/>
  <c r="I4" i="30" s="1"/>
  <c r="BJ19" i="24"/>
  <c r="CR19" i="24"/>
  <c r="L40" i="25"/>
  <c r="V40" i="25"/>
  <c r="AN40" i="25"/>
  <c r="CX40" i="25"/>
  <c r="H35" i="25"/>
  <c r="S35" i="25"/>
  <c r="AI35" i="25"/>
  <c r="AI38" i="25" s="1"/>
  <c r="DU35" i="25"/>
  <c r="D82" i="22"/>
  <c r="L82" i="22" s="1"/>
  <c r="CQ19" i="24"/>
  <c r="D63" i="23"/>
  <c r="I76" i="23" s="1"/>
  <c r="K40" i="25"/>
  <c r="AL40" i="25"/>
  <c r="AH35" i="25"/>
  <c r="BK19" i="24"/>
  <c r="CS19" i="24"/>
  <c r="D40" i="25"/>
  <c r="M40" i="25"/>
  <c r="W40" i="25"/>
  <c r="AX40" i="25"/>
  <c r="DU40" i="25"/>
  <c r="J35" i="25"/>
  <c r="T35" i="25"/>
  <c r="AJ35" i="25"/>
  <c r="AJ38" i="25" s="1"/>
  <c r="C9" i="10"/>
  <c r="D9" i="10" s="1"/>
  <c r="BT19" i="24"/>
  <c r="AF40" i="25"/>
  <c r="DW40" i="25"/>
  <c r="AL35" i="25"/>
  <c r="AP19" i="24"/>
  <c r="CG19" i="24"/>
  <c r="CU19" i="24"/>
  <c r="F40" i="25"/>
  <c r="O40" i="25"/>
  <c r="AG40" i="25"/>
  <c r="BT40" i="25"/>
  <c r="L35" i="25"/>
  <c r="V35" i="25"/>
  <c r="AN35" i="25"/>
  <c r="EM13" i="26"/>
  <c r="D30" i="15"/>
  <c r="AL4" i="25" s="1"/>
  <c r="K80" i="32" s="1"/>
  <c r="K83" i="32" s="1"/>
  <c r="E110" i="32" s="1"/>
  <c r="E11" i="37" s="1"/>
  <c r="AO19" i="24"/>
  <c r="CT19" i="24"/>
  <c r="D64" i="23"/>
  <c r="I77" i="23" s="1"/>
  <c r="I103" i="23" s="1"/>
  <c r="CT35" i="25"/>
  <c r="CT38" i="25" s="1"/>
  <c r="E40" i="25"/>
  <c r="N40" i="25"/>
  <c r="BB40" i="25"/>
  <c r="K35" i="25"/>
  <c r="U35" i="25"/>
  <c r="AQ19" i="24"/>
  <c r="CN19" i="24"/>
  <c r="CV19" i="24"/>
  <c r="G40" i="25"/>
  <c r="P40" i="25"/>
  <c r="AH40" i="25"/>
  <c r="CG40" i="25"/>
  <c r="D35" i="25"/>
  <c r="M35" i="25"/>
  <c r="W35" i="25"/>
  <c r="AX35" i="25"/>
  <c r="EQ13" i="26"/>
  <c r="K87" i="22"/>
  <c r="AX19" i="24"/>
  <c r="CO19" i="24"/>
  <c r="CX19" i="24"/>
  <c r="D66" i="23"/>
  <c r="I79" i="23" s="1"/>
  <c r="I105" i="23" s="1"/>
  <c r="H40" i="25"/>
  <c r="S40" i="25"/>
  <c r="AI40" i="25"/>
  <c r="CQ40" i="25"/>
  <c r="E35" i="25"/>
  <c r="N35" i="25"/>
  <c r="AF35" i="25"/>
  <c r="AF38" i="25" s="1"/>
  <c r="BT35" i="25"/>
  <c r="EV13" i="26"/>
  <c r="AG5" i="24"/>
  <c r="I77" i="32"/>
  <c r="AJ7" i="26"/>
  <c r="A51" i="42"/>
  <c r="B51" i="42" s="1"/>
  <c r="S8" i="33"/>
  <c r="AQ24" i="25" s="1"/>
  <c r="A60" i="42"/>
  <c r="B60" i="42" s="1"/>
  <c r="A60" i="41"/>
  <c r="B60" i="41" s="1"/>
  <c r="K44" i="38"/>
  <c r="K44" i="39"/>
  <c r="K44" i="36"/>
  <c r="K68" i="32"/>
  <c r="DR19" i="28"/>
  <c r="AD76" i="32" s="1"/>
  <c r="AE44" i="39"/>
  <c r="AE44" i="38"/>
  <c r="AD44" i="36"/>
  <c r="AD68" i="32"/>
  <c r="P69" i="32"/>
  <c r="AQ8" i="25"/>
  <c r="DU8" i="25"/>
  <c r="AE69" i="32"/>
  <c r="Z70" i="32"/>
  <c r="BT9" i="25"/>
  <c r="BT11" i="25" s="1"/>
  <c r="A63" i="41"/>
  <c r="B63" i="41" s="1"/>
  <c r="A63" i="42"/>
  <c r="B63" i="42" s="1"/>
  <c r="A59" i="41"/>
  <c r="B59" i="41" s="1"/>
  <c r="M44" i="38"/>
  <c r="M44" i="39"/>
  <c r="M68" i="32"/>
  <c r="M44" i="36"/>
  <c r="BK19" i="28"/>
  <c r="Y76" i="32" s="1"/>
  <c r="Z44" i="38"/>
  <c r="Z44" i="39"/>
  <c r="Y68" i="32"/>
  <c r="Y44" i="36"/>
  <c r="R69" i="32"/>
  <c r="BB8" i="25"/>
  <c r="AH69" i="32"/>
  <c r="C102" i="32" s="1"/>
  <c r="H38" i="37" s="1"/>
  <c r="AI9" i="25"/>
  <c r="AI11" i="25" s="1"/>
  <c r="AI5" i="26" s="1"/>
  <c r="H70" i="32"/>
  <c r="D97" i="32" s="1"/>
  <c r="P70" i="32"/>
  <c r="AQ9" i="25"/>
  <c r="AQ11" i="25" s="1"/>
  <c r="CS6" i="28"/>
  <c r="DW6" i="28"/>
  <c r="AG71" i="32" s="1"/>
  <c r="D4" i="24"/>
  <c r="C74" i="32"/>
  <c r="BK16" i="28"/>
  <c r="T19" i="28"/>
  <c r="A80" i="28"/>
  <c r="A102" i="28" s="1"/>
  <c r="F44" i="39"/>
  <c r="F44" i="38"/>
  <c r="F44" i="36"/>
  <c r="D68" i="32"/>
  <c r="AI44" i="38"/>
  <c r="AI44" i="39"/>
  <c r="AH44" i="36"/>
  <c r="AH68" i="32"/>
  <c r="B121" i="32" s="1"/>
  <c r="B22" i="37" s="1"/>
  <c r="Q70" i="32"/>
  <c r="AX9" i="25"/>
  <c r="AX11" i="25" s="1"/>
  <c r="W4" i="24"/>
  <c r="F74" i="32"/>
  <c r="D105" i="32" s="1"/>
  <c r="D6" i="37" s="1"/>
  <c r="CS16" i="28"/>
  <c r="W7" i="26"/>
  <c r="F77" i="32"/>
  <c r="CO2" i="27"/>
  <c r="CO2" i="26"/>
  <c r="CO2" i="25"/>
  <c r="CO2" i="23"/>
  <c r="W5" i="24"/>
  <c r="W59" i="24" s="1"/>
  <c r="A49" i="41"/>
  <c r="B49" i="41" s="1"/>
  <c r="A49" i="42"/>
  <c r="B49" i="42" s="1"/>
  <c r="BT19" i="28"/>
  <c r="AA44" i="39"/>
  <c r="AA44" i="38"/>
  <c r="Z68" i="32"/>
  <c r="Z44" i="36"/>
  <c r="AG8" i="25"/>
  <c r="D69" i="32"/>
  <c r="C93" i="32" s="1"/>
  <c r="H29" i="37" s="1"/>
  <c r="AJ9" i="25"/>
  <c r="AJ11" i="25" s="1"/>
  <c r="AJ5" i="26" s="1"/>
  <c r="I70" i="32"/>
  <c r="AP20" i="25"/>
  <c r="A62" i="41"/>
  <c r="B62" i="41" s="1"/>
  <c r="A62" i="42"/>
  <c r="B62" i="42" s="1"/>
  <c r="A61" i="41"/>
  <c r="B61" i="41" s="1"/>
  <c r="A61" i="42"/>
  <c r="B61" i="42" s="1"/>
  <c r="H44" i="39"/>
  <c r="H44" i="38"/>
  <c r="H44" i="36"/>
  <c r="E68" i="32"/>
  <c r="O44" i="39"/>
  <c r="O44" i="38"/>
  <c r="O44" i="36"/>
  <c r="O68" i="32"/>
  <c r="CG19" i="28"/>
  <c r="AB76" i="32" s="1"/>
  <c r="AC44" i="39"/>
  <c r="AC44" i="38"/>
  <c r="AB44" i="36"/>
  <c r="AB68" i="32"/>
  <c r="H26" i="37"/>
  <c r="B69" i="32"/>
  <c r="C91" i="32" s="1"/>
  <c r="AH8" i="25"/>
  <c r="E69" i="32"/>
  <c r="D9" i="25"/>
  <c r="D11" i="25" s="1"/>
  <c r="D5" i="26" s="1"/>
  <c r="C70" i="32"/>
  <c r="J70" i="32"/>
  <c r="AK9" i="25"/>
  <c r="AK11" i="25" s="1"/>
  <c r="AK5" i="26" s="1"/>
  <c r="R70" i="32"/>
  <c r="BB9" i="25"/>
  <c r="BB11" i="25" s="1"/>
  <c r="AC70" i="32"/>
  <c r="DQ9" i="25"/>
  <c r="DQ11" i="25" s="1"/>
  <c r="DQ5" i="26" s="1"/>
  <c r="B72" i="32"/>
  <c r="F21" i="25"/>
  <c r="DR4" i="24"/>
  <c r="AD74" i="32"/>
  <c r="CT16" i="28"/>
  <c r="CP2" i="26"/>
  <c r="CP2" i="25"/>
  <c r="CP2" i="23"/>
  <c r="CP2" i="27"/>
  <c r="A47" i="41"/>
  <c r="B47" i="41" s="1"/>
  <c r="A47" i="42"/>
  <c r="B47" i="42" s="1"/>
  <c r="A46" i="41"/>
  <c r="B46" i="41" s="1"/>
  <c r="H44" i="41" s="1"/>
  <c r="N44" i="39"/>
  <c r="N44" i="38"/>
  <c r="N68" i="32"/>
  <c r="N44" i="36"/>
  <c r="I26" i="37"/>
  <c r="B70" i="32"/>
  <c r="D91" i="32" s="1"/>
  <c r="S9" i="33"/>
  <c r="A48" i="42"/>
  <c r="B48" i="42" s="1"/>
  <c r="A48" i="41"/>
  <c r="B48" i="41" s="1"/>
  <c r="A58" i="41"/>
  <c r="B58" i="41" s="1"/>
  <c r="A58" i="42"/>
  <c r="B58" i="42" s="1"/>
  <c r="G44" i="39"/>
  <c r="G44" i="38"/>
  <c r="G44" i="36"/>
  <c r="H68" i="32"/>
  <c r="P44" i="39"/>
  <c r="P44" i="38"/>
  <c r="P44" i="36"/>
  <c r="P68" i="32"/>
  <c r="B24" i="28"/>
  <c r="H27" i="37"/>
  <c r="W70" i="32"/>
  <c r="BI9" i="25"/>
  <c r="BI11" i="25" s="1"/>
  <c r="AD70" i="32"/>
  <c r="DR9" i="25"/>
  <c r="DR11" i="25" s="1"/>
  <c r="DU4" i="24"/>
  <c r="AE74" i="32"/>
  <c r="D119" i="32" s="1"/>
  <c r="CX16" i="28"/>
  <c r="CQ2" i="25"/>
  <c r="CQ2" i="23"/>
  <c r="CQ2" i="27"/>
  <c r="CQ2" i="26"/>
  <c r="AM19" i="24"/>
  <c r="I44" i="39"/>
  <c r="I44" i="38"/>
  <c r="I44" i="36"/>
  <c r="I68" i="32"/>
  <c r="Q44" i="39"/>
  <c r="Q44" i="38"/>
  <c r="Q44" i="36"/>
  <c r="Q68" i="32"/>
  <c r="DQ8" i="25"/>
  <c r="AC69" i="32"/>
  <c r="C101" i="32" s="1"/>
  <c r="H37" i="37" s="1"/>
  <c r="X70" i="32"/>
  <c r="BJ9" i="25"/>
  <c r="BJ11" i="25" s="1"/>
  <c r="AE70" i="32"/>
  <c r="DU9" i="25"/>
  <c r="DU11" i="25" s="1"/>
  <c r="DU5" i="26" s="1"/>
  <c r="AX6" i="28"/>
  <c r="Q71" i="32" s="1"/>
  <c r="CO6" i="28"/>
  <c r="CX6" i="28"/>
  <c r="AO21" i="25"/>
  <c r="M77" i="32"/>
  <c r="AN7" i="26"/>
  <c r="W8" i="26"/>
  <c r="F78" i="32"/>
  <c r="CR2" i="25"/>
  <c r="CR2" i="23"/>
  <c r="CR2" i="27"/>
  <c r="CR2" i="26"/>
  <c r="J44" i="38"/>
  <c r="J44" i="39"/>
  <c r="J44" i="36"/>
  <c r="J68" i="32"/>
  <c r="AD44" i="38"/>
  <c r="AD44" i="39"/>
  <c r="AC44" i="36"/>
  <c r="AC68" i="32"/>
  <c r="B118" i="32" s="1"/>
  <c r="B19" i="37" s="1"/>
  <c r="O69" i="32"/>
  <c r="AP8" i="25"/>
  <c r="DR8" i="25"/>
  <c r="AD69" i="32"/>
  <c r="Y70" i="32"/>
  <c r="BK9" i="25"/>
  <c r="BK11" i="25" s="1"/>
  <c r="AP23" i="25"/>
  <c r="AF21" i="28"/>
  <c r="AF8" i="26" s="1"/>
  <c r="A77" i="28"/>
  <c r="A99" i="28" s="1"/>
  <c r="A110" i="28"/>
  <c r="A81" i="28"/>
  <c r="A103" i="28" s="1"/>
  <c r="A50" i="42"/>
  <c r="B50" i="42" s="1"/>
  <c r="A51" i="41"/>
  <c r="B51" i="41" s="1"/>
  <c r="A57" i="41"/>
  <c r="B57" i="41" s="1"/>
  <c r="A57" i="42"/>
  <c r="B57" i="42" s="1"/>
  <c r="AG9" i="25"/>
  <c r="AG11" i="25" s="1"/>
  <c r="AG5" i="26" s="1"/>
  <c r="D70" i="32"/>
  <c r="AH70" i="32"/>
  <c r="AK3" i="24"/>
  <c r="AK3" i="23" s="1"/>
  <c r="J73" i="32"/>
  <c r="J20" i="28"/>
  <c r="J7" i="26" s="1"/>
  <c r="A50" i="41"/>
  <c r="B50" i="41" s="1"/>
  <c r="A53" i="42"/>
  <c r="B53" i="42" s="1"/>
  <c r="R44" i="38"/>
  <c r="R44" i="39"/>
  <c r="R44" i="36"/>
  <c r="R68" i="32"/>
  <c r="A56" i="42"/>
  <c r="B56" i="42" s="1"/>
  <c r="A54" i="41"/>
  <c r="B54" i="41" s="1"/>
  <c r="BI19" i="28"/>
  <c r="X44" i="38"/>
  <c r="X44" i="39"/>
  <c r="W44" i="36"/>
  <c r="W68" i="32"/>
  <c r="N70" i="32"/>
  <c r="AO9" i="25"/>
  <c r="AO11" i="25" s="1"/>
  <c r="AO5" i="26" s="1"/>
  <c r="C44" i="38"/>
  <c r="C44" i="39"/>
  <c r="C44" i="36"/>
  <c r="C68" i="32"/>
  <c r="B92" i="32" s="1"/>
  <c r="G28" i="37" s="1"/>
  <c r="A52" i="42"/>
  <c r="B52" i="42" s="1"/>
  <c r="A45" i="41"/>
  <c r="B45" i="42"/>
  <c r="G44" i="42" s="1"/>
  <c r="G44" i="41"/>
  <c r="A45" i="42"/>
  <c r="G31" i="37"/>
  <c r="L44" i="38"/>
  <c r="L44" i="39"/>
  <c r="L44" i="36"/>
  <c r="L68" i="32"/>
  <c r="BJ19" i="28"/>
  <c r="X76" i="32" s="1"/>
  <c r="Y44" i="38"/>
  <c r="Y44" i="39"/>
  <c r="X44" i="36"/>
  <c r="X68" i="32"/>
  <c r="DU19" i="28"/>
  <c r="AE76" i="32" s="1"/>
  <c r="AE68" i="32"/>
  <c r="W8" i="25"/>
  <c r="F69" i="32"/>
  <c r="C95" i="32" s="1"/>
  <c r="H31" i="37" s="1"/>
  <c r="Q69" i="32"/>
  <c r="AX8" i="25"/>
  <c r="CQ12" i="25"/>
  <c r="O70" i="32"/>
  <c r="AP9" i="25"/>
  <c r="AP11" i="25" s="1"/>
  <c r="AB70" i="32"/>
  <c r="CG9" i="25"/>
  <c r="CG11" i="25" s="1"/>
  <c r="B71" i="32"/>
  <c r="BJ6" i="28"/>
  <c r="X71" i="32" s="1"/>
  <c r="CR6" i="28"/>
  <c r="DU6" i="28"/>
  <c r="AE71" i="32" s="1"/>
  <c r="AM10" i="28"/>
  <c r="AH73" i="32"/>
  <c r="C121" i="32" s="1"/>
  <c r="C22" i="37" s="1"/>
  <c r="BJ16" i="28"/>
  <c r="M20" i="28"/>
  <c r="M7" i="26" s="1"/>
  <c r="A79" i="28"/>
  <c r="A101" i="28" s="1"/>
  <c r="CN2" i="25"/>
  <c r="V21" i="25"/>
  <c r="AP22" i="27"/>
  <c r="CG22" i="27"/>
  <c r="CU22" i="27"/>
  <c r="AM17" i="27"/>
  <c r="AM26" i="27"/>
  <c r="AM18" i="27"/>
  <c r="AM16" i="27"/>
  <c r="BJ17" i="27"/>
  <c r="BJ18" i="27"/>
  <c r="BJ16" i="27"/>
  <c r="BJ26" i="27"/>
  <c r="CR17" i="27"/>
  <c r="CR18" i="27"/>
  <c r="CR16" i="27"/>
  <c r="CR26" i="27"/>
  <c r="CP18" i="27"/>
  <c r="BI21" i="27"/>
  <c r="BI26" i="27"/>
  <c r="AQ21" i="27"/>
  <c r="CN21" i="27"/>
  <c r="CV21" i="27"/>
  <c r="AN26" i="27"/>
  <c r="AN18" i="27"/>
  <c r="AN17" i="27"/>
  <c r="BK18" i="27"/>
  <c r="BK16" i="27"/>
  <c r="BK26" i="27"/>
  <c r="BK17" i="27"/>
  <c r="CS18" i="27"/>
  <c r="CS16" i="27"/>
  <c r="CS17" i="27"/>
  <c r="CP16" i="27"/>
  <c r="BB17" i="27"/>
  <c r="BJ21" i="27"/>
  <c r="CR22" i="27"/>
  <c r="CS26" i="27"/>
  <c r="AK19" i="24"/>
  <c r="AG38" i="25"/>
  <c r="AN8" i="26"/>
  <c r="AX22" i="27"/>
  <c r="AX21" i="27"/>
  <c r="CO22" i="27"/>
  <c r="CO21" i="27"/>
  <c r="CX22" i="27"/>
  <c r="CX21" i="27"/>
  <c r="AO26" i="27"/>
  <c r="CT26" i="27"/>
  <c r="AK16" i="27"/>
  <c r="CT16" i="27"/>
  <c r="CG21" i="27"/>
  <c r="CV22" i="27"/>
  <c r="CP19" i="24"/>
  <c r="AK22" i="27"/>
  <c r="AK21" i="27"/>
  <c r="BB22" i="27"/>
  <c r="BB21" i="27"/>
  <c r="CP22" i="27"/>
  <c r="CP21" i="27"/>
  <c r="DQ22" i="27"/>
  <c r="DQ21" i="27"/>
  <c r="AP26" i="27"/>
  <c r="AP17" i="27"/>
  <c r="CG26" i="27"/>
  <c r="CG17" i="27"/>
  <c r="CU26" i="27"/>
  <c r="CU17" i="27"/>
  <c r="AN16" i="27"/>
  <c r="CU16" i="27"/>
  <c r="BT17" i="27"/>
  <c r="AO18" i="27"/>
  <c r="AL22" i="27"/>
  <c r="BI22" i="27"/>
  <c r="CQ22" i="27"/>
  <c r="CQ24" i="28" s="1"/>
  <c r="DR22" i="27"/>
  <c r="AQ26" i="27"/>
  <c r="AQ18" i="27"/>
  <c r="AQ16" i="27"/>
  <c r="AQ17" i="27"/>
  <c r="CN26" i="27"/>
  <c r="CN30" i="27" s="1"/>
  <c r="CN18" i="27"/>
  <c r="CN16" i="27"/>
  <c r="CN17" i="27"/>
  <c r="CV26" i="27"/>
  <c r="CV18" i="27"/>
  <c r="CV16" i="27"/>
  <c r="CV17" i="27"/>
  <c r="AO16" i="27"/>
  <c r="AP18" i="27"/>
  <c r="CN2" i="26"/>
  <c r="DU21" i="27"/>
  <c r="AX17" i="27"/>
  <c r="AX26" i="27"/>
  <c r="AX18" i="27"/>
  <c r="AX16" i="27"/>
  <c r="CO26" i="27"/>
  <c r="CO17" i="27"/>
  <c r="CO18" i="27"/>
  <c r="CO16" i="27"/>
  <c r="CX26" i="27"/>
  <c r="CX17" i="27"/>
  <c r="CX18" i="27"/>
  <c r="CX16" i="27"/>
  <c r="A36" i="27"/>
  <c r="A59" i="27" s="1"/>
  <c r="A16" i="27"/>
  <c r="AP16" i="27"/>
  <c r="AL21" i="27"/>
  <c r="CU21" i="27"/>
  <c r="AM22" i="27"/>
  <c r="K10" i="13"/>
  <c r="CN2" i="27"/>
  <c r="AN21" i="27"/>
  <c r="AN22" i="27"/>
  <c r="BK21" i="27"/>
  <c r="BK22" i="27"/>
  <c r="CS21" i="27"/>
  <c r="CS22" i="27"/>
  <c r="DW21" i="27"/>
  <c r="DW22" i="27"/>
  <c r="AK26" i="27"/>
  <c r="BB26" i="27"/>
  <c r="CP26" i="27"/>
  <c r="BJ11" i="27"/>
  <c r="BB16" i="27"/>
  <c r="AK17" i="27"/>
  <c r="CT17" i="27"/>
  <c r="BT18" i="27"/>
  <c r="AM21" i="27"/>
  <c r="DR21" i="27"/>
  <c r="AQ22" i="27"/>
  <c r="AO22" i="27"/>
  <c r="AO21" i="27"/>
  <c r="BT22" i="27"/>
  <c r="BT30" i="27" s="1"/>
  <c r="BT21" i="27"/>
  <c r="CT22" i="27"/>
  <c r="CT21" i="27"/>
  <c r="AL26" i="27"/>
  <c r="AL18" i="27"/>
  <c r="AL16" i="27"/>
  <c r="BI18" i="27"/>
  <c r="BI16" i="27"/>
  <c r="CQ26" i="27"/>
  <c r="CQ18" i="27"/>
  <c r="CQ16" i="27"/>
  <c r="BK11" i="27"/>
  <c r="CV11" i="27"/>
  <c r="BT16" i="27"/>
  <c r="AL17" i="27"/>
  <c r="CG18" i="27"/>
  <c r="AP21" i="27"/>
  <c r="BJ22" i="27"/>
  <c r="D38" i="13"/>
  <c r="D36" i="13" s="1"/>
  <c r="E38" i="13"/>
  <c r="E60" i="13" s="1"/>
  <c r="D22" i="13"/>
  <c r="D27" i="13" s="1"/>
  <c r="N30" i="8"/>
  <c r="R40" i="8"/>
  <c r="L43" i="8"/>
  <c r="X34" i="8" s="1"/>
  <c r="L44" i="8"/>
  <c r="X35" i="8" s="1"/>
  <c r="L40" i="8"/>
  <c r="X31" i="8" s="1"/>
  <c r="X37" i="8" s="1"/>
  <c r="L46" i="8"/>
  <c r="G16" i="15"/>
  <c r="G10" i="15"/>
  <c r="N37" i="8"/>
  <c r="N33" i="8"/>
  <c r="N32" i="8"/>
  <c r="M10" i="14"/>
  <c r="C17" i="14"/>
  <c r="M17" i="14" s="1"/>
  <c r="C16" i="14"/>
  <c r="F7" i="29"/>
  <c r="DR13" i="27" s="1"/>
  <c r="F6" i="29"/>
  <c r="CN13" i="27" s="1"/>
  <c r="C26" i="15"/>
  <c r="G9" i="15" s="1"/>
  <c r="R42" i="8"/>
  <c r="S45" i="8"/>
  <c r="S44" i="8"/>
  <c r="S43" i="8"/>
  <c r="S42" i="8"/>
  <c r="S41" i="8"/>
  <c r="S40" i="8"/>
  <c r="S39" i="8"/>
  <c r="C289" i="29"/>
  <c r="C287" i="29"/>
  <c r="C288" i="29"/>
  <c r="F52" i="13"/>
  <c r="G67" i="8"/>
  <c r="D16" i="8"/>
  <c r="F5" i="29"/>
  <c r="G37" i="8"/>
  <c r="O34" i="8" s="1"/>
  <c r="N31" i="8"/>
  <c r="C46" i="13"/>
  <c r="C47" i="13" s="1"/>
  <c r="D52" i="13"/>
  <c r="AH11" i="28" s="1"/>
  <c r="N35" i="8"/>
  <c r="N36" i="8"/>
  <c r="J36" i="8"/>
  <c r="J35" i="8"/>
  <c r="J37" i="8"/>
  <c r="J32" i="8"/>
  <c r="J31" i="8"/>
  <c r="R44" i="8"/>
  <c r="R45" i="8"/>
  <c r="R41" i="8"/>
  <c r="E37" i="13"/>
  <c r="B60" i="15"/>
  <c r="J30" i="8"/>
  <c r="J34" i="8"/>
  <c r="R46" i="8"/>
  <c r="L37" i="8"/>
  <c r="L33" i="8"/>
  <c r="L32" i="8"/>
  <c r="L31" i="8"/>
  <c r="L35" i="8"/>
  <c r="L34" i="8"/>
  <c r="L30" i="8"/>
  <c r="K46" i="8"/>
  <c r="S46" i="8"/>
  <c r="K43" i="8"/>
  <c r="K39" i="8"/>
  <c r="K44" i="8"/>
  <c r="K40" i="8"/>
  <c r="T45" i="8"/>
  <c r="T41" i="8"/>
  <c r="T42" i="8"/>
  <c r="F77" i="10"/>
  <c r="F78" i="10" s="1"/>
  <c r="G78" i="10" s="1"/>
  <c r="H78" i="10" s="1"/>
  <c r="J78" i="10" s="1"/>
  <c r="I76" i="10"/>
  <c r="P35" i="8"/>
  <c r="U45" i="8"/>
  <c r="U44" i="8"/>
  <c r="U43" i="8"/>
  <c r="U42" i="8"/>
  <c r="U41" i="8"/>
  <c r="U40" i="8"/>
  <c r="U39" i="8"/>
  <c r="E261" i="29"/>
  <c r="D231" i="29"/>
  <c r="C220" i="29"/>
  <c r="P36" i="8"/>
  <c r="H14" i="14"/>
  <c r="J14" i="14" s="1"/>
  <c r="H9" i="14"/>
  <c r="J9" i="14" s="1"/>
  <c r="C7" i="29"/>
  <c r="DW11" i="27" s="1"/>
  <c r="O93" i="29"/>
  <c r="F16" i="29"/>
  <c r="F9" i="29" s="1"/>
  <c r="D220" i="29"/>
  <c r="C265" i="29"/>
  <c r="C243" i="29"/>
  <c r="E285" i="29"/>
  <c r="C258" i="29"/>
  <c r="C245" i="29"/>
  <c r="C246" i="29" s="1"/>
  <c r="C248" i="29" s="1"/>
  <c r="C249" i="29" s="1"/>
  <c r="C250" i="29" s="1"/>
  <c r="C264" i="29" s="1"/>
  <c r="O95" i="29"/>
  <c r="I95" i="29"/>
  <c r="M95" i="29" s="1"/>
  <c r="B229" i="29"/>
  <c r="DW25" i="27" s="1"/>
  <c r="C313" i="29"/>
  <c r="B226" i="29"/>
  <c r="D226" i="29" s="1"/>
  <c r="C22" i="13"/>
  <c r="C27" i="13" s="1"/>
  <c r="M34" i="8"/>
  <c r="J10" i="13"/>
  <c r="E136" i="29"/>
  <c r="CR11" i="28"/>
  <c r="DU37" i="25"/>
  <c r="CU37" i="25"/>
  <c r="CP37" i="25"/>
  <c r="BK37" i="25"/>
  <c r="AQ37" i="25"/>
  <c r="AM37" i="25"/>
  <c r="AI37" i="25"/>
  <c r="W37" i="25"/>
  <c r="S37" i="25"/>
  <c r="M37" i="25"/>
  <c r="H37" i="25"/>
  <c r="D37" i="25"/>
  <c r="CO37" i="25"/>
  <c r="AH37" i="25"/>
  <c r="P37" i="25"/>
  <c r="DQ37" i="25"/>
  <c r="CS37" i="25"/>
  <c r="CN37" i="25"/>
  <c r="BI37" i="25"/>
  <c r="AO37" i="25"/>
  <c r="AK37" i="25"/>
  <c r="AG37" i="25"/>
  <c r="U37" i="25"/>
  <c r="O37" i="25"/>
  <c r="K37" i="25"/>
  <c r="F37" i="25"/>
  <c r="DR37" i="25"/>
  <c r="BJ37" i="25"/>
  <c r="AL37" i="25"/>
  <c r="V37" i="25"/>
  <c r="G37" i="25"/>
  <c r="CV37" i="25"/>
  <c r="CQ37" i="25"/>
  <c r="BT37" i="25"/>
  <c r="AX37" i="25"/>
  <c r="AN37" i="25"/>
  <c r="AJ37" i="25"/>
  <c r="AF37" i="25"/>
  <c r="T37" i="25"/>
  <c r="N37" i="25"/>
  <c r="J37" i="25"/>
  <c r="E37" i="25"/>
  <c r="CT37" i="25"/>
  <c r="AP37" i="25"/>
  <c r="L37" i="25"/>
  <c r="O70" i="22"/>
  <c r="I70" i="22"/>
  <c r="C70" i="22"/>
  <c r="L87" i="22"/>
  <c r="CP31" i="25"/>
  <c r="CP40" i="25" s="1"/>
  <c r="M84" i="22"/>
  <c r="L86" i="22"/>
  <c r="L88" i="22"/>
  <c r="CS29" i="24"/>
  <c r="CS31" i="24" s="1"/>
  <c r="M87" i="22"/>
  <c r="T29" i="24"/>
  <c r="AX29" i="24"/>
  <c r="CX29" i="24"/>
  <c r="E29" i="24"/>
  <c r="AF29" i="24"/>
  <c r="BK29" i="24"/>
  <c r="C53" i="13"/>
  <c r="J29" i="24"/>
  <c r="AJ29" i="24"/>
  <c r="CO29" i="24"/>
  <c r="CO31" i="24" s="1"/>
  <c r="AQ3" i="24"/>
  <c r="P73" i="32"/>
  <c r="AQ4" i="24"/>
  <c r="P74" i="32"/>
  <c r="BK4" i="24"/>
  <c r="Y74" i="32"/>
  <c r="N29" i="24"/>
  <c r="AN29" i="24"/>
  <c r="AN31" i="24" s="1"/>
  <c r="D125" i="32"/>
  <c r="CN12" i="25"/>
  <c r="CR12" i="25"/>
  <c r="CP12" i="25"/>
  <c r="V36" i="25"/>
  <c r="T4" i="25"/>
  <c r="R4" i="25" s="1"/>
  <c r="R36" i="25" s="1"/>
  <c r="N4" i="25"/>
  <c r="N36" i="25" s="1"/>
  <c r="U4" i="25"/>
  <c r="O4" i="25"/>
  <c r="AH4" i="25"/>
  <c r="DW35" i="25"/>
  <c r="DW38" i="25" s="1"/>
  <c r="AP21" i="25"/>
  <c r="W36" i="25"/>
  <c r="P4" i="25"/>
  <c r="V20" i="25"/>
  <c r="V22" i="25"/>
  <c r="AP22" i="25"/>
  <c r="V47" i="24"/>
  <c r="V46" i="24"/>
  <c r="DR108" i="24"/>
  <c r="DR60" i="24"/>
  <c r="N4" i="28"/>
  <c r="N8" i="25" s="1"/>
  <c r="V4" i="28"/>
  <c r="AJ6" i="28"/>
  <c r="I71" i="32" s="1"/>
  <c r="DU108" i="24"/>
  <c r="DU60" i="24"/>
  <c r="BT16" i="28"/>
  <c r="CU16" i="28"/>
  <c r="T50" i="24"/>
  <c r="T48" i="24"/>
  <c r="T46" i="24"/>
  <c r="AG6" i="28"/>
  <c r="D71" i="32" s="1"/>
  <c r="V11" i="28"/>
  <c r="CG16" i="28"/>
  <c r="CV16" i="28"/>
  <c r="L20" i="28"/>
  <c r="L7" i="26" s="1"/>
  <c r="V20" i="28"/>
  <c r="I20" i="28" s="1"/>
  <c r="I7" i="26" s="1"/>
  <c r="F107" i="24"/>
  <c r="F102" i="24"/>
  <c r="F85" i="24"/>
  <c r="F59" i="24"/>
  <c r="F54" i="24"/>
  <c r="K107" i="24"/>
  <c r="K102" i="24"/>
  <c r="K85" i="24"/>
  <c r="K59" i="24"/>
  <c r="K54" i="24"/>
  <c r="O107" i="24"/>
  <c r="O102" i="24"/>
  <c r="O85" i="24"/>
  <c r="O59" i="24"/>
  <c r="O54" i="24"/>
  <c r="U107" i="24"/>
  <c r="U102" i="24"/>
  <c r="U85" i="24"/>
  <c r="U59" i="24"/>
  <c r="U54" i="24"/>
  <c r="F108" i="24"/>
  <c r="F60" i="24"/>
  <c r="K108" i="24"/>
  <c r="K60" i="24"/>
  <c r="O108" i="24"/>
  <c r="O60" i="24"/>
  <c r="U108" i="24"/>
  <c r="U60" i="24"/>
  <c r="AG108" i="24"/>
  <c r="AG60" i="24"/>
  <c r="AK108" i="24"/>
  <c r="AK60" i="24"/>
  <c r="AO108" i="24"/>
  <c r="AO60" i="24"/>
  <c r="BT108" i="24"/>
  <c r="CP108" i="24"/>
  <c r="CP60" i="24"/>
  <c r="CT108" i="24"/>
  <c r="CT60" i="24"/>
  <c r="DQ108" i="24"/>
  <c r="DQ60" i="24"/>
  <c r="J46" i="24"/>
  <c r="O37" i="24"/>
  <c r="D47" i="24"/>
  <c r="J47" i="24"/>
  <c r="G107" i="24"/>
  <c r="G102" i="24"/>
  <c r="G54" i="24"/>
  <c r="G85" i="24"/>
  <c r="G59" i="24"/>
  <c r="L107" i="24"/>
  <c r="L102" i="24"/>
  <c r="L85" i="24"/>
  <c r="L54" i="24"/>
  <c r="L59" i="24"/>
  <c r="P107" i="24"/>
  <c r="P102" i="24"/>
  <c r="P54" i="24"/>
  <c r="P85" i="24"/>
  <c r="P59" i="24"/>
  <c r="V107" i="24"/>
  <c r="V102" i="24"/>
  <c r="V85" i="24"/>
  <c r="V54" i="24"/>
  <c r="V59" i="24"/>
  <c r="G108" i="24"/>
  <c r="G60" i="24"/>
  <c r="L108" i="24"/>
  <c r="L60" i="24"/>
  <c r="P108" i="24"/>
  <c r="P60" i="24"/>
  <c r="V108" i="24"/>
  <c r="V60" i="24"/>
  <c r="AH108" i="24"/>
  <c r="AH60" i="24"/>
  <c r="AL108" i="24"/>
  <c r="AL60" i="24"/>
  <c r="AP108" i="24"/>
  <c r="AP60" i="24"/>
  <c r="BI108" i="24"/>
  <c r="BI60" i="24"/>
  <c r="CQ108" i="24"/>
  <c r="CQ60" i="24"/>
  <c r="CU108" i="24"/>
  <c r="CU60" i="24"/>
  <c r="F29" i="24"/>
  <c r="K29" i="24"/>
  <c r="O29" i="24"/>
  <c r="U29" i="24"/>
  <c r="AG29" i="24"/>
  <c r="AG31" i="24" s="1"/>
  <c r="AK29" i="24"/>
  <c r="AK31" i="24" s="1"/>
  <c r="AO29" i="24"/>
  <c r="AO31" i="24" s="1"/>
  <c r="BT29" i="24"/>
  <c r="CP29" i="24"/>
  <c r="CT29" i="24"/>
  <c r="DQ29" i="24"/>
  <c r="DQ31" i="24" s="1"/>
  <c r="E46" i="24"/>
  <c r="K37" i="24"/>
  <c r="P37" i="24"/>
  <c r="E47" i="24"/>
  <c r="G21" i="28"/>
  <c r="G8" i="26" s="1"/>
  <c r="V21" i="28"/>
  <c r="D107" i="24"/>
  <c r="D102" i="24"/>
  <c r="D59" i="24"/>
  <c r="D85" i="24"/>
  <c r="H107" i="24"/>
  <c r="H102" i="24"/>
  <c r="H37" i="24"/>
  <c r="H85" i="24"/>
  <c r="H59" i="24"/>
  <c r="M107" i="24"/>
  <c r="M102" i="24"/>
  <c r="M37" i="24"/>
  <c r="M59" i="24"/>
  <c r="M85" i="24"/>
  <c r="S107" i="24"/>
  <c r="S102" i="24"/>
  <c r="S37" i="24"/>
  <c r="S85" i="24"/>
  <c r="S59" i="24"/>
  <c r="D108" i="24"/>
  <c r="D60" i="24"/>
  <c r="H108" i="24"/>
  <c r="H60" i="24"/>
  <c r="M108" i="24"/>
  <c r="M60" i="24"/>
  <c r="S108" i="24"/>
  <c r="S60" i="24"/>
  <c r="W108" i="24"/>
  <c r="W60" i="24"/>
  <c r="AI108" i="24"/>
  <c r="AI60" i="24"/>
  <c r="AM108" i="24"/>
  <c r="AM60" i="24"/>
  <c r="AQ108" i="24"/>
  <c r="AQ60" i="24"/>
  <c r="BJ108" i="24"/>
  <c r="BJ60" i="24"/>
  <c r="CN108" i="24"/>
  <c r="CN60" i="24"/>
  <c r="CR108" i="24"/>
  <c r="CR60" i="24"/>
  <c r="CV108" i="24"/>
  <c r="CV60" i="24"/>
  <c r="G29" i="24"/>
  <c r="L29" i="24"/>
  <c r="P29" i="24"/>
  <c r="V29" i="24"/>
  <c r="AH29" i="24"/>
  <c r="AL29" i="24"/>
  <c r="AL31" i="24" s="1"/>
  <c r="AP29" i="24"/>
  <c r="BI29" i="24"/>
  <c r="BI31" i="24" s="1"/>
  <c r="CQ29" i="24"/>
  <c r="CU29" i="24"/>
  <c r="F37" i="24"/>
  <c r="L37" i="24"/>
  <c r="S54" i="24"/>
  <c r="E107" i="24"/>
  <c r="E102" i="24"/>
  <c r="E85" i="24"/>
  <c r="E59" i="24"/>
  <c r="E54" i="24"/>
  <c r="J107" i="24"/>
  <c r="J102" i="24"/>
  <c r="J85" i="24"/>
  <c r="J59" i="24"/>
  <c r="J54" i="24"/>
  <c r="N107" i="24"/>
  <c r="N102" i="24"/>
  <c r="N85" i="24"/>
  <c r="N59" i="24"/>
  <c r="N54" i="24"/>
  <c r="T107" i="24"/>
  <c r="T102" i="24"/>
  <c r="T85" i="24"/>
  <c r="T59" i="24"/>
  <c r="T54" i="24"/>
  <c r="AF107" i="24"/>
  <c r="AF102" i="24"/>
  <c r="AF85" i="24"/>
  <c r="AF59" i="24"/>
  <c r="AF54" i="24"/>
  <c r="E108" i="24"/>
  <c r="E60" i="24"/>
  <c r="J108" i="24"/>
  <c r="J60" i="24"/>
  <c r="N108" i="24"/>
  <c r="N60" i="24"/>
  <c r="T108" i="24"/>
  <c r="T60" i="24"/>
  <c r="AF108" i="24"/>
  <c r="AF60" i="24"/>
  <c r="AJ108" i="24"/>
  <c r="AJ60" i="24"/>
  <c r="AN108" i="24"/>
  <c r="AN60" i="24"/>
  <c r="AX108" i="24"/>
  <c r="AX60" i="24"/>
  <c r="BK108" i="24"/>
  <c r="BK60" i="24"/>
  <c r="CO108" i="24"/>
  <c r="CO60" i="24"/>
  <c r="CS108" i="24"/>
  <c r="CS60" i="24"/>
  <c r="CX108" i="24"/>
  <c r="CX60" i="24"/>
  <c r="DW108" i="24"/>
  <c r="DW60" i="24"/>
  <c r="D29" i="24"/>
  <c r="H29" i="24"/>
  <c r="M29" i="24"/>
  <c r="S29" i="24"/>
  <c r="W29" i="24"/>
  <c r="AI29" i="24"/>
  <c r="AI31" i="24" s="1"/>
  <c r="AM29" i="24"/>
  <c r="AM31" i="24" s="1"/>
  <c r="AQ29" i="24"/>
  <c r="BJ29" i="24"/>
  <c r="CN29" i="24"/>
  <c r="CN31" i="24" s="1"/>
  <c r="CR29" i="24"/>
  <c r="CV29" i="24"/>
  <c r="G37" i="24"/>
  <c r="N37" i="24"/>
  <c r="U37" i="24"/>
  <c r="D46" i="24"/>
  <c r="D54" i="24"/>
  <c r="CO12" i="25"/>
  <c r="E24" i="25"/>
  <c r="E25" i="25"/>
  <c r="E21" i="25"/>
  <c r="E22" i="25"/>
  <c r="E23" i="25"/>
  <c r="E20" i="25"/>
  <c r="F25" i="25"/>
  <c r="F24" i="25"/>
  <c r="F22" i="25"/>
  <c r="F23" i="25"/>
  <c r="AO25" i="25"/>
  <c r="AO24" i="25"/>
  <c r="AO22" i="25"/>
  <c r="AO23" i="25"/>
  <c r="AQ25" i="25"/>
  <c r="AQ23" i="25"/>
  <c r="AQ21" i="25"/>
  <c r="F20" i="25"/>
  <c r="AQ22" i="25"/>
  <c r="V24" i="25"/>
  <c r="V25" i="25"/>
  <c r="AP25" i="25"/>
  <c r="V23" i="25"/>
  <c r="AK12" i="26"/>
  <c r="D13" i="26"/>
  <c r="AL13" i="26"/>
  <c r="AG13" i="26"/>
  <c r="AM13" i="26"/>
  <c r="AH13" i="26"/>
  <c r="CX35" i="25"/>
  <c r="CX38" i="25" s="1"/>
  <c r="CN35" i="25"/>
  <c r="CN38" i="25" s="1"/>
  <c r="CR35" i="25"/>
  <c r="CR38" i="25" s="1"/>
  <c r="BI35" i="25"/>
  <c r="BI38" i="25" s="1"/>
  <c r="K60" i="22"/>
  <c r="L60" i="22" s="1"/>
  <c r="AK31" i="25"/>
  <c r="AK40" i="25" s="1"/>
  <c r="EK7" i="26"/>
  <c r="C78" i="22"/>
  <c r="K78" i="22" s="1"/>
  <c r="G89" i="22"/>
  <c r="D85" i="23"/>
  <c r="I98" i="23" s="1"/>
  <c r="D93" i="23"/>
  <c r="EN4" i="26"/>
  <c r="ER4" i="26" s="1"/>
  <c r="BB35" i="25"/>
  <c r="BB38" i="25" s="1"/>
  <c r="CG35" i="25"/>
  <c r="CG38" i="25" s="1"/>
  <c r="G79" i="22"/>
  <c r="E14" i="22"/>
  <c r="H14" i="22" s="1"/>
  <c r="H50" i="22"/>
  <c r="I50" i="22" s="1"/>
  <c r="EX12" i="26" s="1"/>
  <c r="EV11" i="26" s="1"/>
  <c r="I16" i="22"/>
  <c r="J16" i="22" s="1"/>
  <c r="E86" i="22"/>
  <c r="K86" i="22"/>
  <c r="M85" i="22"/>
  <c r="C85" i="22"/>
  <c r="K85" i="22" s="1"/>
  <c r="I15" i="22"/>
  <c r="J15" i="22" s="1"/>
  <c r="E15" i="22"/>
  <c r="K82" i="22"/>
  <c r="AO35" i="25"/>
  <c r="M88" i="22"/>
  <c r="E77" i="22"/>
  <c r="EN7" i="26"/>
  <c r="K76" i="22"/>
  <c r="E80" i="22"/>
  <c r="K80" i="22"/>
  <c r="C84" i="22"/>
  <c r="K84" i="22" s="1"/>
  <c r="K90" i="22"/>
  <c r="E79" i="22"/>
  <c r="K79" i="22"/>
  <c r="E83" i="22"/>
  <c r="K83" i="22"/>
  <c r="E89" i="22"/>
  <c r="K89" i="22"/>
  <c r="K88" i="22"/>
  <c r="D90" i="22"/>
  <c r="E16" i="22"/>
  <c r="H16" i="22" s="1"/>
  <c r="I17" i="22"/>
  <c r="J17" i="22" s="1"/>
  <c r="L77" i="22"/>
  <c r="L78" i="22"/>
  <c r="L79" i="22"/>
  <c r="L80" i="22"/>
  <c r="L83" i="22"/>
  <c r="L84" i="22"/>
  <c r="L85" i="22"/>
  <c r="L89" i="22"/>
  <c r="C109" i="32" l="1"/>
  <c r="C10" i="37" s="1"/>
  <c r="AA49" i="24"/>
  <c r="AE49" i="24"/>
  <c r="Y49" i="24"/>
  <c r="Q50" i="24"/>
  <c r="J49" i="24"/>
  <c r="V50" i="24"/>
  <c r="Z49" i="24"/>
  <c r="J50" i="24"/>
  <c r="BQ47" i="24"/>
  <c r="AC50" i="24"/>
  <c r="D49" i="24"/>
  <c r="D50" i="24"/>
  <c r="T47" i="24"/>
  <c r="V49" i="24"/>
  <c r="AD50" i="24"/>
  <c r="AA50" i="24"/>
  <c r="AB47" i="24"/>
  <c r="DB10" i="28"/>
  <c r="I49" i="24"/>
  <c r="BZ47" i="24"/>
  <c r="AD49" i="24"/>
  <c r="E49" i="24"/>
  <c r="Q49" i="24"/>
  <c r="AC49" i="24"/>
  <c r="R49" i="24"/>
  <c r="E50" i="24"/>
  <c r="AE50" i="24"/>
  <c r="X49" i="24"/>
  <c r="T49" i="24"/>
  <c r="BQ49" i="24"/>
  <c r="AB49" i="24"/>
  <c r="DS50" i="24"/>
  <c r="Y73" i="32"/>
  <c r="CO70" i="27"/>
  <c r="CO47" i="27" s="1"/>
  <c r="Y50" i="24"/>
  <c r="I50" i="24"/>
  <c r="Z50" i="24"/>
  <c r="AP24" i="25"/>
  <c r="AQ20" i="25"/>
  <c r="AO20" i="25"/>
  <c r="AJ11" i="28"/>
  <c r="E74" i="32"/>
  <c r="AH4" i="24"/>
  <c r="AC79" i="32"/>
  <c r="AC83" i="32" s="1"/>
  <c r="DM3" i="25"/>
  <c r="Y48" i="24"/>
  <c r="BP30" i="27"/>
  <c r="K34" i="22"/>
  <c r="DV23" i="25"/>
  <c r="I23" i="25"/>
  <c r="AA23" i="25"/>
  <c r="Z23" i="25"/>
  <c r="AB23" i="25"/>
  <c r="AC23" i="25"/>
  <c r="AD23" i="25"/>
  <c r="AE23" i="25"/>
  <c r="CJ23" i="25"/>
  <c r="CM23" i="25"/>
  <c r="DF23" i="25"/>
  <c r="DH23" i="25"/>
  <c r="DE23" i="25"/>
  <c r="CK23" i="25"/>
  <c r="CH23" i="25"/>
  <c r="DJ23" i="25"/>
  <c r="DI23" i="25"/>
  <c r="CL23" i="25"/>
  <c r="CI23" i="25"/>
  <c r="CZ23" i="25"/>
  <c r="CY23" i="25"/>
  <c r="DA23" i="25"/>
  <c r="DB23" i="25"/>
  <c r="DC23" i="25"/>
  <c r="DD23" i="25"/>
  <c r="AB62" i="24"/>
  <c r="AB74" i="24" s="1"/>
  <c r="X62" i="24"/>
  <c r="X74" i="24" s="1"/>
  <c r="BZ62" i="24"/>
  <c r="K36" i="22"/>
  <c r="DV25" i="25"/>
  <c r="I25" i="25"/>
  <c r="AA25" i="25"/>
  <c r="AD25" i="25"/>
  <c r="AC25" i="25"/>
  <c r="AB25" i="25"/>
  <c r="Z25" i="25"/>
  <c r="AE25" i="25"/>
  <c r="CI25" i="25"/>
  <c r="DJ25" i="25"/>
  <c r="DH25" i="25"/>
  <c r="CJ25" i="25"/>
  <c r="CK25" i="25"/>
  <c r="DF25" i="25"/>
  <c r="DI25" i="25"/>
  <c r="CM25" i="25"/>
  <c r="CH25" i="25"/>
  <c r="CL25" i="25"/>
  <c r="DE25" i="25"/>
  <c r="DA25" i="25"/>
  <c r="DB25" i="25"/>
  <c r="CZ25" i="25"/>
  <c r="CY25" i="25"/>
  <c r="DD25" i="25"/>
  <c r="DC25" i="25"/>
  <c r="DS48" i="24"/>
  <c r="W79" i="32"/>
  <c r="W83" i="32" s="1"/>
  <c r="CY3" i="25"/>
  <c r="ED3" i="24"/>
  <c r="ED3" i="23" s="1"/>
  <c r="EB10" i="28"/>
  <c r="EB3" i="24" s="1"/>
  <c r="EB3" i="23" s="1"/>
  <c r="EC10" i="28"/>
  <c r="EC3" i="24" s="1"/>
  <c r="EC3" i="23" s="1"/>
  <c r="DX10" i="28"/>
  <c r="DX3" i="24" s="1"/>
  <c r="DX3" i="23" s="1"/>
  <c r="DY10" i="28"/>
  <c r="DY3" i="24" s="1"/>
  <c r="DY3" i="23" s="1"/>
  <c r="DZ10" i="28"/>
  <c r="DZ3" i="24" s="1"/>
  <c r="DZ3" i="23" s="1"/>
  <c r="EA10" i="28"/>
  <c r="EA3" i="24" s="1"/>
  <c r="EA3" i="23" s="1"/>
  <c r="AM5" i="28"/>
  <c r="AM4" i="28" s="1"/>
  <c r="B61" i="15"/>
  <c r="AC48" i="24"/>
  <c r="M96" i="29"/>
  <c r="BQ62" i="24"/>
  <c r="I48" i="24"/>
  <c r="AD48" i="24"/>
  <c r="BG30" i="27"/>
  <c r="K31" i="22"/>
  <c r="DV20" i="25"/>
  <c r="Z20" i="25"/>
  <c r="AC20" i="25"/>
  <c r="AA20" i="25"/>
  <c r="AB20" i="25"/>
  <c r="AD20" i="25"/>
  <c r="I20" i="25"/>
  <c r="AE20" i="25"/>
  <c r="CK20" i="25"/>
  <c r="CL20" i="25"/>
  <c r="CI20" i="25"/>
  <c r="CM20" i="25"/>
  <c r="CJ20" i="25"/>
  <c r="DF20" i="25"/>
  <c r="DH20" i="25"/>
  <c r="CH20" i="25"/>
  <c r="DE20" i="25"/>
  <c r="DI20" i="25"/>
  <c r="DJ20" i="25"/>
  <c r="DB20" i="25"/>
  <c r="CY20" i="25"/>
  <c r="DC20" i="25"/>
  <c r="DA20" i="25"/>
  <c r="CZ20" i="25"/>
  <c r="DD20" i="25"/>
  <c r="E48" i="24"/>
  <c r="DF24" i="28"/>
  <c r="P34" i="8"/>
  <c r="P37" i="8"/>
  <c r="AH31" i="24"/>
  <c r="BJ3" i="24"/>
  <c r="K35" i="22"/>
  <c r="DV24" i="25"/>
  <c r="I24" i="25"/>
  <c r="AD24" i="25"/>
  <c r="AA24" i="25"/>
  <c r="AB24" i="25"/>
  <c r="AC24" i="25"/>
  <c r="Z24" i="25"/>
  <c r="AE24" i="25"/>
  <c r="CI24" i="25"/>
  <c r="CK24" i="25"/>
  <c r="CL24" i="25"/>
  <c r="CM24" i="25"/>
  <c r="DH24" i="25"/>
  <c r="DF24" i="25"/>
  <c r="CH24" i="25"/>
  <c r="DJ24" i="25"/>
  <c r="DI24" i="25"/>
  <c r="CJ24" i="25"/>
  <c r="DE24" i="25"/>
  <c r="DB24" i="25"/>
  <c r="CY24" i="25"/>
  <c r="DA24" i="25"/>
  <c r="DD24" i="25"/>
  <c r="DC24" i="25"/>
  <c r="CZ24" i="25"/>
  <c r="AA48" i="24"/>
  <c r="BR30" i="27"/>
  <c r="CY30" i="27"/>
  <c r="T46" i="8"/>
  <c r="X27" i="8" s="1"/>
  <c r="Y27" i="8" s="1"/>
  <c r="T40" i="8"/>
  <c r="T44" i="8"/>
  <c r="T43" i="8"/>
  <c r="T39" i="8"/>
  <c r="DB24" i="28"/>
  <c r="J48" i="24"/>
  <c r="V48" i="24"/>
  <c r="Z48" i="24"/>
  <c r="K33" i="22"/>
  <c r="DV22" i="25"/>
  <c r="AB22" i="25"/>
  <c r="AC22" i="25"/>
  <c r="AA22" i="25"/>
  <c r="Z22" i="25"/>
  <c r="I22" i="25"/>
  <c r="AD22" i="25"/>
  <c r="AE22" i="25"/>
  <c r="CL22" i="25"/>
  <c r="DH22" i="25"/>
  <c r="CJ22" i="25"/>
  <c r="CK22" i="25"/>
  <c r="CI22" i="25"/>
  <c r="DI22" i="25"/>
  <c r="CM22" i="25"/>
  <c r="DF22" i="25"/>
  <c r="DE22" i="25"/>
  <c r="DJ22" i="25"/>
  <c r="CH22" i="25"/>
  <c r="CY22" i="25"/>
  <c r="CZ22" i="25"/>
  <c r="DA22" i="25"/>
  <c r="DB22" i="25"/>
  <c r="DC22" i="25"/>
  <c r="DD22" i="25"/>
  <c r="P31" i="8"/>
  <c r="D48" i="24"/>
  <c r="Q48" i="24"/>
  <c r="X19" i="24"/>
  <c r="BV30" i="27"/>
  <c r="P33" i="8"/>
  <c r="R48" i="24"/>
  <c r="AE48" i="24"/>
  <c r="CW30" i="27"/>
  <c r="CJ24" i="28"/>
  <c r="DV62" i="24"/>
  <c r="DV74" i="24" s="1"/>
  <c r="DS62" i="24"/>
  <c r="DS74" i="24" s="1"/>
  <c r="Z62" i="24"/>
  <c r="Z74" i="24" s="1"/>
  <c r="AA62" i="24"/>
  <c r="AA74" i="24" s="1"/>
  <c r="Y62" i="24"/>
  <c r="Y74" i="24" s="1"/>
  <c r="AC62" i="24"/>
  <c r="AC74" i="24" s="1"/>
  <c r="AE62" i="24"/>
  <c r="AE74" i="24" s="1"/>
  <c r="AD62" i="24"/>
  <c r="AD74" i="24" s="1"/>
  <c r="I62" i="24"/>
  <c r="Q62" i="24"/>
  <c r="P32" i="8"/>
  <c r="DV17" i="24"/>
  <c r="DV14" i="24"/>
  <c r="X73" i="32"/>
  <c r="DV29" i="24"/>
  <c r="DV31" i="24" s="1"/>
  <c r="E16" i="29"/>
  <c r="E9" i="29" s="1"/>
  <c r="EA12" i="27" s="1"/>
  <c r="D9" i="29"/>
  <c r="DC30" i="27"/>
  <c r="DQ16" i="28"/>
  <c r="D49" i="31"/>
  <c r="DE16" i="28" s="1"/>
  <c r="BJ13" i="27"/>
  <c r="DH13" i="27"/>
  <c r="CH13" i="27"/>
  <c r="CI13" i="27"/>
  <c r="DF13" i="27"/>
  <c r="CL13" i="27"/>
  <c r="CM13" i="27"/>
  <c r="DI13" i="27"/>
  <c r="DJ13" i="27"/>
  <c r="CK13" i="27"/>
  <c r="CJ13" i="27"/>
  <c r="DE13" i="27"/>
  <c r="DC13" i="27"/>
  <c r="DA13" i="27"/>
  <c r="CZ13" i="27"/>
  <c r="CY13" i="27"/>
  <c r="DB13" i="27"/>
  <c r="DD13" i="27"/>
  <c r="CW13" i="27"/>
  <c r="CC13" i="27"/>
  <c r="BW13" i="27"/>
  <c r="CF13" i="27"/>
  <c r="CA13" i="27"/>
  <c r="BX13" i="27"/>
  <c r="CB13" i="27"/>
  <c r="BZ13" i="27"/>
  <c r="BR13" i="27"/>
  <c r="BU13" i="27"/>
  <c r="BV13" i="27"/>
  <c r="BY13" i="27"/>
  <c r="BM13" i="27"/>
  <c r="BF13" i="27"/>
  <c r="BC13" i="27"/>
  <c r="BD13" i="27"/>
  <c r="BG13" i="27"/>
  <c r="BQ13" i="27"/>
  <c r="CD13" i="27"/>
  <c r="BN13" i="27"/>
  <c r="BO13" i="27"/>
  <c r="BS13" i="27"/>
  <c r="CE13" i="27"/>
  <c r="BE13" i="27"/>
  <c r="BL13" i="27"/>
  <c r="BH13" i="27"/>
  <c r="BP13" i="27"/>
  <c r="DA24" i="28"/>
  <c r="AM13" i="27"/>
  <c r="CH30" i="27"/>
  <c r="C115" i="29"/>
  <c r="CD30" i="27"/>
  <c r="CF30" i="27"/>
  <c r="DE24" i="28"/>
  <c r="E15" i="29"/>
  <c r="E8" i="29" s="1"/>
  <c r="D8" i="29"/>
  <c r="ED16" i="28"/>
  <c r="BQ30" i="27"/>
  <c r="C315" i="29"/>
  <c r="B227" i="29" s="1"/>
  <c r="DS7" i="27"/>
  <c r="DS8" i="27" s="1"/>
  <c r="DV7" i="27"/>
  <c r="DV8" i="27" s="1"/>
  <c r="DP7" i="27"/>
  <c r="DP8" i="27" s="1"/>
  <c r="DO7" i="27"/>
  <c r="DO8" i="27" s="1"/>
  <c r="DT7" i="27"/>
  <c r="DT8" i="27" s="1"/>
  <c r="DN7" i="27"/>
  <c r="DN8" i="27" s="1"/>
  <c r="DL7" i="27"/>
  <c r="DL8" i="27" s="1"/>
  <c r="DK7" i="27"/>
  <c r="DK8" i="27" s="1"/>
  <c r="CB30" i="27"/>
  <c r="DD30" i="27"/>
  <c r="CI24" i="28"/>
  <c r="DS22" i="27"/>
  <c r="DS11" i="27"/>
  <c r="DS13" i="27"/>
  <c r="DS25" i="27"/>
  <c r="DS21" i="27"/>
  <c r="BO30" i="27"/>
  <c r="EB25" i="27"/>
  <c r="EB69" i="27"/>
  <c r="EB46" i="27" s="1"/>
  <c r="EB11" i="27"/>
  <c r="EB21" i="27"/>
  <c r="EB13" i="27"/>
  <c r="EB22" i="27"/>
  <c r="EB30" i="27" s="1"/>
  <c r="AZ22" i="27"/>
  <c r="AZ30" i="27" s="1"/>
  <c r="AZ13" i="27"/>
  <c r="AZ21" i="27"/>
  <c r="DL13" i="27"/>
  <c r="DL25" i="27"/>
  <c r="DL22" i="27"/>
  <c r="DL11" i="27"/>
  <c r="DL21" i="27"/>
  <c r="DV11" i="27"/>
  <c r="DV21" i="27"/>
  <c r="DV25" i="27"/>
  <c r="DV22" i="27"/>
  <c r="DV13" i="27"/>
  <c r="BM30" i="27"/>
  <c r="BC30" i="27"/>
  <c r="BX30" i="27"/>
  <c r="DH24" i="28"/>
  <c r="DI24" i="28"/>
  <c r="EC13" i="27"/>
  <c r="EC11" i="27"/>
  <c r="EC21" i="27"/>
  <c r="EC22" i="27"/>
  <c r="EC30" i="27" s="1"/>
  <c r="EC25" i="27"/>
  <c r="EC69" i="27"/>
  <c r="EC46" i="27" s="1"/>
  <c r="AW13" i="27"/>
  <c r="AW22" i="27"/>
  <c r="AW30" i="27" s="1"/>
  <c r="AW21" i="27"/>
  <c r="DV6" i="27"/>
  <c r="DS6" i="27"/>
  <c r="DO6" i="27"/>
  <c r="DM6" i="27"/>
  <c r="DN6" i="27"/>
  <c r="DL6" i="27"/>
  <c r="DK6" i="27"/>
  <c r="DP6" i="27"/>
  <c r="DT6" i="27"/>
  <c r="DT13" i="27"/>
  <c r="DT21" i="27"/>
  <c r="DT11" i="27"/>
  <c r="DT25" i="27"/>
  <c r="DT22" i="27"/>
  <c r="I6" i="27"/>
  <c r="AC6" i="27"/>
  <c r="X6" i="27"/>
  <c r="AD6" i="27"/>
  <c r="Z6" i="27"/>
  <c r="Z70" i="27" s="1"/>
  <c r="Z47" i="27" s="1"/>
  <c r="AA6" i="27"/>
  <c r="AB6" i="27"/>
  <c r="Y6" i="27"/>
  <c r="AE6" i="27"/>
  <c r="Q6" i="27"/>
  <c r="R6" i="27"/>
  <c r="AG6" i="27"/>
  <c r="O6" i="27"/>
  <c r="O16" i="27" s="1"/>
  <c r="F6" i="27"/>
  <c r="F16" i="27" s="1"/>
  <c r="AF6" i="27"/>
  <c r="AF16" i="27" s="1"/>
  <c r="N6" i="27"/>
  <c r="E6" i="27"/>
  <c r="E16" i="27" s="1"/>
  <c r="W6" i="27"/>
  <c r="M6" i="27"/>
  <c r="D6" i="27"/>
  <c r="V6" i="27"/>
  <c r="V18" i="27" s="1"/>
  <c r="L6" i="27"/>
  <c r="U6" i="27"/>
  <c r="U18" i="27" s="1"/>
  <c r="K6" i="27"/>
  <c r="AJ6" i="27"/>
  <c r="T6" i="27"/>
  <c r="J6" i="27"/>
  <c r="AI6" i="27"/>
  <c r="S6" i="27"/>
  <c r="S18" i="27" s="1"/>
  <c r="H6" i="27"/>
  <c r="AH6" i="27"/>
  <c r="AH18" i="27" s="1"/>
  <c r="P6" i="27"/>
  <c r="G6" i="27"/>
  <c r="G18" i="27" s="1"/>
  <c r="CE30" i="27"/>
  <c r="BU30" i="27"/>
  <c r="CM24" i="28"/>
  <c r="CZ24" i="28"/>
  <c r="DI30" i="27"/>
  <c r="CH24" i="28"/>
  <c r="ED21" i="27"/>
  <c r="ED25" i="27"/>
  <c r="ED11" i="27"/>
  <c r="ED13" i="27"/>
  <c r="ED22" i="27"/>
  <c r="ED30" i="27" s="1"/>
  <c r="ED69" i="27"/>
  <c r="ED46" i="27" s="1"/>
  <c r="AS21" i="27"/>
  <c r="AS22" i="27"/>
  <c r="AS30" i="27" s="1"/>
  <c r="AS13" i="27"/>
  <c r="DO13" i="27"/>
  <c r="DO21" i="27"/>
  <c r="DO22" i="27"/>
  <c r="DO11" i="27"/>
  <c r="DO25" i="27"/>
  <c r="Y5" i="27"/>
  <c r="AA5" i="27"/>
  <c r="AC5" i="27"/>
  <c r="I5" i="27"/>
  <c r="Z5" i="27"/>
  <c r="X5" i="27"/>
  <c r="X69" i="27" s="1"/>
  <c r="X46" i="27" s="1"/>
  <c r="AD5" i="27"/>
  <c r="AB5" i="27"/>
  <c r="AE5" i="27"/>
  <c r="AE69" i="27" s="1"/>
  <c r="Q5" i="27"/>
  <c r="R5" i="27"/>
  <c r="AI5" i="27"/>
  <c r="S5" i="27"/>
  <c r="H5" i="27"/>
  <c r="AH5" i="27"/>
  <c r="P5" i="27"/>
  <c r="G5" i="27"/>
  <c r="AG5" i="27"/>
  <c r="O5" i="27"/>
  <c r="F5" i="27"/>
  <c r="AF5" i="27"/>
  <c r="N5" i="27"/>
  <c r="N25" i="27" s="1"/>
  <c r="E5" i="27"/>
  <c r="W5" i="27"/>
  <c r="M5" i="27"/>
  <c r="D5" i="27"/>
  <c r="V5" i="27"/>
  <c r="V25" i="27" s="1"/>
  <c r="L5" i="27"/>
  <c r="U5" i="27"/>
  <c r="K5" i="27"/>
  <c r="AJ5" i="27"/>
  <c r="T5" i="27"/>
  <c r="J5" i="27"/>
  <c r="BW30" i="27"/>
  <c r="DB30" i="27"/>
  <c r="CK30" i="27"/>
  <c r="DJ24" i="28"/>
  <c r="AO13" i="27"/>
  <c r="AT22" i="27"/>
  <c r="AT30" i="27" s="1"/>
  <c r="AT21" i="27"/>
  <c r="AT13" i="27"/>
  <c r="DN25" i="27"/>
  <c r="DN13" i="27"/>
  <c r="DN11" i="27"/>
  <c r="DN21" i="27"/>
  <c r="DN22" i="27"/>
  <c r="CA30" i="27"/>
  <c r="CC30" i="27"/>
  <c r="DC24" i="28"/>
  <c r="CL30" i="27"/>
  <c r="CL24" i="28"/>
  <c r="DZ69" i="27"/>
  <c r="DZ46" i="27" s="1"/>
  <c r="DZ13" i="27"/>
  <c r="DZ21" i="27"/>
  <c r="DZ11" i="27"/>
  <c r="DZ22" i="27"/>
  <c r="DZ30" i="27" s="1"/>
  <c r="AU13" i="27"/>
  <c r="AU21" i="27"/>
  <c r="AU22" i="27"/>
  <c r="AU30" i="27" s="1"/>
  <c r="DP25" i="27"/>
  <c r="DP22" i="27"/>
  <c r="DP11" i="27"/>
  <c r="DP13" i="27"/>
  <c r="DP21" i="27"/>
  <c r="DX69" i="27"/>
  <c r="DX46" i="27" s="1"/>
  <c r="DX13" i="27"/>
  <c r="DX25" i="27"/>
  <c r="DX22" i="27"/>
  <c r="DX30" i="27" s="1"/>
  <c r="DX11" i="27"/>
  <c r="AV13" i="27"/>
  <c r="AV22" i="27"/>
  <c r="AV30" i="27" s="1"/>
  <c r="AV21" i="27"/>
  <c r="DM13" i="27"/>
  <c r="DM25" i="27"/>
  <c r="DM22" i="27"/>
  <c r="DM21" i="27"/>
  <c r="DM11" i="27"/>
  <c r="BF30" i="27"/>
  <c r="BY30" i="27"/>
  <c r="DA30" i="27"/>
  <c r="CM30" i="27"/>
  <c r="DY69" i="27"/>
  <c r="DY46" i="27" s="1"/>
  <c r="DY13" i="27"/>
  <c r="DY25" i="27"/>
  <c r="DY11" i="27"/>
  <c r="DY22" i="27"/>
  <c r="DY30" i="27" s="1"/>
  <c r="AY13" i="27"/>
  <c r="AY69" i="27"/>
  <c r="AY46" i="27" s="1"/>
  <c r="AY22" i="27"/>
  <c r="AY30" i="27" s="1"/>
  <c r="AY21" i="27"/>
  <c r="DK21" i="27"/>
  <c r="DK25" i="27"/>
  <c r="DK13" i="27"/>
  <c r="DK11" i="27"/>
  <c r="DK22" i="27"/>
  <c r="BN30" i="27"/>
  <c r="BS30" i="27"/>
  <c r="BZ30" i="27"/>
  <c r="CY24" i="28"/>
  <c r="DD24" i="28"/>
  <c r="DE30" i="27"/>
  <c r="CI30" i="27"/>
  <c r="CJ30" i="27"/>
  <c r="EA22" i="27"/>
  <c r="EA30" i="27" s="1"/>
  <c r="EA69" i="27"/>
  <c r="EA46" i="27" s="1"/>
  <c r="EA11" i="27"/>
  <c r="EA21" i="27"/>
  <c r="EA13" i="27"/>
  <c r="BA21" i="27"/>
  <c r="BA13" i="27"/>
  <c r="BA22" i="27"/>
  <c r="BA30" i="27" s="1"/>
  <c r="AR13" i="27"/>
  <c r="AR21" i="27"/>
  <c r="AR22" i="27"/>
  <c r="AR30" i="27" s="1"/>
  <c r="Y63" i="24"/>
  <c r="Y75" i="24" s="1"/>
  <c r="DR12" i="25"/>
  <c r="ED36" i="25"/>
  <c r="ED38" i="25" s="1"/>
  <c r="AH80" i="32"/>
  <c r="AH83" i="32" s="1"/>
  <c r="E121" i="32" s="1"/>
  <c r="E22" i="37" s="1"/>
  <c r="AQ35" i="25"/>
  <c r="P79" i="32"/>
  <c r="CI35" i="25"/>
  <c r="CI38" i="25" s="1"/>
  <c r="S79" i="32"/>
  <c r="S83" i="32" s="1"/>
  <c r="AH36" i="25"/>
  <c r="AH38" i="25" s="1"/>
  <c r="E80" i="32"/>
  <c r="E83" i="32" s="1"/>
  <c r="AP35" i="25"/>
  <c r="AP38" i="25" s="1"/>
  <c r="O79" i="32"/>
  <c r="O83" i="32" s="1"/>
  <c r="E113" i="32" s="1"/>
  <c r="E14" i="37" s="1"/>
  <c r="Y111" i="24"/>
  <c r="Y123" i="24" s="1"/>
  <c r="BK35" i="25"/>
  <c r="Y79" i="32"/>
  <c r="DS29" i="24"/>
  <c r="DS31" i="24" s="1"/>
  <c r="BJ35" i="25"/>
  <c r="BJ38" i="25" s="1"/>
  <c r="X79" i="32"/>
  <c r="X83" i="32" s="1"/>
  <c r="EJ4" i="26"/>
  <c r="N79" i="32"/>
  <c r="N83" i="32" s="1"/>
  <c r="E112" i="32" s="1"/>
  <c r="E13" i="37" s="1"/>
  <c r="CJ10" i="28"/>
  <c r="CJ3" i="24" s="1"/>
  <c r="CJ3" i="23" s="1"/>
  <c r="Y103" i="24"/>
  <c r="Y116" i="24" s="1"/>
  <c r="Y128" i="24" s="1"/>
  <c r="DS103" i="24"/>
  <c r="E107" i="32"/>
  <c r="E8" i="37" s="1"/>
  <c r="E108" i="32"/>
  <c r="E9" i="37" s="1"/>
  <c r="Y56" i="24"/>
  <c r="Y69" i="24" s="1"/>
  <c r="DS56" i="24"/>
  <c r="Y104" i="24"/>
  <c r="Y117" i="24" s="1"/>
  <c r="DS104" i="24"/>
  <c r="AA19" i="24"/>
  <c r="D36" i="25"/>
  <c r="C80" i="32"/>
  <c r="C83" i="32" s="1"/>
  <c r="Q23" i="14"/>
  <c r="DS10" i="28"/>
  <c r="DS55" i="24"/>
  <c r="B119" i="32"/>
  <c r="B20" i="37" s="1"/>
  <c r="D20" i="37"/>
  <c r="C106" i="32"/>
  <c r="C7" i="37" s="1"/>
  <c r="D114" i="32"/>
  <c r="C114" i="32" s="1"/>
  <c r="C15" i="37" s="1"/>
  <c r="D99" i="32"/>
  <c r="I35" i="37" s="1"/>
  <c r="D92" i="32"/>
  <c r="I28" i="37" s="1"/>
  <c r="D102" i="32"/>
  <c r="I38" i="37" s="1"/>
  <c r="D93" i="32"/>
  <c r="I29" i="37" s="1"/>
  <c r="D101" i="32"/>
  <c r="I37" i="37" s="1"/>
  <c r="D94" i="32"/>
  <c r="I30" i="37" s="1"/>
  <c r="D100" i="32"/>
  <c r="I36" i="37" s="1"/>
  <c r="I33" i="37"/>
  <c r="AI4" i="28"/>
  <c r="D47" i="13"/>
  <c r="O44" i="61"/>
  <c r="P44" i="61"/>
  <c r="AB128" i="24"/>
  <c r="Y19" i="24"/>
  <c r="Y70" i="27"/>
  <c r="Y69" i="27"/>
  <c r="G38" i="10"/>
  <c r="K38" i="10" s="1"/>
  <c r="K41" i="10"/>
  <c r="H55" i="24"/>
  <c r="Y55" i="24"/>
  <c r="Y68" i="24" s="1"/>
  <c r="Y80" i="24" s="1"/>
  <c r="AD19" i="24"/>
  <c r="X128" i="24"/>
  <c r="X70" i="27"/>
  <c r="X47" i="27" s="1"/>
  <c r="X104" i="24"/>
  <c r="X117" i="24" s="1"/>
  <c r="AB63" i="24"/>
  <c r="AB75" i="24" s="1"/>
  <c r="X63" i="24"/>
  <c r="X75" i="24" s="1"/>
  <c r="X55" i="24"/>
  <c r="X68" i="24" s="1"/>
  <c r="AB111" i="24"/>
  <c r="AB123" i="24" s="1"/>
  <c r="X111" i="24"/>
  <c r="X123" i="24" s="1"/>
  <c r="X56" i="24"/>
  <c r="X69" i="24" s="1"/>
  <c r="Z69" i="27"/>
  <c r="Z46" i="27" s="1"/>
  <c r="Z111" i="24"/>
  <c r="Z123" i="24" s="1"/>
  <c r="Z56" i="24"/>
  <c r="Z69" i="24" s="1"/>
  <c r="Z103" i="24"/>
  <c r="Z116" i="24" s="1"/>
  <c r="Z128" i="24" s="1"/>
  <c r="Z55" i="24"/>
  <c r="Z68" i="24" s="1"/>
  <c r="Z104" i="24"/>
  <c r="Z117" i="24" s="1"/>
  <c r="Z63" i="24"/>
  <c r="Z75" i="24" s="1"/>
  <c r="AD69" i="27"/>
  <c r="AD46" i="27" s="1"/>
  <c r="AD70" i="27"/>
  <c r="AD47" i="27" s="1"/>
  <c r="AB69" i="27"/>
  <c r="AB46" i="27" s="1"/>
  <c r="AB70" i="27"/>
  <c r="AB47" i="27" s="1"/>
  <c r="AC70" i="27"/>
  <c r="AC47" i="27" s="1"/>
  <c r="AC69" i="27"/>
  <c r="AC46" i="27" s="1"/>
  <c r="AD111" i="24"/>
  <c r="AD123" i="24" s="1"/>
  <c r="AC111" i="24"/>
  <c r="AC123" i="24" s="1"/>
  <c r="AD56" i="24"/>
  <c r="AD69" i="24" s="1"/>
  <c r="AC56" i="24"/>
  <c r="AC69" i="24" s="1"/>
  <c r="AD103" i="24"/>
  <c r="AD116" i="24" s="1"/>
  <c r="AD128" i="24" s="1"/>
  <c r="AC103" i="24"/>
  <c r="AC116" i="24" s="1"/>
  <c r="AC128" i="24" s="1"/>
  <c r="BZ104" i="24"/>
  <c r="AB104" i="24"/>
  <c r="AB117" i="24" s="1"/>
  <c r="AD55" i="24"/>
  <c r="AD68" i="24" s="1"/>
  <c r="AD80" i="24" s="1"/>
  <c r="AC55" i="24"/>
  <c r="AC68" i="24" s="1"/>
  <c r="AC80" i="24" s="1"/>
  <c r="AD104" i="24"/>
  <c r="AD117" i="24" s="1"/>
  <c r="AC104" i="24"/>
  <c r="AC117" i="24" s="1"/>
  <c r="AD63" i="24"/>
  <c r="AD75" i="24" s="1"/>
  <c r="AC63" i="24"/>
  <c r="AC75" i="24" s="1"/>
  <c r="BZ55" i="24"/>
  <c r="AB55" i="24"/>
  <c r="AB68" i="24" s="1"/>
  <c r="AB80" i="24" s="1"/>
  <c r="BZ56" i="24"/>
  <c r="AB56" i="24"/>
  <c r="AB69" i="24" s="1"/>
  <c r="AB19" i="24"/>
  <c r="AC19" i="24"/>
  <c r="AL9" i="25"/>
  <c r="AL11" i="25" s="1"/>
  <c r="AL5" i="26" s="1"/>
  <c r="H9" i="13"/>
  <c r="H15" i="13"/>
  <c r="I9" i="13"/>
  <c r="I15" i="13"/>
  <c r="DW12" i="25"/>
  <c r="DW6" i="26" s="1"/>
  <c r="DW7" i="28" s="1"/>
  <c r="AG72" i="32" s="1"/>
  <c r="I111" i="24"/>
  <c r="I56" i="24"/>
  <c r="I103" i="24"/>
  <c r="I55" i="24"/>
  <c r="I104" i="24"/>
  <c r="I63" i="24"/>
  <c r="AA111" i="24"/>
  <c r="AA123" i="24" s="1"/>
  <c r="AA56" i="24"/>
  <c r="AA69" i="24" s="1"/>
  <c r="AA103" i="24"/>
  <c r="AA116" i="24" s="1"/>
  <c r="AA128" i="24" s="1"/>
  <c r="AA55" i="24"/>
  <c r="AA68" i="24" s="1"/>
  <c r="AA80" i="24" s="1"/>
  <c r="AA104" i="24"/>
  <c r="AA117" i="24" s="1"/>
  <c r="BM10" i="28"/>
  <c r="BM70" i="27" s="1"/>
  <c r="BM47" i="27" s="1"/>
  <c r="DT31" i="24"/>
  <c r="AA63" i="24"/>
  <c r="AA75" i="24" s="1"/>
  <c r="AF31" i="24"/>
  <c r="CT4" i="24"/>
  <c r="CT31" i="24" s="1"/>
  <c r="CZ10" i="28"/>
  <c r="CZ70" i="27" s="1"/>
  <c r="CZ47" i="27" s="1"/>
  <c r="DQ132" i="24"/>
  <c r="DV132" i="24" s="1"/>
  <c r="CL20" i="28"/>
  <c r="CJ20" i="28"/>
  <c r="CJ7" i="26" s="1"/>
  <c r="CJ10" i="26" s="1"/>
  <c r="CI20" i="28"/>
  <c r="CH20" i="28"/>
  <c r="CH7" i="26" s="1"/>
  <c r="CH10" i="26" s="1"/>
  <c r="CK20" i="28"/>
  <c r="CM20" i="28"/>
  <c r="AK69" i="27"/>
  <c r="AK46" i="27" s="1"/>
  <c r="AA69" i="27"/>
  <c r="AA70" i="27"/>
  <c r="AE56" i="24"/>
  <c r="AE69" i="24" s="1"/>
  <c r="AE103" i="24"/>
  <c r="AE116" i="24" s="1"/>
  <c r="AE128" i="24" s="1"/>
  <c r="AE55" i="24"/>
  <c r="AE68" i="24" s="1"/>
  <c r="AE80" i="24" s="1"/>
  <c r="AE104" i="24"/>
  <c r="AE117" i="24" s="1"/>
  <c r="AE111" i="24"/>
  <c r="AE123" i="24" s="1"/>
  <c r="AE63" i="24"/>
  <c r="AE75" i="24" s="1"/>
  <c r="BZ63" i="24"/>
  <c r="CS31" i="25"/>
  <c r="CS40" i="25" s="1"/>
  <c r="CJ31" i="25"/>
  <c r="CJ40" i="25" s="1"/>
  <c r="DF31" i="25"/>
  <c r="DF40" i="25" s="1"/>
  <c r="CI31" i="25"/>
  <c r="CI40" i="25" s="1"/>
  <c r="DE31" i="25"/>
  <c r="DE40" i="25" s="1"/>
  <c r="CH31" i="25"/>
  <c r="CH40" i="25" s="1"/>
  <c r="DA31" i="25"/>
  <c r="DA40" i="25" s="1"/>
  <c r="CZ31" i="25"/>
  <c r="CZ40" i="25" s="1"/>
  <c r="CY31" i="25"/>
  <c r="CY40" i="25" s="1"/>
  <c r="AE38" i="25"/>
  <c r="BQ104" i="24"/>
  <c r="BJ4" i="24"/>
  <c r="AM69" i="27"/>
  <c r="AM46" i="27" s="1"/>
  <c r="E20" i="28"/>
  <c r="E7" i="26" s="1"/>
  <c r="AB74" i="32"/>
  <c r="CD11" i="28"/>
  <c r="CD4" i="24" s="1"/>
  <c r="CE11" i="28"/>
  <c r="E35" i="10"/>
  <c r="E46" i="10" s="1"/>
  <c r="AF5" i="28"/>
  <c r="E36" i="10"/>
  <c r="E47" i="10" s="1"/>
  <c r="BS10" i="28"/>
  <c r="BS3" i="24" s="1"/>
  <c r="BT3" i="24"/>
  <c r="BQ63" i="24"/>
  <c r="D55" i="24"/>
  <c r="AB73" i="32"/>
  <c r="Q104" i="24"/>
  <c r="R104" i="24"/>
  <c r="AQ70" i="27"/>
  <c r="AQ47" i="27" s="1"/>
  <c r="AE70" i="27"/>
  <c r="R111" i="24"/>
  <c r="R103" i="24"/>
  <c r="CS70" i="27"/>
  <c r="CS47" i="27" s="1"/>
  <c r="AF59" i="69"/>
  <c r="AF44" i="69"/>
  <c r="AF59" i="64"/>
  <c r="AF44" i="64"/>
  <c r="CV69" i="27"/>
  <c r="CV46" i="27" s="1"/>
  <c r="N73" i="32"/>
  <c r="AM70" i="27"/>
  <c r="AM47" i="27" s="1"/>
  <c r="AQ69" i="27"/>
  <c r="AQ46" i="27" s="1"/>
  <c r="CQ70" i="27"/>
  <c r="CQ47" i="27" s="1"/>
  <c r="AO3" i="24"/>
  <c r="Q103" i="24"/>
  <c r="H56" i="24"/>
  <c r="CN69" i="27"/>
  <c r="CN46" i="27" s="1"/>
  <c r="CN70" i="27"/>
  <c r="CN47" i="27" s="1"/>
  <c r="M55" i="24"/>
  <c r="BJ70" i="27"/>
  <c r="BJ47" i="27" s="1"/>
  <c r="CP35" i="25"/>
  <c r="AO70" i="27"/>
  <c r="AO47" i="27" s="1"/>
  <c r="BJ69" i="27"/>
  <c r="BJ46" i="27" s="1"/>
  <c r="Z73" i="32"/>
  <c r="BR10" i="28"/>
  <c r="BR3" i="24" s="1"/>
  <c r="BN10" i="28"/>
  <c r="BN69" i="27" s="1"/>
  <c r="BN46" i="27" s="1"/>
  <c r="BO10" i="28"/>
  <c r="BO3" i="24" s="1"/>
  <c r="CX3" i="24"/>
  <c r="S16" i="14" s="1"/>
  <c r="R16" i="14" s="1"/>
  <c r="BB4" i="24"/>
  <c r="BP10" i="28"/>
  <c r="BP3" i="24" s="1"/>
  <c r="BT70" i="27"/>
  <c r="BT47" i="27" s="1"/>
  <c r="D38" i="25"/>
  <c r="BQ10" i="28"/>
  <c r="BQ3" i="24" s="1"/>
  <c r="BL10" i="28"/>
  <c r="BL70" i="27" s="1"/>
  <c r="BL47" i="27" s="1"/>
  <c r="AZ11" i="28"/>
  <c r="Q55" i="24"/>
  <c r="C12" i="10"/>
  <c r="CG70" i="27"/>
  <c r="CG47" i="27" s="1"/>
  <c r="AY11" i="28"/>
  <c r="AY4" i="24" s="1"/>
  <c r="CF11" i="28"/>
  <c r="CF4" i="24" s="1"/>
  <c r="CF31" i="24" s="1"/>
  <c r="R55" i="24"/>
  <c r="X74" i="32"/>
  <c r="BA11" i="28"/>
  <c r="BA4" i="24" s="1"/>
  <c r="BA31" i="24" s="1"/>
  <c r="R73" i="32"/>
  <c r="C117" i="32" s="1"/>
  <c r="C18" i="37" s="1"/>
  <c r="O74" i="32"/>
  <c r="D113" i="32" s="1"/>
  <c r="D14" i="37" s="1"/>
  <c r="CG69" i="27"/>
  <c r="CG46" i="27" s="1"/>
  <c r="AO69" i="27"/>
  <c r="AO46" i="27" s="1"/>
  <c r="CS69" i="27"/>
  <c r="CS46" i="27" s="1"/>
  <c r="AP4" i="24"/>
  <c r="AP31" i="24" s="1"/>
  <c r="AK70" i="27"/>
  <c r="AK47" i="27" s="1"/>
  <c r="BK69" i="27"/>
  <c r="BK46" i="27" s="1"/>
  <c r="AP69" i="27"/>
  <c r="AP46" i="27" s="1"/>
  <c r="BB70" i="27"/>
  <c r="BB47" i="27" s="1"/>
  <c r="AP70" i="27"/>
  <c r="AP47" i="27" s="1"/>
  <c r="CV70" i="27"/>
  <c r="CV47" i="27" s="1"/>
  <c r="O73" i="32"/>
  <c r="BZ111" i="24"/>
  <c r="BT69" i="27"/>
  <c r="BT46" i="27" s="1"/>
  <c r="CR69" i="27"/>
  <c r="CR46" i="27" s="1"/>
  <c r="BB69" i="27"/>
  <c r="BB46" i="27" s="1"/>
  <c r="CO3" i="24"/>
  <c r="CO3" i="23" s="1"/>
  <c r="CO25" i="23" s="1"/>
  <c r="CO77" i="23" s="1"/>
  <c r="CO103" i="23" s="1"/>
  <c r="AW10" i="28"/>
  <c r="AW70" i="27" s="1"/>
  <c r="AW47" i="27" s="1"/>
  <c r="AX69" i="27"/>
  <c r="AX46" i="27" s="1"/>
  <c r="W73" i="32"/>
  <c r="AX70" i="27"/>
  <c r="AX47" i="27" s="1"/>
  <c r="BI3" i="24"/>
  <c r="BI3" i="23" s="1"/>
  <c r="BI26" i="23" s="1"/>
  <c r="AT10" i="28"/>
  <c r="AT3" i="24" s="1"/>
  <c r="BG10" i="28"/>
  <c r="BG70" i="27" s="1"/>
  <c r="BG47" i="27" s="1"/>
  <c r="DA10" i="28"/>
  <c r="DA70" i="27" s="1"/>
  <c r="DA47" i="27" s="1"/>
  <c r="CT69" i="27"/>
  <c r="CT46" i="27" s="1"/>
  <c r="BK70" i="27"/>
  <c r="BK47" i="27" s="1"/>
  <c r="CX70" i="27"/>
  <c r="CX47" i="27" s="1"/>
  <c r="AR10" i="28"/>
  <c r="AR3" i="24" s="1"/>
  <c r="AV10" i="28"/>
  <c r="AV3" i="24" s="1"/>
  <c r="BH10" i="28"/>
  <c r="BH3" i="24" s="1"/>
  <c r="CT70" i="27"/>
  <c r="CT47" i="27" s="1"/>
  <c r="CQ69" i="27"/>
  <c r="CQ46" i="27" s="1"/>
  <c r="CP70" i="27"/>
  <c r="CP47" i="27" s="1"/>
  <c r="CX69" i="27"/>
  <c r="CX46" i="27" s="1"/>
  <c r="Q73" i="32"/>
  <c r="BE10" i="28"/>
  <c r="BE69" i="27" s="1"/>
  <c r="BE46" i="27" s="1"/>
  <c r="CU69" i="27"/>
  <c r="CU46" i="27" s="1"/>
  <c r="CP69" i="27"/>
  <c r="CP46" i="27" s="1"/>
  <c r="AX3" i="24"/>
  <c r="BF10" i="28"/>
  <c r="BF3" i="24" s="1"/>
  <c r="CU70" i="27"/>
  <c r="CU47" i="27" s="1"/>
  <c r="BI69" i="27"/>
  <c r="BI46" i="27" s="1"/>
  <c r="CO69" i="27"/>
  <c r="CO46" i="27" s="1"/>
  <c r="AS10" i="28"/>
  <c r="AS3" i="24" s="1"/>
  <c r="BC10" i="28"/>
  <c r="BC3" i="24" s="1"/>
  <c r="BC3" i="23" s="1"/>
  <c r="CR70" i="27"/>
  <c r="CR47" i="27" s="1"/>
  <c r="BI70" i="27"/>
  <c r="BI47" i="27" s="1"/>
  <c r="BD10" i="28"/>
  <c r="BD3" i="24" s="1"/>
  <c r="BD3" i="23" s="1"/>
  <c r="BQ55" i="24"/>
  <c r="Q63" i="24"/>
  <c r="BQ56" i="24"/>
  <c r="E45" i="14"/>
  <c r="Q56" i="24"/>
  <c r="R56" i="24"/>
  <c r="M56" i="24"/>
  <c r="AU3" i="24"/>
  <c r="AU69" i="27"/>
  <c r="AU46" i="27" s="1"/>
  <c r="AU70" i="27"/>
  <c r="AU47" i="27" s="1"/>
  <c r="CY70" i="27"/>
  <c r="CY47" i="27" s="1"/>
  <c r="CY69" i="27"/>
  <c r="CY46" i="27" s="1"/>
  <c r="CE70" i="27"/>
  <c r="CE47" i="27" s="1"/>
  <c r="CE69" i="27"/>
  <c r="CE46" i="27" s="1"/>
  <c r="DD70" i="27"/>
  <c r="DD47" i="27" s="1"/>
  <c r="DD69" i="27"/>
  <c r="DD46" i="27" s="1"/>
  <c r="CF3" i="24"/>
  <c r="CF70" i="27"/>
  <c r="CF47" i="27" s="1"/>
  <c r="CF69" i="27"/>
  <c r="CF46" i="27" s="1"/>
  <c r="CC69" i="27"/>
  <c r="CC46" i="27" s="1"/>
  <c r="CC70" i="27"/>
  <c r="CC47" i="27" s="1"/>
  <c r="CC3" i="24"/>
  <c r="BX10" i="28"/>
  <c r="BV10" i="28"/>
  <c r="CA10" i="28"/>
  <c r="CL10" i="28"/>
  <c r="AA73" i="32"/>
  <c r="BY10" i="28"/>
  <c r="BW10" i="28"/>
  <c r="BZ10" i="28"/>
  <c r="BU10" i="28"/>
  <c r="CB10" i="28"/>
  <c r="CI3" i="24"/>
  <c r="CI70" i="27"/>
  <c r="CI47" i="27" s="1"/>
  <c r="CI69" i="27"/>
  <c r="CI46" i="27" s="1"/>
  <c r="S73" i="32"/>
  <c r="CW70" i="27"/>
  <c r="CW47" i="27" s="1"/>
  <c r="CW69" i="27"/>
  <c r="CW46" i="27" s="1"/>
  <c r="DC10" i="28"/>
  <c r="CW3" i="24"/>
  <c r="CI4" i="24"/>
  <c r="CI31" i="24" s="1"/>
  <c r="S74" i="32"/>
  <c r="CM11" i="28"/>
  <c r="O25" i="13"/>
  <c r="M25" i="13"/>
  <c r="CH3" i="24"/>
  <c r="CH3" i="23" s="1"/>
  <c r="CH27" i="23" s="1"/>
  <c r="CH79" i="23" s="1"/>
  <c r="CH105" i="23" s="1"/>
  <c r="CH69" i="27"/>
  <c r="CH46" i="27" s="1"/>
  <c r="CH70" i="27"/>
  <c r="CH47" i="27" s="1"/>
  <c r="CD70" i="27"/>
  <c r="CD47" i="27" s="1"/>
  <c r="CD69" i="27"/>
  <c r="CD46" i="27" s="1"/>
  <c r="CE3" i="24"/>
  <c r="CD3" i="24"/>
  <c r="CM10" i="28"/>
  <c r="AZ70" i="27"/>
  <c r="AZ47" i="27" s="1"/>
  <c r="AZ69" i="27"/>
  <c r="AZ46" i="27" s="1"/>
  <c r="BM3" i="24"/>
  <c r="CK3" i="24"/>
  <c r="CK70" i="27"/>
  <c r="CK47" i="27" s="1"/>
  <c r="CK69" i="27"/>
  <c r="CK46" i="27" s="1"/>
  <c r="T73" i="32"/>
  <c r="AY3" i="24"/>
  <c r="AY70" i="27"/>
  <c r="AY47" i="27" s="1"/>
  <c r="AZ3" i="24"/>
  <c r="DB70" i="27"/>
  <c r="DB47" i="27" s="1"/>
  <c r="DB69" i="27"/>
  <c r="DB46" i="27" s="1"/>
  <c r="BA3" i="24"/>
  <c r="BA70" i="27"/>
  <c r="BA47" i="27" s="1"/>
  <c r="BA69" i="27"/>
  <c r="BA46" i="27" s="1"/>
  <c r="L59" i="69"/>
  <c r="L44" i="69"/>
  <c r="L27" i="69" s="1"/>
  <c r="L44" i="64"/>
  <c r="L27" i="64" s="1"/>
  <c r="L59" i="64"/>
  <c r="K59" i="69"/>
  <c r="K44" i="69"/>
  <c r="K44" i="64"/>
  <c r="K59" i="64"/>
  <c r="C59" i="69"/>
  <c r="C44" i="69"/>
  <c r="R10" i="69" s="1"/>
  <c r="C44" i="64"/>
  <c r="R10" i="64" s="1"/>
  <c r="C59" i="64"/>
  <c r="V59" i="64"/>
  <c r="V44" i="69"/>
  <c r="V44" i="64"/>
  <c r="V59" i="69"/>
  <c r="Q44" i="64"/>
  <c r="Q59" i="69"/>
  <c r="Q59" i="64"/>
  <c r="Q44" i="69"/>
  <c r="H44" i="64"/>
  <c r="O15" i="64" s="1"/>
  <c r="H59" i="64"/>
  <c r="H59" i="69"/>
  <c r="H44" i="69"/>
  <c r="O15" i="69" s="1"/>
  <c r="N59" i="64"/>
  <c r="N44" i="69"/>
  <c r="O22" i="69" s="1"/>
  <c r="N44" i="64"/>
  <c r="O22" i="64" s="1"/>
  <c r="N59" i="69"/>
  <c r="AG44" i="64"/>
  <c r="AG59" i="69"/>
  <c r="AG59" i="64"/>
  <c r="AG44" i="69"/>
  <c r="X59" i="64"/>
  <c r="X44" i="64"/>
  <c r="X59" i="69"/>
  <c r="X44" i="69"/>
  <c r="AD59" i="64"/>
  <c r="AD44" i="64"/>
  <c r="AD59" i="69"/>
  <c r="AD44" i="69"/>
  <c r="M44" i="69"/>
  <c r="M59" i="64"/>
  <c r="M44" i="64"/>
  <c r="M59" i="69"/>
  <c r="AC44" i="69"/>
  <c r="AC44" i="64"/>
  <c r="AC59" i="69"/>
  <c r="AC59" i="64"/>
  <c r="O59" i="64"/>
  <c r="O59" i="69"/>
  <c r="O44" i="69"/>
  <c r="O44" i="64"/>
  <c r="AB59" i="69"/>
  <c r="AB44" i="69"/>
  <c r="AB44" i="64"/>
  <c r="AB59" i="64"/>
  <c r="G59" i="64"/>
  <c r="G44" i="69"/>
  <c r="O10" i="69" s="1"/>
  <c r="G44" i="64"/>
  <c r="O10" i="64" s="1"/>
  <c r="G59" i="69"/>
  <c r="N44" i="61"/>
  <c r="J44" i="61"/>
  <c r="K44" i="61"/>
  <c r="L44" i="61"/>
  <c r="M44" i="61"/>
  <c r="D59" i="69"/>
  <c r="R15" i="69"/>
  <c r="D44" i="64"/>
  <c r="R15" i="64" s="1"/>
  <c r="D59" i="64"/>
  <c r="DM132" i="24"/>
  <c r="W59" i="64"/>
  <c r="W44" i="64"/>
  <c r="O27" i="64" s="1"/>
  <c r="W44" i="69"/>
  <c r="O27" i="69" s="1"/>
  <c r="W59" i="69"/>
  <c r="I44" i="64"/>
  <c r="I44" i="69"/>
  <c r="I59" i="69"/>
  <c r="I59" i="64"/>
  <c r="P59" i="64"/>
  <c r="P44" i="64"/>
  <c r="R22" i="64" s="1"/>
  <c r="P59" i="69"/>
  <c r="P44" i="69"/>
  <c r="R22" i="69" s="1"/>
  <c r="F59" i="64"/>
  <c r="F44" i="69"/>
  <c r="L15" i="69" s="1"/>
  <c r="F44" i="64"/>
  <c r="L15" i="64" s="1"/>
  <c r="F59" i="69"/>
  <c r="AA59" i="69"/>
  <c r="AA44" i="69"/>
  <c r="AA44" i="64"/>
  <c r="AA59" i="64"/>
  <c r="Y44" i="64"/>
  <c r="Y44" i="69"/>
  <c r="Y59" i="69"/>
  <c r="Y59" i="64"/>
  <c r="J59" i="69"/>
  <c r="J44" i="69"/>
  <c r="L22" i="69" s="1"/>
  <c r="E44" i="69"/>
  <c r="L10" i="69" s="1"/>
  <c r="E59" i="64"/>
  <c r="E59" i="69"/>
  <c r="E44" i="64"/>
  <c r="L10" i="64" s="1"/>
  <c r="J44" i="64"/>
  <c r="L22" i="64" s="1"/>
  <c r="J59" i="64"/>
  <c r="M44" i="60"/>
  <c r="P44" i="60"/>
  <c r="N44" i="60"/>
  <c r="O44" i="60"/>
  <c r="DQ35" i="25"/>
  <c r="A52" i="43"/>
  <c r="DB3" i="24"/>
  <c r="CY3" i="24"/>
  <c r="CY3" i="23" s="1"/>
  <c r="CY23" i="23" s="1"/>
  <c r="CY75" i="23" s="1"/>
  <c r="CY101" i="23" s="1"/>
  <c r="DM5" i="26"/>
  <c r="DM12" i="25"/>
  <c r="W71" i="32"/>
  <c r="BI4" i="28"/>
  <c r="CM2" i="26"/>
  <c r="CM2" i="28"/>
  <c r="CM2" i="27"/>
  <c r="CM2" i="25"/>
  <c r="CM2" i="23"/>
  <c r="EO4" i="26"/>
  <c r="ES4" i="26" s="1"/>
  <c r="AL36" i="25"/>
  <c r="AL38" i="25" s="1"/>
  <c r="CS35" i="25"/>
  <c r="CS38" i="25" s="1"/>
  <c r="AF47" i="24"/>
  <c r="AF46" i="24"/>
  <c r="AF48" i="24"/>
  <c r="AF49" i="24"/>
  <c r="AF50" i="24"/>
  <c r="AC71" i="32"/>
  <c r="DQ20" i="28"/>
  <c r="DV20" i="28" s="1"/>
  <c r="Y75" i="32"/>
  <c r="X75" i="32"/>
  <c r="R44" i="61"/>
  <c r="D63" i="24"/>
  <c r="D75" i="24" s="1"/>
  <c r="DM16" i="28"/>
  <c r="AG102" i="24"/>
  <c r="AG104" i="24" s="1"/>
  <c r="AG61" i="24"/>
  <c r="AG73" i="24" s="1"/>
  <c r="AO31" i="25"/>
  <c r="AO40" i="25" s="1"/>
  <c r="BI31" i="25"/>
  <c r="BI40" i="25" s="1"/>
  <c r="AP31" i="25"/>
  <c r="AP40" i="25" s="1"/>
  <c r="BJ31" i="25"/>
  <c r="BJ40" i="25" s="1"/>
  <c r="CU31" i="25"/>
  <c r="CU40" i="25" s="1"/>
  <c r="G22" i="15"/>
  <c r="AL13" i="24" s="1"/>
  <c r="AN13" i="24" s="1"/>
  <c r="C103" i="61"/>
  <c r="C101" i="61"/>
  <c r="C102" i="61"/>
  <c r="CN31" i="25"/>
  <c r="CN40" i="25" s="1"/>
  <c r="DN31" i="25"/>
  <c r="DN40" i="25" s="1"/>
  <c r="CT31" i="25"/>
  <c r="CT40" i="25" s="1"/>
  <c r="K75" i="22"/>
  <c r="EJ13" i="26"/>
  <c r="BK31" i="25"/>
  <c r="BK40" i="25" s="1"/>
  <c r="EK13" i="26"/>
  <c r="AM31" i="25"/>
  <c r="AM40" i="25" s="1"/>
  <c r="CO31" i="25"/>
  <c r="CO40" i="25" s="1"/>
  <c r="AK3" i="25"/>
  <c r="J79" i="32" s="1"/>
  <c r="J83" i="32" s="1"/>
  <c r="E109" i="32" s="1"/>
  <c r="E10" i="37" s="1"/>
  <c r="AQ31" i="25"/>
  <c r="AQ40" i="25" s="1"/>
  <c r="C102" i="60"/>
  <c r="C104" i="60"/>
  <c r="C103" i="60"/>
  <c r="G86" i="22"/>
  <c r="L75" i="22"/>
  <c r="G77" i="22"/>
  <c r="G85" i="22"/>
  <c r="G80" i="22"/>
  <c r="G78" i="22"/>
  <c r="G87" i="22"/>
  <c r="H84" i="22"/>
  <c r="G76" i="22"/>
  <c r="H87" i="22"/>
  <c r="E75" i="22"/>
  <c r="H88" i="22"/>
  <c r="EJ10" i="26"/>
  <c r="EJ12" i="26" s="1"/>
  <c r="G83" i="22"/>
  <c r="G75" i="22"/>
  <c r="H85" i="22"/>
  <c r="G84" i="22"/>
  <c r="DL3" i="25"/>
  <c r="DL35" i="25" s="1"/>
  <c r="DL38" i="25" s="1"/>
  <c r="DO3" i="25"/>
  <c r="DO35" i="25" s="1"/>
  <c r="DO38" i="25" s="1"/>
  <c r="DM35" i="25"/>
  <c r="DM38" i="25" s="1"/>
  <c r="DN3" i="25"/>
  <c r="DN35" i="25" s="1"/>
  <c r="DN38" i="25" s="1"/>
  <c r="DK3" i="25"/>
  <c r="DK35" i="25" s="1"/>
  <c r="DK38" i="25" s="1"/>
  <c r="DP3" i="25"/>
  <c r="DP35" i="25" s="1"/>
  <c r="DP38" i="25" s="1"/>
  <c r="G82" i="22"/>
  <c r="DL31" i="25"/>
  <c r="DL40" i="25" s="1"/>
  <c r="DZ4" i="25"/>
  <c r="DZ36" i="25" s="1"/>
  <c r="DZ38" i="25" s="1"/>
  <c r="EB4" i="25"/>
  <c r="EB36" i="25" s="1"/>
  <c r="EB38" i="25" s="1"/>
  <c r="DY4" i="25"/>
  <c r="DY36" i="25" s="1"/>
  <c r="DY38" i="25" s="1"/>
  <c r="EA4" i="25"/>
  <c r="EA36" i="25" s="1"/>
  <c r="EA38" i="25" s="1"/>
  <c r="EC4" i="25"/>
  <c r="EC36" i="25" s="1"/>
  <c r="EC38" i="25" s="1"/>
  <c r="DX4" i="25"/>
  <c r="DX36" i="25" s="1"/>
  <c r="DX38" i="25" s="1"/>
  <c r="DK31" i="25"/>
  <c r="DK40" i="25" s="1"/>
  <c r="DU29" i="24"/>
  <c r="DU31" i="24" s="1"/>
  <c r="DW29" i="24"/>
  <c r="B8" i="30"/>
  <c r="I5" i="30" s="1"/>
  <c r="DM31" i="25"/>
  <c r="DM40" i="25" s="1"/>
  <c r="DP31" i="25"/>
  <c r="DP40" i="25" s="1"/>
  <c r="D67" i="23"/>
  <c r="I80" i="23" s="1"/>
  <c r="D91" i="23"/>
  <c r="D86" i="23"/>
  <c r="I99" i="23" s="1"/>
  <c r="D87" i="23"/>
  <c r="DR29" i="24"/>
  <c r="DR31" i="24" s="1"/>
  <c r="DR31" i="25"/>
  <c r="DR40" i="25" s="1"/>
  <c r="DO31" i="25"/>
  <c r="DO40" i="25" s="1"/>
  <c r="D89" i="23"/>
  <c r="I102" i="23" s="1"/>
  <c r="DQ31" i="25"/>
  <c r="DQ40" i="25" s="1"/>
  <c r="DT4" i="25"/>
  <c r="DU4" i="25"/>
  <c r="AE80" i="32" s="1"/>
  <c r="AE83" i="32" s="1"/>
  <c r="E119" i="32" s="1"/>
  <c r="E20" i="37" s="1"/>
  <c r="L76" i="22"/>
  <c r="AN4" i="25"/>
  <c r="E76" i="22"/>
  <c r="M76" i="22" s="1"/>
  <c r="DL8" i="25"/>
  <c r="K70" i="32"/>
  <c r="EL4" i="26"/>
  <c r="DN6" i="28"/>
  <c r="DN9" i="25"/>
  <c r="DN11" i="25" s="1"/>
  <c r="DL6" i="28"/>
  <c r="DL9" i="25"/>
  <c r="DL11" i="25" s="1"/>
  <c r="DK9" i="25"/>
  <c r="DK11" i="25" s="1"/>
  <c r="DK6" i="28"/>
  <c r="DP6" i="28"/>
  <c r="DP9" i="25"/>
  <c r="DP11" i="25" s="1"/>
  <c r="DO6" i="28"/>
  <c r="DO9" i="25"/>
  <c r="DO11" i="25" s="1"/>
  <c r="DT16" i="28"/>
  <c r="DV16" i="28" s="1"/>
  <c r="DP16" i="28"/>
  <c r="DO16" i="28"/>
  <c r="DN16" i="28"/>
  <c r="DL16" i="28"/>
  <c r="DK16" i="28"/>
  <c r="R38" i="25"/>
  <c r="CG60" i="24"/>
  <c r="CQ6" i="26"/>
  <c r="CQ7" i="28" s="1"/>
  <c r="CR6" i="26"/>
  <c r="CR7" i="28" s="1"/>
  <c r="CR4" i="24"/>
  <c r="Q75" i="23"/>
  <c r="Q101" i="23" s="1"/>
  <c r="Q111" i="24"/>
  <c r="CG108" i="24"/>
  <c r="Q79" i="23"/>
  <c r="Q105" i="23" s="1"/>
  <c r="F21" i="28"/>
  <c r="F8" i="26" s="1"/>
  <c r="DR5" i="26"/>
  <c r="C58" i="47"/>
  <c r="H44" i="47" s="1"/>
  <c r="C60" i="43"/>
  <c r="J44" i="43" s="1"/>
  <c r="CC20" i="28"/>
  <c r="AA77" i="32" s="1"/>
  <c r="CW20" i="28"/>
  <c r="C59" i="43"/>
  <c r="I44" i="43" s="1"/>
  <c r="CW24" i="28"/>
  <c r="C58" i="43"/>
  <c r="H44" i="43" s="1"/>
  <c r="C61" i="43"/>
  <c r="K44" i="43" s="1"/>
  <c r="EK4" i="26"/>
  <c r="BH31" i="25"/>
  <c r="BH40" i="25" s="1"/>
  <c r="BG31" i="25"/>
  <c r="BG40" i="25" s="1"/>
  <c r="BF31" i="25"/>
  <c r="BF40" i="25" s="1"/>
  <c r="BC31" i="25"/>
  <c r="BC40" i="25" s="1"/>
  <c r="BE31" i="25"/>
  <c r="BE40" i="25" s="1"/>
  <c r="BD31" i="25"/>
  <c r="BD40" i="25" s="1"/>
  <c r="CB9" i="25"/>
  <c r="CB11" i="25" s="1"/>
  <c r="CB5" i="26" s="1"/>
  <c r="BU9" i="25"/>
  <c r="BU11" i="25" s="1"/>
  <c r="BU5" i="26" s="1"/>
  <c r="BV9" i="25"/>
  <c r="BV11" i="25" s="1"/>
  <c r="BV5" i="26" s="1"/>
  <c r="CA9" i="25"/>
  <c r="CA11" i="25" s="1"/>
  <c r="CA5" i="26" s="1"/>
  <c r="BW9" i="25"/>
  <c r="BW11" i="25" s="1"/>
  <c r="BW5" i="26" s="1"/>
  <c r="BX9" i="25"/>
  <c r="BX11" i="25" s="1"/>
  <c r="BX5" i="26" s="1"/>
  <c r="BY9" i="25"/>
  <c r="BY11" i="25" s="1"/>
  <c r="BY5" i="26" s="1"/>
  <c r="CC24" i="28"/>
  <c r="BZ9" i="25"/>
  <c r="BZ11" i="25" s="1"/>
  <c r="BZ5" i="26" s="1"/>
  <c r="BZ19" i="24"/>
  <c r="CA19" i="24"/>
  <c r="CB19" i="24"/>
  <c r="BY19" i="24"/>
  <c r="BU19" i="24"/>
  <c r="BX19" i="24"/>
  <c r="BV19" i="24"/>
  <c r="BW19" i="24"/>
  <c r="AR12" i="25"/>
  <c r="AR6" i="26" s="1"/>
  <c r="AR7" i="28" s="1"/>
  <c r="CD9" i="25"/>
  <c r="CD11" i="25" s="1"/>
  <c r="CD5" i="26" s="1"/>
  <c r="CD6" i="28"/>
  <c r="CE9" i="25"/>
  <c r="CE11" i="25" s="1"/>
  <c r="CE5" i="26" s="1"/>
  <c r="CF6" i="28"/>
  <c r="CF9" i="25"/>
  <c r="CF11" i="25" s="1"/>
  <c r="CF5" i="26" s="1"/>
  <c r="CD26" i="24"/>
  <c r="CE26" i="24"/>
  <c r="CF60" i="24"/>
  <c r="CF108" i="24"/>
  <c r="BB29" i="24"/>
  <c r="A55" i="43"/>
  <c r="A56" i="43"/>
  <c r="BM5" i="26"/>
  <c r="BB60" i="24"/>
  <c r="BL5" i="26"/>
  <c r="R19" i="28"/>
  <c r="R3" i="26" s="1"/>
  <c r="T3" i="26"/>
  <c r="BD123" i="24"/>
  <c r="R77" i="23"/>
  <c r="R103" i="23" s="1"/>
  <c r="Q77" i="23"/>
  <c r="Q103" i="23" s="1"/>
  <c r="R76" i="23"/>
  <c r="Q76" i="23"/>
  <c r="BD122" i="24"/>
  <c r="R73" i="23"/>
  <c r="Q73" i="23"/>
  <c r="R98" i="23"/>
  <c r="Q98" i="23"/>
  <c r="R63" i="24"/>
  <c r="AB75" i="32"/>
  <c r="CE16" i="28"/>
  <c r="CD16" i="28"/>
  <c r="CF16" i="28"/>
  <c r="G79" i="23"/>
  <c r="G105" i="23" s="1"/>
  <c r="R79" i="23"/>
  <c r="R105" i="23" s="1"/>
  <c r="F75" i="23"/>
  <c r="F101" i="23" s="1"/>
  <c r="R75" i="23"/>
  <c r="R101" i="23" s="1"/>
  <c r="CE24" i="28"/>
  <c r="BD19" i="24"/>
  <c r="CD24" i="28"/>
  <c r="CF24" i="28"/>
  <c r="BQ6" i="28"/>
  <c r="BQ9" i="25"/>
  <c r="BQ11" i="25" s="1"/>
  <c r="BQ5" i="26" s="1"/>
  <c r="BS6" i="28"/>
  <c r="BS9" i="25"/>
  <c r="BS11" i="25" s="1"/>
  <c r="BS5" i="26" s="1"/>
  <c r="BF9" i="25"/>
  <c r="BF11" i="25" s="1"/>
  <c r="AS9" i="25"/>
  <c r="AS11" i="25" s="1"/>
  <c r="AS5" i="26" s="1"/>
  <c r="AU9" i="25"/>
  <c r="AU11" i="25" s="1"/>
  <c r="AU5" i="26" s="1"/>
  <c r="BR6" i="28"/>
  <c r="BR9" i="25"/>
  <c r="BR11" i="25" s="1"/>
  <c r="BR5" i="26" s="1"/>
  <c r="BE9" i="25"/>
  <c r="BE11" i="25" s="1"/>
  <c r="BE5" i="26" s="1"/>
  <c r="AV9" i="25"/>
  <c r="AV11" i="25" s="1"/>
  <c r="AV5" i="26" s="1"/>
  <c r="BG9" i="25"/>
  <c r="BG11" i="25" s="1"/>
  <c r="BO6" i="28"/>
  <c r="BO9" i="25"/>
  <c r="BO11" i="25" s="1"/>
  <c r="BO5" i="26" s="1"/>
  <c r="AW9" i="25"/>
  <c r="AW11" i="25" s="1"/>
  <c r="AW5" i="26" s="1"/>
  <c r="AJ8" i="26"/>
  <c r="AJ10" i="26" s="1"/>
  <c r="BL6" i="28"/>
  <c r="BL9" i="25"/>
  <c r="BL11" i="25" s="1"/>
  <c r="AZ8" i="25"/>
  <c r="AY8" i="25"/>
  <c r="I78" i="32"/>
  <c r="BP9" i="25"/>
  <c r="BP11" i="25" s="1"/>
  <c r="BP5" i="26" s="1"/>
  <c r="BP6" i="28"/>
  <c r="BD9" i="25"/>
  <c r="BD11" i="25" s="1"/>
  <c r="BD5" i="26" s="1"/>
  <c r="AZ9" i="25"/>
  <c r="AZ11" i="25" s="1"/>
  <c r="AY9" i="25"/>
  <c r="AY11" i="25" s="1"/>
  <c r="AY6" i="28"/>
  <c r="BA108" i="24"/>
  <c r="BA60" i="24"/>
  <c r="BN6" i="28"/>
  <c r="BN9" i="25"/>
  <c r="BN11" i="25" s="1"/>
  <c r="BC9" i="25"/>
  <c r="BC11" i="25" s="1"/>
  <c r="BC5" i="26" s="1"/>
  <c r="AZ26" i="24"/>
  <c r="AY26" i="24"/>
  <c r="BM6" i="28"/>
  <c r="BM9" i="25"/>
  <c r="BM11" i="25" s="1"/>
  <c r="BH9" i="25"/>
  <c r="BH11" i="25" s="1"/>
  <c r="AT9" i="25"/>
  <c r="AT11" i="25" s="1"/>
  <c r="AT5" i="26" s="1"/>
  <c r="BA9" i="25"/>
  <c r="BA11" i="25" s="1"/>
  <c r="BA6" i="28"/>
  <c r="BC75" i="24"/>
  <c r="BC123" i="24"/>
  <c r="BC74" i="24"/>
  <c r="BC122" i="24"/>
  <c r="BC19" i="24"/>
  <c r="BD75" i="24"/>
  <c r="BD20" i="28"/>
  <c r="BD7" i="26" s="1"/>
  <c r="BC20" i="28"/>
  <c r="BC7" i="26" s="1"/>
  <c r="O75" i="23"/>
  <c r="O101" i="23" s="1"/>
  <c r="BE123" i="24"/>
  <c r="BE122" i="24"/>
  <c r="BE74" i="24"/>
  <c r="BE75" i="24"/>
  <c r="BI7" i="26"/>
  <c r="BH20" i="28"/>
  <c r="BH7" i="26" s="1"/>
  <c r="BE20" i="28"/>
  <c r="BE7" i="26" s="1"/>
  <c r="BG20" i="28"/>
  <c r="BG7" i="26" s="1"/>
  <c r="BF20" i="28"/>
  <c r="BF7" i="26" s="1"/>
  <c r="BB5" i="26"/>
  <c r="BE19" i="24"/>
  <c r="W76" i="32"/>
  <c r="BM19" i="24"/>
  <c r="BF19" i="24"/>
  <c r="BL19" i="24"/>
  <c r="BG19" i="24"/>
  <c r="BH19" i="24"/>
  <c r="BI5" i="26"/>
  <c r="CG3" i="23"/>
  <c r="CG24" i="23" s="1"/>
  <c r="CG76" i="23" s="1"/>
  <c r="BJ5" i="26"/>
  <c r="Z75" i="32"/>
  <c r="BP16" i="28"/>
  <c r="BO16" i="28"/>
  <c r="BS16" i="28"/>
  <c r="BR16" i="28"/>
  <c r="BQ16" i="28"/>
  <c r="BK3" i="23"/>
  <c r="BQ111" i="24"/>
  <c r="BN19" i="24"/>
  <c r="BK5" i="26"/>
  <c r="BN5" i="26"/>
  <c r="W37" i="24"/>
  <c r="Z76" i="32"/>
  <c r="AS19" i="24"/>
  <c r="CX20" i="28"/>
  <c r="CX7" i="26" s="1"/>
  <c r="CX10" i="26" s="1"/>
  <c r="BO19" i="24"/>
  <c r="BQ19" i="24"/>
  <c r="CP6" i="26"/>
  <c r="BP19" i="24"/>
  <c r="BR19" i="24"/>
  <c r="CG5" i="26"/>
  <c r="CN6" i="26"/>
  <c r="CN7" i="28" s="1"/>
  <c r="BT5" i="26"/>
  <c r="BS19" i="24"/>
  <c r="CO6" i="26"/>
  <c r="CO7" i="28" s="1"/>
  <c r="AY38" i="25"/>
  <c r="AZ38" i="25"/>
  <c r="BA38" i="25"/>
  <c r="AG23" i="25"/>
  <c r="AK12" i="25"/>
  <c r="AK6" i="26" s="1"/>
  <c r="AK7" i="28" s="1"/>
  <c r="E75" i="23"/>
  <c r="E101" i="23" s="1"/>
  <c r="AG22" i="25"/>
  <c r="AO12" i="25"/>
  <c r="AO6" i="26" s="1"/>
  <c r="AO7" i="28" s="1"/>
  <c r="AG25" i="25"/>
  <c r="BK30" i="27"/>
  <c r="V75" i="23"/>
  <c r="V101" i="23" s="1"/>
  <c r="AG24" i="25"/>
  <c r="AG20" i="25"/>
  <c r="AG107" i="24"/>
  <c r="AG109" i="24" s="1"/>
  <c r="AY24" i="28"/>
  <c r="BA24" i="28"/>
  <c r="F73" i="23"/>
  <c r="N75" i="23"/>
  <c r="N101" i="23" s="1"/>
  <c r="N98" i="23"/>
  <c r="D76" i="23"/>
  <c r="S79" i="23"/>
  <c r="S105" i="23" s="1"/>
  <c r="S77" i="23"/>
  <c r="S103" i="23" s="1"/>
  <c r="AX5" i="26"/>
  <c r="AM30" i="27"/>
  <c r="DQ12" i="25"/>
  <c r="DQ6" i="26" s="1"/>
  <c r="H76" i="23"/>
  <c r="BJ30" i="27"/>
  <c r="AN30" i="27"/>
  <c r="W107" i="24"/>
  <c r="V79" i="23"/>
  <c r="V105" i="23" s="1"/>
  <c r="P79" i="23"/>
  <c r="P105" i="23" s="1"/>
  <c r="EO7" i="26"/>
  <c r="EO10" i="26" s="1"/>
  <c r="W79" i="23"/>
  <c r="W105" i="23" s="1"/>
  <c r="AP5" i="26"/>
  <c r="W54" i="24"/>
  <c r="W55" i="24" s="1"/>
  <c r="J79" i="23"/>
  <c r="J105" i="23" s="1"/>
  <c r="N79" i="23"/>
  <c r="N105" i="23" s="1"/>
  <c r="W31" i="24"/>
  <c r="W85" i="24"/>
  <c r="W99" i="24" s="1"/>
  <c r="W102" i="24"/>
  <c r="W104" i="24" s="1"/>
  <c r="K76" i="23"/>
  <c r="AO30" i="27"/>
  <c r="AU19" i="24"/>
  <c r="D61" i="23"/>
  <c r="I74" i="23" s="1"/>
  <c r="AT19" i="24"/>
  <c r="AW19" i="24"/>
  <c r="AV19" i="24"/>
  <c r="BT20" i="28"/>
  <c r="CS20" i="28"/>
  <c r="J77" i="23"/>
  <c r="J103" i="23" s="1"/>
  <c r="S19" i="28"/>
  <c r="CG20" i="28"/>
  <c r="T77" i="23"/>
  <c r="T103" i="23" s="1"/>
  <c r="CT30" i="27"/>
  <c r="W73" i="23"/>
  <c r="CU20" i="28"/>
  <c r="CV20" i="28"/>
  <c r="G77" i="23"/>
  <c r="G103" i="23" s="1"/>
  <c r="BK20" i="28"/>
  <c r="BK7" i="26" s="1"/>
  <c r="W77" i="23"/>
  <c r="W103" i="23" s="1"/>
  <c r="BI30" i="27"/>
  <c r="E98" i="23"/>
  <c r="O98" i="23"/>
  <c r="K98" i="23"/>
  <c r="T98" i="23"/>
  <c r="O76" i="23"/>
  <c r="M76" i="23"/>
  <c r="E76" i="23"/>
  <c r="U76" i="23"/>
  <c r="S76" i="23"/>
  <c r="J76" i="23"/>
  <c r="G76" i="23"/>
  <c r="W76" i="23"/>
  <c r="N76" i="23"/>
  <c r="L76" i="23"/>
  <c r="F98" i="23"/>
  <c r="N38" i="25"/>
  <c r="T76" i="23"/>
  <c r="P76" i="23"/>
  <c r="AQ31" i="24"/>
  <c r="AF76" i="23"/>
  <c r="V76" i="23"/>
  <c r="F76" i="23"/>
  <c r="AQ5" i="26"/>
  <c r="AG37" i="24"/>
  <c r="CR30" i="27"/>
  <c r="L75" i="23"/>
  <c r="L101" i="23" s="1"/>
  <c r="AF73" i="23"/>
  <c r="D73" i="23"/>
  <c r="J73" i="23"/>
  <c r="U75" i="23"/>
  <c r="U101" i="23" s="1"/>
  <c r="M73" i="23"/>
  <c r="AG54" i="24"/>
  <c r="AG56" i="24" s="1"/>
  <c r="CX31" i="24"/>
  <c r="N73" i="23"/>
  <c r="U73" i="23"/>
  <c r="K75" i="23"/>
  <c r="K101" i="23" s="1"/>
  <c r="D31" i="24"/>
  <c r="E73" i="23"/>
  <c r="P75" i="23"/>
  <c r="P101" i="23" s="1"/>
  <c r="V73" i="23"/>
  <c r="K73" i="23"/>
  <c r="W75" i="23"/>
  <c r="W101" i="23" s="1"/>
  <c r="G73" i="23"/>
  <c r="AX12" i="25"/>
  <c r="T73" i="23"/>
  <c r="AG59" i="24"/>
  <c r="S73" i="23"/>
  <c r="T75" i="23"/>
  <c r="T101" i="23" s="1"/>
  <c r="G75" i="23"/>
  <c r="G101" i="23" s="1"/>
  <c r="L73" i="23"/>
  <c r="M75" i="23"/>
  <c r="M101" i="23" s="1"/>
  <c r="AG85" i="24"/>
  <c r="CS30" i="27"/>
  <c r="H73" i="23"/>
  <c r="J75" i="23"/>
  <c r="J101" i="23" s="1"/>
  <c r="S75" i="23"/>
  <c r="S101" i="23" s="1"/>
  <c r="AF75" i="23"/>
  <c r="AF101" i="23" s="1"/>
  <c r="D75" i="23"/>
  <c r="D101" i="23" s="1"/>
  <c r="O73" i="23"/>
  <c r="AF98" i="23"/>
  <c r="F20" i="28"/>
  <c r="F7" i="26" s="1"/>
  <c r="H75" i="23"/>
  <c r="H101" i="23" s="1"/>
  <c r="P73" i="23"/>
  <c r="D68" i="23"/>
  <c r="I81" i="23" s="1"/>
  <c r="I107" i="23" s="1"/>
  <c r="N77" i="23"/>
  <c r="N103" i="23" s="1"/>
  <c r="L77" i="23"/>
  <c r="L103" i="23" s="1"/>
  <c r="L79" i="23"/>
  <c r="L105" i="23" s="1"/>
  <c r="E79" i="23"/>
  <c r="E105" i="23" s="1"/>
  <c r="D65" i="23"/>
  <c r="I78" i="23" s="1"/>
  <c r="P77" i="23"/>
  <c r="P103" i="23" s="1"/>
  <c r="V38" i="25"/>
  <c r="AF77" i="23"/>
  <c r="AF103" i="23" s="1"/>
  <c r="V77" i="23"/>
  <c r="V103" i="23" s="1"/>
  <c r="F77" i="23"/>
  <c r="F103" i="23" s="1"/>
  <c r="D77" i="23"/>
  <c r="D103" i="23" s="1"/>
  <c r="F79" i="23"/>
  <c r="F105" i="23" s="1"/>
  <c r="D79" i="23"/>
  <c r="D105" i="23" s="1"/>
  <c r="T79" i="23"/>
  <c r="T105" i="23" s="1"/>
  <c r="W38" i="25"/>
  <c r="K77" i="23"/>
  <c r="K103" i="23" s="1"/>
  <c r="H77" i="23"/>
  <c r="H103" i="23" s="1"/>
  <c r="K79" i="23"/>
  <c r="K105" i="23" s="1"/>
  <c r="H79" i="23"/>
  <c r="H105" i="23" s="1"/>
  <c r="AF79" i="23"/>
  <c r="AF105" i="23" s="1"/>
  <c r="E82" i="22"/>
  <c r="M82" i="22" s="1"/>
  <c r="G81" i="22"/>
  <c r="C81" i="22"/>
  <c r="E81" i="22" s="1"/>
  <c r="M81" i="22" s="1"/>
  <c r="O77" i="23"/>
  <c r="O103" i="23" s="1"/>
  <c r="M77" i="23"/>
  <c r="M103" i="23" s="1"/>
  <c r="O79" i="23"/>
  <c r="O105" i="23" s="1"/>
  <c r="M79" i="23"/>
  <c r="M105" i="23" s="1"/>
  <c r="E77" i="23"/>
  <c r="E103" i="23" s="1"/>
  <c r="U77" i="23"/>
  <c r="U103" i="23" s="1"/>
  <c r="U79" i="23"/>
  <c r="U105" i="23" s="1"/>
  <c r="B13" i="30"/>
  <c r="G11" i="21" s="1"/>
  <c r="CW4" i="25" s="1"/>
  <c r="G6" i="30"/>
  <c r="E78" i="22"/>
  <c r="M78" i="22" s="1"/>
  <c r="U98" i="23"/>
  <c r="J98" i="23"/>
  <c r="B230" i="29"/>
  <c r="D230" i="29" s="1"/>
  <c r="D229" i="29"/>
  <c r="E220" i="29"/>
  <c r="DQ7" i="27"/>
  <c r="DQ8" i="27" s="1"/>
  <c r="DW7" i="27"/>
  <c r="DW8" i="27" s="1"/>
  <c r="DU7" i="27"/>
  <c r="DU8" i="27" s="1"/>
  <c r="DR7" i="27"/>
  <c r="DR8" i="27" s="1"/>
  <c r="N10" i="14"/>
  <c r="O10" i="14" s="1"/>
  <c r="Q10" i="14" s="1"/>
  <c r="AP24" i="28"/>
  <c r="AK11" i="27"/>
  <c r="J16" i="27"/>
  <c r="BB30" i="27"/>
  <c r="F18" i="27"/>
  <c r="AX24" i="28"/>
  <c r="AR24" i="28" s="1"/>
  <c r="BI24" i="28"/>
  <c r="BB24" i="28"/>
  <c r="AP13" i="27"/>
  <c r="G25" i="27"/>
  <c r="CT11" i="27"/>
  <c r="AI8" i="26"/>
  <c r="H78" i="32"/>
  <c r="BK13" i="27"/>
  <c r="BB12" i="25"/>
  <c r="BK31" i="24"/>
  <c r="J23" i="14"/>
  <c r="CR13" i="27"/>
  <c r="V16" i="27"/>
  <c r="DW24" i="28"/>
  <c r="CT13" i="27"/>
  <c r="O25" i="27"/>
  <c r="P18" i="27"/>
  <c r="D25" i="27"/>
  <c r="J18" i="27"/>
  <c r="CP13" i="27"/>
  <c r="J25" i="27"/>
  <c r="AH16" i="27"/>
  <c r="DR11" i="27"/>
  <c r="D16" i="27"/>
  <c r="BT11" i="27"/>
  <c r="AN11" i="27"/>
  <c r="AP12" i="25"/>
  <c r="B228" i="29"/>
  <c r="AM9" i="25"/>
  <c r="AM11" i="25" s="1"/>
  <c r="AM5" i="26" s="1"/>
  <c r="L70" i="32"/>
  <c r="AN5" i="28"/>
  <c r="AM6" i="28"/>
  <c r="L71" i="32" s="1"/>
  <c r="F38" i="13"/>
  <c r="AN13" i="27"/>
  <c r="BT24" i="28"/>
  <c r="AF25" i="27"/>
  <c r="P16" i="27"/>
  <c r="AI16" i="27"/>
  <c r="DR25" i="27"/>
  <c r="DR29" i="27" s="1"/>
  <c r="CP24" i="28"/>
  <c r="AK13" i="27"/>
  <c r="CX11" i="27"/>
  <c r="CO13" i="27"/>
  <c r="AX30" i="27"/>
  <c r="W25" i="27"/>
  <c r="CV13" i="27"/>
  <c r="AQ24" i="28"/>
  <c r="D18" i="27"/>
  <c r="CG11" i="27"/>
  <c r="AP30" i="27"/>
  <c r="W77" i="32"/>
  <c r="CT20" i="28"/>
  <c r="BJ20" i="28"/>
  <c r="BI13" i="27"/>
  <c r="D7" i="29"/>
  <c r="D5" i="29"/>
  <c r="C52" i="13"/>
  <c r="AH5" i="28"/>
  <c r="E46" i="13"/>
  <c r="E47" i="13" s="1"/>
  <c r="O37" i="8"/>
  <c r="O36" i="8"/>
  <c r="O35" i="8"/>
  <c r="O32" i="8"/>
  <c r="W32" i="8" s="1"/>
  <c r="Y32" i="8" s="1"/>
  <c r="O31" i="8"/>
  <c r="W31" i="8" s="1"/>
  <c r="Y31" i="8" s="1"/>
  <c r="CS24" i="28"/>
  <c r="CR24" i="28"/>
  <c r="E25" i="27"/>
  <c r="CU24" i="28"/>
  <c r="BI11" i="27"/>
  <c r="T16" i="27"/>
  <c r="AI18" i="27"/>
  <c r="DQ13" i="27"/>
  <c r="CP30" i="27"/>
  <c r="CX13" i="27"/>
  <c r="CO24" i="28"/>
  <c r="T25" i="27"/>
  <c r="AQ13" i="27"/>
  <c r="CG13" i="27"/>
  <c r="P25" i="27"/>
  <c r="AM3" i="24"/>
  <c r="L73" i="32"/>
  <c r="P19" i="28"/>
  <c r="P3" i="26" s="1"/>
  <c r="H77" i="32"/>
  <c r="AI7" i="26"/>
  <c r="DR16" i="28"/>
  <c r="AC75" i="32"/>
  <c r="DR6" i="27"/>
  <c r="DQ6" i="27"/>
  <c r="DW6" i="27"/>
  <c r="DU6" i="27"/>
  <c r="W35" i="8"/>
  <c r="Y35" i="8" s="1"/>
  <c r="O30" i="8"/>
  <c r="W29" i="8" s="1"/>
  <c r="AL11" i="27"/>
  <c r="AQ30" i="27"/>
  <c r="AL24" i="28"/>
  <c r="AL13" i="27"/>
  <c r="T18" i="27"/>
  <c r="H16" i="27"/>
  <c r="G77" i="10"/>
  <c r="H77" i="10" s="1"/>
  <c r="J77" i="10" s="1"/>
  <c r="BB13" i="27"/>
  <c r="AK24" i="28"/>
  <c r="AI25" i="27"/>
  <c r="K16" i="27"/>
  <c r="DU11" i="27"/>
  <c r="CO30" i="27"/>
  <c r="CV24" i="28"/>
  <c r="AG16" i="27"/>
  <c r="DQ11" i="27"/>
  <c r="AH17" i="25"/>
  <c r="DU12" i="25"/>
  <c r="DU6" i="26" s="1"/>
  <c r="DU7" i="28" s="1"/>
  <c r="W36" i="8"/>
  <c r="Y36" i="8" s="1"/>
  <c r="M25" i="27"/>
  <c r="L16" i="27"/>
  <c r="CT24" i="28"/>
  <c r="BT13" i="27"/>
  <c r="AG25" i="27"/>
  <c r="U16" i="27"/>
  <c r="AN24" i="28"/>
  <c r="DU25" i="27"/>
  <c r="DU29" i="27" s="1"/>
  <c r="H18" i="27"/>
  <c r="CQ30" i="27"/>
  <c r="AL30" i="27"/>
  <c r="AK30" i="27"/>
  <c r="CV30" i="27"/>
  <c r="CX30" i="27"/>
  <c r="AJ25" i="27"/>
  <c r="BJ24" i="28"/>
  <c r="CS13" i="27"/>
  <c r="AM11" i="27"/>
  <c r="M16" i="27"/>
  <c r="CU11" i="27"/>
  <c r="CG30" i="27"/>
  <c r="K18" i="27"/>
  <c r="AG12" i="25"/>
  <c r="AG6" i="26" s="1"/>
  <c r="AG17" i="26" s="1"/>
  <c r="AG116" i="28" s="1"/>
  <c r="AQ12" i="25"/>
  <c r="F16" i="14"/>
  <c r="M16" i="14"/>
  <c r="M23" i="14" s="1"/>
  <c r="DQ10" i="28" s="1"/>
  <c r="DQ69" i="27" s="1"/>
  <c r="DQ46" i="27" s="1"/>
  <c r="F9" i="14"/>
  <c r="C23" i="14"/>
  <c r="F14" i="14"/>
  <c r="L18" i="27"/>
  <c r="F25" i="27"/>
  <c r="AM24" i="28"/>
  <c r="CQ13" i="27"/>
  <c r="DW29" i="27"/>
  <c r="O18" i="27"/>
  <c r="AJ16" i="27"/>
  <c r="L25" i="27"/>
  <c r="N16" i="27"/>
  <c r="DQ25" i="27"/>
  <c r="DQ29" i="27" s="1"/>
  <c r="U25" i="27"/>
  <c r="AX13" i="27"/>
  <c r="W16" i="27"/>
  <c r="M18" i="27"/>
  <c r="CU13" i="27"/>
  <c r="AH25" i="27"/>
  <c r="DW13" i="27"/>
  <c r="AG18" i="27"/>
  <c r="AH5" i="24"/>
  <c r="W34" i="8"/>
  <c r="Y34" i="8" s="1"/>
  <c r="Z34" i="8" s="1"/>
  <c r="N17" i="14"/>
  <c r="O33" i="8"/>
  <c r="W33" i="8" s="1"/>
  <c r="Y33" i="8" s="1"/>
  <c r="AO24" i="28"/>
  <c r="BK24" i="28"/>
  <c r="AJ18" i="27"/>
  <c r="S16" i="27"/>
  <c r="DU13" i="27"/>
  <c r="N18" i="27"/>
  <c r="CG24" i="28"/>
  <c r="CN24" i="28"/>
  <c r="S25" i="27"/>
  <c r="W18" i="27"/>
  <c r="CU30" i="27"/>
  <c r="CS11" i="27"/>
  <c r="AH72" i="32"/>
  <c r="CG31" i="24"/>
  <c r="D54" i="13"/>
  <c r="C54" i="13"/>
  <c r="F54" i="13"/>
  <c r="E54" i="13"/>
  <c r="J4" i="25"/>
  <c r="J36" i="25" s="1"/>
  <c r="J38" i="25" s="1"/>
  <c r="T36" i="25"/>
  <c r="T38" i="25" s="1"/>
  <c r="L4" i="25"/>
  <c r="L36" i="25" s="1"/>
  <c r="L38" i="25" s="1"/>
  <c r="E4" i="25"/>
  <c r="E36" i="25" s="1"/>
  <c r="E38" i="25" s="1"/>
  <c r="O36" i="25"/>
  <c r="O38" i="25" s="1"/>
  <c r="G4" i="25"/>
  <c r="G36" i="25" s="1"/>
  <c r="G38" i="25" s="1"/>
  <c r="P36" i="25"/>
  <c r="P38" i="25" s="1"/>
  <c r="H4" i="25"/>
  <c r="H36" i="25" s="1"/>
  <c r="H38" i="25" s="1"/>
  <c r="K4" i="25"/>
  <c r="K36" i="25" s="1"/>
  <c r="K38" i="25" s="1"/>
  <c r="F4" i="25"/>
  <c r="F36" i="25" s="1"/>
  <c r="F38" i="25" s="1"/>
  <c r="U36" i="25"/>
  <c r="U38" i="25" s="1"/>
  <c r="S4" i="25"/>
  <c r="I4" i="25" s="1"/>
  <c r="I36" i="25" s="1"/>
  <c r="I38" i="25" s="1"/>
  <c r="M4" i="25"/>
  <c r="M36" i="25" s="1"/>
  <c r="M38" i="25" s="1"/>
  <c r="CS62" i="24"/>
  <c r="CS63" i="24"/>
  <c r="CS75" i="24" s="1"/>
  <c r="AF62" i="24"/>
  <c r="AF63" i="24"/>
  <c r="AF75" i="24" s="1"/>
  <c r="N62" i="24"/>
  <c r="N63" i="24"/>
  <c r="E62" i="24"/>
  <c r="E63" i="24"/>
  <c r="T56" i="24"/>
  <c r="T55" i="24"/>
  <c r="T104" i="24"/>
  <c r="T103" i="24"/>
  <c r="J104" i="24"/>
  <c r="J103" i="24"/>
  <c r="AM62" i="24"/>
  <c r="AM63" i="24"/>
  <c r="AM75" i="24" s="1"/>
  <c r="W62" i="24"/>
  <c r="W63" i="24"/>
  <c r="W75" i="24" s="1"/>
  <c r="M62" i="24"/>
  <c r="M63" i="24"/>
  <c r="D62" i="24"/>
  <c r="D74" i="24" s="1"/>
  <c r="S104" i="24"/>
  <c r="S103" i="24"/>
  <c r="H104" i="24"/>
  <c r="H103" i="24"/>
  <c r="K49" i="24"/>
  <c r="K46" i="24"/>
  <c r="K50" i="24"/>
  <c r="K48" i="24"/>
  <c r="K47" i="24"/>
  <c r="P110" i="24"/>
  <c r="P111" i="24"/>
  <c r="G110" i="24"/>
  <c r="G111" i="24"/>
  <c r="P99" i="24"/>
  <c r="P97" i="24"/>
  <c r="P95" i="24"/>
  <c r="P98" i="24"/>
  <c r="P94" i="24"/>
  <c r="P96" i="24"/>
  <c r="L103" i="24"/>
  <c r="L104" i="24"/>
  <c r="G99" i="24"/>
  <c r="G97" i="24"/>
  <c r="G95" i="24"/>
  <c r="G98" i="24"/>
  <c r="G96" i="24"/>
  <c r="G94" i="24"/>
  <c r="O49" i="24"/>
  <c r="O50" i="24"/>
  <c r="O48" i="24"/>
  <c r="O46" i="24"/>
  <c r="O47" i="24"/>
  <c r="AO63" i="24"/>
  <c r="AO75" i="24" s="1"/>
  <c r="AO62" i="24"/>
  <c r="AO74" i="24" s="1"/>
  <c r="AG63" i="24"/>
  <c r="AG75" i="24" s="1"/>
  <c r="AG62" i="24"/>
  <c r="O63" i="24"/>
  <c r="O62" i="24"/>
  <c r="F63" i="24"/>
  <c r="F62" i="24"/>
  <c r="U56" i="24"/>
  <c r="U55" i="24"/>
  <c r="U104" i="24"/>
  <c r="U103" i="24"/>
  <c r="K104" i="24"/>
  <c r="K103" i="24"/>
  <c r="U49" i="24"/>
  <c r="U47" i="24"/>
  <c r="U46" i="24"/>
  <c r="U50" i="24"/>
  <c r="U48" i="24"/>
  <c r="CS110" i="24"/>
  <c r="CS122" i="24" s="1"/>
  <c r="CS111" i="24"/>
  <c r="CS123" i="24" s="1"/>
  <c r="AF110" i="24"/>
  <c r="AF122" i="24" s="1"/>
  <c r="AF111" i="24"/>
  <c r="AF123" i="24" s="1"/>
  <c r="N110" i="24"/>
  <c r="N111" i="24"/>
  <c r="E110" i="24"/>
  <c r="E111" i="24"/>
  <c r="AF98" i="24"/>
  <c r="AF96" i="24"/>
  <c r="AF94" i="24"/>
  <c r="AF99" i="24"/>
  <c r="AF97" i="24"/>
  <c r="AF95" i="24"/>
  <c r="N98" i="24"/>
  <c r="N96" i="24"/>
  <c r="N94" i="24"/>
  <c r="N99" i="24"/>
  <c r="N97" i="24"/>
  <c r="N95" i="24"/>
  <c r="J56" i="24"/>
  <c r="J55" i="24"/>
  <c r="E98" i="24"/>
  <c r="E96" i="24"/>
  <c r="E94" i="24"/>
  <c r="E99" i="24"/>
  <c r="E97" i="24"/>
  <c r="E95" i="24"/>
  <c r="L49" i="24"/>
  <c r="L47" i="24"/>
  <c r="L50" i="24"/>
  <c r="L48" i="24"/>
  <c r="L46" i="24"/>
  <c r="AM111" i="24"/>
  <c r="AM123" i="24" s="1"/>
  <c r="AM110" i="24"/>
  <c r="AM122" i="24" s="1"/>
  <c r="M111" i="24"/>
  <c r="M110" i="24"/>
  <c r="D111" i="24"/>
  <c r="D123" i="24" s="1"/>
  <c r="D110" i="24"/>
  <c r="D122" i="24" s="1"/>
  <c r="M50" i="24"/>
  <c r="M48" i="24"/>
  <c r="M49" i="24"/>
  <c r="M47" i="24"/>
  <c r="M46" i="24"/>
  <c r="H98" i="24"/>
  <c r="H97" i="24"/>
  <c r="H99" i="24"/>
  <c r="H95" i="24"/>
  <c r="H94" i="24"/>
  <c r="H96" i="24"/>
  <c r="D104" i="24"/>
  <c r="D103" i="24"/>
  <c r="BI63" i="24"/>
  <c r="BI75" i="24" s="1"/>
  <c r="BI62" i="24"/>
  <c r="BI74" i="24" s="1"/>
  <c r="V63" i="24"/>
  <c r="V62" i="24"/>
  <c r="L63" i="24"/>
  <c r="L62" i="24"/>
  <c r="V103" i="24"/>
  <c r="V104" i="24"/>
  <c r="P55" i="24"/>
  <c r="P56" i="24"/>
  <c r="G55" i="24"/>
  <c r="G56" i="24"/>
  <c r="AO110" i="24"/>
  <c r="AO122" i="24" s="1"/>
  <c r="AO111" i="24"/>
  <c r="AO123" i="24" s="1"/>
  <c r="AG111" i="24"/>
  <c r="AG123" i="24" s="1"/>
  <c r="AG110" i="24"/>
  <c r="AG122" i="24" s="1"/>
  <c r="O110" i="24"/>
  <c r="O111" i="24"/>
  <c r="F111" i="24"/>
  <c r="F110" i="24"/>
  <c r="O99" i="24"/>
  <c r="O97" i="24"/>
  <c r="O95" i="24"/>
  <c r="O98" i="24"/>
  <c r="O94" i="24"/>
  <c r="O96" i="24"/>
  <c r="K56" i="24"/>
  <c r="K55" i="24"/>
  <c r="F99" i="24"/>
  <c r="F97" i="24"/>
  <c r="F94" i="24"/>
  <c r="F98" i="24"/>
  <c r="F96" i="24"/>
  <c r="F95" i="24"/>
  <c r="AQ3" i="23"/>
  <c r="CS29" i="23"/>
  <c r="CS28" i="23"/>
  <c r="CS21" i="23"/>
  <c r="CS73" i="23" s="1"/>
  <c r="CS23" i="23"/>
  <c r="CS75" i="23" s="1"/>
  <c r="CS101" i="23" s="1"/>
  <c r="CS22" i="23"/>
  <c r="CS24" i="23"/>
  <c r="CS76" i="23" s="1"/>
  <c r="CS27" i="23"/>
  <c r="CS79" i="23" s="1"/>
  <c r="CS105" i="23" s="1"/>
  <c r="CS26" i="23"/>
  <c r="CS25" i="23"/>
  <c r="CS77" i="23" s="1"/>
  <c r="CS103" i="23" s="1"/>
  <c r="CS20" i="23"/>
  <c r="CS72" i="23" s="1"/>
  <c r="CN27" i="23"/>
  <c r="CN79" i="23" s="1"/>
  <c r="CN105" i="23" s="1"/>
  <c r="CN26" i="23"/>
  <c r="CN20" i="23"/>
  <c r="CN72" i="23" s="1"/>
  <c r="CN98" i="23" s="1"/>
  <c r="CN29" i="23"/>
  <c r="CN28" i="23"/>
  <c r="CN21" i="23"/>
  <c r="CN73" i="23" s="1"/>
  <c r="CN25" i="23"/>
  <c r="CN77" i="23" s="1"/>
  <c r="CN103" i="23" s="1"/>
  <c r="CN23" i="23"/>
  <c r="CN75" i="23" s="1"/>
  <c r="CN101" i="23" s="1"/>
  <c r="CN24" i="23"/>
  <c r="CN76" i="23" s="1"/>
  <c r="CN22" i="23"/>
  <c r="N50" i="24"/>
  <c r="N48" i="24"/>
  <c r="N46" i="24"/>
  <c r="N49" i="24"/>
  <c r="N47" i="24"/>
  <c r="T63" i="24"/>
  <c r="T62" i="24"/>
  <c r="J63" i="24"/>
  <c r="J62" i="24"/>
  <c r="AF56" i="24"/>
  <c r="AF55" i="24"/>
  <c r="AF104" i="24"/>
  <c r="AF103" i="24"/>
  <c r="N56" i="24"/>
  <c r="N55" i="24"/>
  <c r="N104" i="24"/>
  <c r="N103" i="24"/>
  <c r="E56" i="24"/>
  <c r="E55" i="24"/>
  <c r="E104" i="24"/>
  <c r="E103" i="24"/>
  <c r="S56" i="24"/>
  <c r="S55" i="24"/>
  <c r="F49" i="24"/>
  <c r="F47" i="24"/>
  <c r="F50" i="24"/>
  <c r="F48" i="24"/>
  <c r="F46" i="24"/>
  <c r="CN62" i="24"/>
  <c r="CN63" i="24"/>
  <c r="CN75" i="24" s="1"/>
  <c r="AI62" i="24"/>
  <c r="AI63" i="24"/>
  <c r="AI75" i="24" s="1"/>
  <c r="S62" i="24"/>
  <c r="S63" i="24"/>
  <c r="H62" i="24"/>
  <c r="H63" i="24"/>
  <c r="S98" i="24"/>
  <c r="S97" i="24"/>
  <c r="S94" i="24"/>
  <c r="S96" i="24"/>
  <c r="S99" i="24"/>
  <c r="S95" i="24"/>
  <c r="M98" i="24"/>
  <c r="M99" i="24"/>
  <c r="M96" i="24"/>
  <c r="M97" i="24"/>
  <c r="M95" i="24"/>
  <c r="M94" i="24"/>
  <c r="M104" i="24"/>
  <c r="M103" i="24"/>
  <c r="H50" i="24"/>
  <c r="H48" i="24"/>
  <c r="H47" i="24"/>
  <c r="H49" i="24"/>
  <c r="H46" i="24"/>
  <c r="BI110" i="24"/>
  <c r="BI122" i="24" s="1"/>
  <c r="BI111" i="24"/>
  <c r="BI123" i="24" s="1"/>
  <c r="V110" i="24"/>
  <c r="V111" i="24"/>
  <c r="L111" i="24"/>
  <c r="L110" i="24"/>
  <c r="V55" i="24"/>
  <c r="V56" i="24"/>
  <c r="P103" i="24"/>
  <c r="P104" i="24"/>
  <c r="L55" i="24"/>
  <c r="L56" i="24"/>
  <c r="G103" i="24"/>
  <c r="G104" i="24"/>
  <c r="DQ63" i="24"/>
  <c r="DQ75" i="24" s="1"/>
  <c r="DQ62" i="24"/>
  <c r="DQ74" i="24" s="1"/>
  <c r="AK63" i="24"/>
  <c r="AK75" i="24" s="1"/>
  <c r="AK62" i="24"/>
  <c r="AK74" i="24" s="1"/>
  <c r="U63" i="24"/>
  <c r="U62" i="24"/>
  <c r="K63" i="24"/>
  <c r="K62" i="24"/>
  <c r="O104" i="24"/>
  <c r="O103" i="24"/>
  <c r="F56" i="24"/>
  <c r="F55" i="24"/>
  <c r="F104" i="24"/>
  <c r="F103" i="24"/>
  <c r="V7" i="26"/>
  <c r="U20" i="28"/>
  <c r="K20" i="28"/>
  <c r="K7" i="26" s="1"/>
  <c r="T20" i="28"/>
  <c r="H20" i="28"/>
  <c r="H7" i="26" s="1"/>
  <c r="V4" i="24"/>
  <c r="U11" i="28"/>
  <c r="T11" i="28"/>
  <c r="D56" i="24"/>
  <c r="G49" i="24"/>
  <c r="G47" i="24"/>
  <c r="G50" i="24"/>
  <c r="G48" i="24"/>
  <c r="G46" i="24"/>
  <c r="T111" i="24"/>
  <c r="T110" i="24"/>
  <c r="J110" i="24"/>
  <c r="J111" i="24"/>
  <c r="T98" i="24"/>
  <c r="T96" i="24"/>
  <c r="T94" i="24"/>
  <c r="T99" i="24"/>
  <c r="T95" i="24"/>
  <c r="T97" i="24"/>
  <c r="J98" i="24"/>
  <c r="J96" i="24"/>
  <c r="J94" i="24"/>
  <c r="J99" i="24"/>
  <c r="J95" i="24"/>
  <c r="J97" i="24"/>
  <c r="CN111" i="24"/>
  <c r="CN123" i="24" s="1"/>
  <c r="CN110" i="24"/>
  <c r="AI111" i="24"/>
  <c r="AI123" i="24" s="1"/>
  <c r="AI110" i="24"/>
  <c r="S111" i="24"/>
  <c r="S110" i="24"/>
  <c r="H111" i="24"/>
  <c r="H110" i="24"/>
  <c r="S50" i="24"/>
  <c r="S48" i="24"/>
  <c r="S47" i="24"/>
  <c r="S49" i="24"/>
  <c r="S46" i="24"/>
  <c r="D98" i="24"/>
  <c r="D95" i="24"/>
  <c r="D94" i="24"/>
  <c r="D99" i="24"/>
  <c r="D97" i="24"/>
  <c r="D96" i="24"/>
  <c r="V8" i="26"/>
  <c r="U21" i="28"/>
  <c r="T21" i="28"/>
  <c r="P49" i="24"/>
  <c r="P47" i="24"/>
  <c r="P50" i="24"/>
  <c r="P48" i="24"/>
  <c r="P46" i="24"/>
  <c r="P63" i="24"/>
  <c r="P62" i="24"/>
  <c r="G63" i="24"/>
  <c r="G62" i="24"/>
  <c r="V99" i="24"/>
  <c r="V97" i="24"/>
  <c r="V95" i="24"/>
  <c r="V98" i="24"/>
  <c r="V94" i="24"/>
  <c r="V96" i="24"/>
  <c r="L99" i="24"/>
  <c r="L97" i="24"/>
  <c r="L95" i="24"/>
  <c r="L94" i="24"/>
  <c r="L96" i="24"/>
  <c r="L98" i="24"/>
  <c r="DQ110" i="24"/>
  <c r="DQ111" i="24"/>
  <c r="DQ123" i="24" s="1"/>
  <c r="AK110" i="24"/>
  <c r="AK122" i="24" s="1"/>
  <c r="AK111" i="24"/>
  <c r="AK123" i="24" s="1"/>
  <c r="U110" i="24"/>
  <c r="U111" i="24"/>
  <c r="K110" i="24"/>
  <c r="K111" i="24"/>
  <c r="U99" i="24"/>
  <c r="U97" i="24"/>
  <c r="U96" i="24"/>
  <c r="U95" i="24"/>
  <c r="U98" i="24"/>
  <c r="U94" i="24"/>
  <c r="O56" i="24"/>
  <c r="O55" i="24"/>
  <c r="K99" i="24"/>
  <c r="K97" i="24"/>
  <c r="K94" i="24"/>
  <c r="K96" i="24"/>
  <c r="K98" i="24"/>
  <c r="K95" i="24"/>
  <c r="AK23" i="23"/>
  <c r="AK75" i="23" s="1"/>
  <c r="AK101" i="23" s="1"/>
  <c r="AK22" i="23"/>
  <c r="AK25" i="23"/>
  <c r="AK77" i="23" s="1"/>
  <c r="AK103" i="23" s="1"/>
  <c r="AK24" i="23"/>
  <c r="AK76" i="23" s="1"/>
  <c r="AK26" i="23"/>
  <c r="AK20" i="23"/>
  <c r="AK72" i="23" s="1"/>
  <c r="AK28" i="23"/>
  <c r="AK27" i="23"/>
  <c r="AK79" i="23" s="1"/>
  <c r="AK105" i="23" s="1"/>
  <c r="AK29" i="23"/>
  <c r="AK21" i="23"/>
  <c r="AK73" i="23" s="1"/>
  <c r="V8" i="25"/>
  <c r="J4" i="28"/>
  <c r="J8" i="25" s="1"/>
  <c r="U4" i="28"/>
  <c r="I4" i="28" s="1"/>
  <c r="I8" i="25" s="1"/>
  <c r="M4" i="28"/>
  <c r="M8" i="25" s="1"/>
  <c r="T4" i="28"/>
  <c r="R4" i="28" s="1"/>
  <c r="R8" i="25" s="1"/>
  <c r="L4" i="28"/>
  <c r="L8" i="25" s="1"/>
  <c r="EL7" i="26"/>
  <c r="EL13" i="26" s="1"/>
  <c r="EK10" i="26"/>
  <c r="W98" i="23"/>
  <c r="M98" i="23"/>
  <c r="D98" i="23"/>
  <c r="V98" i="23"/>
  <c r="L98" i="23"/>
  <c r="S98" i="23"/>
  <c r="H98" i="23"/>
  <c r="P98" i="23"/>
  <c r="G98" i="23"/>
  <c r="H86" i="22"/>
  <c r="M86" i="22"/>
  <c r="M83" i="22"/>
  <c r="H83" i="22"/>
  <c r="M75" i="22"/>
  <c r="H75" i="22"/>
  <c r="EN13" i="26"/>
  <c r="EN10" i="26"/>
  <c r="EN12" i="26" s="1"/>
  <c r="ER7" i="26"/>
  <c r="H15" i="22"/>
  <c r="E50" i="22"/>
  <c r="EX14" i="26" s="1"/>
  <c r="EV14" i="26" s="1"/>
  <c r="M80" i="22"/>
  <c r="H80" i="22"/>
  <c r="CO38" i="25"/>
  <c r="G90" i="22"/>
  <c r="L90" i="22"/>
  <c r="M89" i="22"/>
  <c r="H89" i="22"/>
  <c r="M79" i="22"/>
  <c r="H79" i="22"/>
  <c r="E90" i="22"/>
  <c r="M77" i="22"/>
  <c r="H77" i="22"/>
  <c r="AO38" i="25"/>
  <c r="X80" i="24" l="1"/>
  <c r="EB12" i="27"/>
  <c r="DV111" i="24"/>
  <c r="DV123" i="24" s="1"/>
  <c r="DY12" i="27"/>
  <c r="AF18" i="27"/>
  <c r="DS29" i="27"/>
  <c r="E18" i="27"/>
  <c r="DZ12" i="27"/>
  <c r="ED12" i="27"/>
  <c r="DT29" i="27"/>
  <c r="DV63" i="24"/>
  <c r="DV75" i="24" s="1"/>
  <c r="DV7" i="26"/>
  <c r="DV10" i="26" s="1"/>
  <c r="DV22" i="28"/>
  <c r="DA3" i="25"/>
  <c r="DA35" i="25" s="1"/>
  <c r="L15" i="13"/>
  <c r="L9" i="13"/>
  <c r="DV17" i="28"/>
  <c r="DX12" i="27"/>
  <c r="DV15" i="24"/>
  <c r="DS111" i="24"/>
  <c r="DS123" i="24" s="1"/>
  <c r="DV5" i="25"/>
  <c r="DV37" i="25" s="1"/>
  <c r="BJ3" i="23"/>
  <c r="BJ21" i="23" s="1"/>
  <c r="BJ73" i="23" s="1"/>
  <c r="Z80" i="24"/>
  <c r="EC12" i="27"/>
  <c r="EA26" i="23"/>
  <c r="EA24" i="23"/>
  <c r="EA76" i="23" s="1"/>
  <c r="EA28" i="23"/>
  <c r="EA80" i="23" s="1"/>
  <c r="EA23" i="23"/>
  <c r="EA75" i="23" s="1"/>
  <c r="EA101" i="23" s="1"/>
  <c r="EA29" i="23"/>
  <c r="EA81" i="23" s="1"/>
  <c r="EA107" i="23" s="1"/>
  <c r="EA21" i="23"/>
  <c r="EA73" i="23" s="1"/>
  <c r="EA99" i="23" s="1"/>
  <c r="EA22" i="23"/>
  <c r="EA74" i="23" s="1"/>
  <c r="EA100" i="23" s="1"/>
  <c r="EA27" i="23"/>
  <c r="EA79" i="23" s="1"/>
  <c r="EA105" i="23" s="1"/>
  <c r="EA25" i="23"/>
  <c r="EA77" i="23" s="1"/>
  <c r="EA103" i="23" s="1"/>
  <c r="EA20" i="23"/>
  <c r="EA72" i="23" s="1"/>
  <c r="EA98" i="23" s="1"/>
  <c r="I100" i="23"/>
  <c r="DZ24" i="23"/>
  <c r="DZ76" i="23" s="1"/>
  <c r="DZ25" i="23"/>
  <c r="DZ77" i="23" s="1"/>
  <c r="DZ103" i="23" s="1"/>
  <c r="DZ29" i="23"/>
  <c r="DZ22" i="23"/>
  <c r="DZ27" i="23"/>
  <c r="DZ79" i="23" s="1"/>
  <c r="DZ105" i="23" s="1"/>
  <c r="DZ21" i="23"/>
  <c r="DZ73" i="23" s="1"/>
  <c r="DZ28" i="23"/>
  <c r="DZ26" i="23"/>
  <c r="DZ78" i="23" s="1"/>
  <c r="DZ104" i="23" s="1"/>
  <c r="DZ23" i="23"/>
  <c r="DZ75" i="23" s="1"/>
  <c r="DZ101" i="23" s="1"/>
  <c r="DZ20" i="23"/>
  <c r="DZ72" i="23" s="1"/>
  <c r="DZ98" i="23" s="1"/>
  <c r="CZ3" i="25"/>
  <c r="CZ35" i="25" s="1"/>
  <c r="CZ38" i="25" s="1"/>
  <c r="DY25" i="23"/>
  <c r="DY77" i="23" s="1"/>
  <c r="DY103" i="23" s="1"/>
  <c r="DY29" i="23"/>
  <c r="DY81" i="23" s="1"/>
  <c r="DY107" i="23" s="1"/>
  <c r="DY26" i="23"/>
  <c r="DY78" i="23" s="1"/>
  <c r="DY104" i="23" s="1"/>
  <c r="DY24" i="23"/>
  <c r="DY76" i="23" s="1"/>
  <c r="DY28" i="23"/>
  <c r="DY20" i="23"/>
  <c r="DY72" i="23" s="1"/>
  <c r="DY98" i="23" s="1"/>
  <c r="DY27" i="23"/>
  <c r="DY79" i="23" s="1"/>
  <c r="DY105" i="23" s="1"/>
  <c r="DY21" i="23"/>
  <c r="DY73" i="23" s="1"/>
  <c r="DY23" i="23"/>
  <c r="DY75" i="23" s="1"/>
  <c r="DY101" i="23" s="1"/>
  <c r="DY22" i="23"/>
  <c r="G16" i="27"/>
  <c r="DX25" i="23"/>
  <c r="DX77" i="23" s="1"/>
  <c r="DX103" i="23" s="1"/>
  <c r="DX22" i="23"/>
  <c r="DX74" i="23" s="1"/>
  <c r="DX100" i="23" s="1"/>
  <c r="DX27" i="23"/>
  <c r="DX79" i="23" s="1"/>
  <c r="DX105" i="23" s="1"/>
  <c r="DX20" i="23"/>
  <c r="DX72" i="23" s="1"/>
  <c r="DX98" i="23" s="1"/>
  <c r="DX24" i="23"/>
  <c r="DX76" i="23" s="1"/>
  <c r="DX102" i="23" s="1"/>
  <c r="DX23" i="23"/>
  <c r="DX75" i="23" s="1"/>
  <c r="DX101" i="23" s="1"/>
  <c r="DX26" i="23"/>
  <c r="DX78" i="23" s="1"/>
  <c r="DX104" i="23" s="1"/>
  <c r="DX21" i="23"/>
  <c r="DX73" i="23" s="1"/>
  <c r="DX99" i="23" s="1"/>
  <c r="DX29" i="23"/>
  <c r="DX28" i="23"/>
  <c r="EC20" i="23"/>
  <c r="EC72" i="23" s="1"/>
  <c r="EC98" i="23" s="1"/>
  <c r="EC21" i="23"/>
  <c r="EC73" i="23" s="1"/>
  <c r="EC22" i="23"/>
  <c r="EC26" i="23"/>
  <c r="EC27" i="23"/>
  <c r="EC79" i="23" s="1"/>
  <c r="EC105" i="23" s="1"/>
  <c r="EC28" i="23"/>
  <c r="EC24" i="23"/>
  <c r="EC76" i="23" s="1"/>
  <c r="EC23" i="23"/>
  <c r="EC75" i="23" s="1"/>
  <c r="EC101" i="23" s="1"/>
  <c r="EC29" i="23"/>
  <c r="EC81" i="23" s="1"/>
  <c r="EC107" i="23" s="1"/>
  <c r="EC25" i="23"/>
  <c r="EC77" i="23" s="1"/>
  <c r="EC103" i="23" s="1"/>
  <c r="EB27" i="23"/>
  <c r="EB79" i="23" s="1"/>
  <c r="EB105" i="23" s="1"/>
  <c r="EB28" i="23"/>
  <c r="EB80" i="23" s="1"/>
  <c r="EB25" i="23"/>
  <c r="EB77" i="23" s="1"/>
  <c r="EB103" i="23" s="1"/>
  <c r="EB20" i="23"/>
  <c r="EB72" i="23" s="1"/>
  <c r="EB98" i="23" s="1"/>
  <c r="EB23" i="23"/>
  <c r="EB75" i="23" s="1"/>
  <c r="EB101" i="23" s="1"/>
  <c r="EB24" i="23"/>
  <c r="EB76" i="23" s="1"/>
  <c r="EB22" i="23"/>
  <c r="EB29" i="23"/>
  <c r="EB21" i="23"/>
  <c r="EB73" i="23" s="1"/>
  <c r="EB26" i="23"/>
  <c r="ED29" i="23"/>
  <c r="ED81" i="23" s="1"/>
  <c r="ED107" i="23" s="1"/>
  <c r="ED26" i="23"/>
  <c r="ED21" i="23"/>
  <c r="ED73" i="23" s="1"/>
  <c r="ED99" i="23" s="1"/>
  <c r="ED27" i="23"/>
  <c r="ED79" i="23" s="1"/>
  <c r="ED105" i="23" s="1"/>
  <c r="ED24" i="23"/>
  <c r="ED76" i="23" s="1"/>
  <c r="ED20" i="23"/>
  <c r="ED72" i="23" s="1"/>
  <c r="ED98" i="23" s="1"/>
  <c r="ED28" i="23"/>
  <c r="ED80" i="23" s="1"/>
  <c r="ED25" i="23"/>
  <c r="ED77" i="23" s="1"/>
  <c r="ED103" i="23" s="1"/>
  <c r="ED23" i="23"/>
  <c r="ED75" i="23" s="1"/>
  <c r="ED101" i="23" s="1"/>
  <c r="ED22" i="23"/>
  <c r="ED74" i="23" s="1"/>
  <c r="ED100" i="23" s="1"/>
  <c r="D39" i="22"/>
  <c r="F35" i="22" s="1"/>
  <c r="I74" i="32"/>
  <c r="AJ4" i="24"/>
  <c r="AJ31" i="24" s="1"/>
  <c r="CJ69" i="27"/>
  <c r="CJ46" i="27" s="1"/>
  <c r="CJ70" i="27"/>
  <c r="CJ47" i="27" s="1"/>
  <c r="K25" i="27"/>
  <c r="CH25" i="27"/>
  <c r="CH29" i="27" s="1"/>
  <c r="DD25" i="27"/>
  <c r="DD29" i="27" s="1"/>
  <c r="BU25" i="27"/>
  <c r="BU29" i="27" s="1"/>
  <c r="BN25" i="27"/>
  <c r="BN29" i="27" s="1"/>
  <c r="CY25" i="27"/>
  <c r="CY29" i="27" s="1"/>
  <c r="CJ25" i="27"/>
  <c r="CJ29" i="27" s="1"/>
  <c r="CW25" i="27"/>
  <c r="CW29" i="27" s="1"/>
  <c r="BX25" i="27"/>
  <c r="BX29" i="27" s="1"/>
  <c r="BD25" i="27"/>
  <c r="BD29" i="27" s="1"/>
  <c r="BQ25" i="27"/>
  <c r="BQ29" i="27" s="1"/>
  <c r="CL25" i="27"/>
  <c r="CL29" i="27" s="1"/>
  <c r="CK25" i="27"/>
  <c r="CK29" i="27" s="1"/>
  <c r="BZ25" i="27"/>
  <c r="BZ29" i="27" s="1"/>
  <c r="BM25" i="27"/>
  <c r="BM29" i="27" s="1"/>
  <c r="BL25" i="27"/>
  <c r="BL29" i="27" s="1"/>
  <c r="DF25" i="27"/>
  <c r="DF29" i="27" s="1"/>
  <c r="CM25" i="27"/>
  <c r="CM29" i="27" s="1"/>
  <c r="CA25" i="27"/>
  <c r="CA29" i="27" s="1"/>
  <c r="BR25" i="27"/>
  <c r="BR29" i="27" s="1"/>
  <c r="BF25" i="27"/>
  <c r="BF29" i="27" s="1"/>
  <c r="BE25" i="27"/>
  <c r="BE29" i="27" s="1"/>
  <c r="CZ25" i="27"/>
  <c r="CZ29" i="27" s="1"/>
  <c r="DB25" i="27"/>
  <c r="DB29" i="27" s="1"/>
  <c r="BW25" i="27"/>
  <c r="BW29" i="27" s="1"/>
  <c r="BO25" i="27"/>
  <c r="BO29" i="27" s="1"/>
  <c r="DH25" i="27"/>
  <c r="DH29" i="27" s="1"/>
  <c r="DC25" i="27"/>
  <c r="DC29" i="27" s="1"/>
  <c r="CI25" i="27"/>
  <c r="CI29" i="27" s="1"/>
  <c r="BY25" i="27"/>
  <c r="BY29" i="27" s="1"/>
  <c r="CB25" i="27"/>
  <c r="CB29" i="27" s="1"/>
  <c r="CD25" i="27"/>
  <c r="CD29" i="27" s="1"/>
  <c r="BH25" i="27"/>
  <c r="BH29" i="27" s="1"/>
  <c r="DA25" i="27"/>
  <c r="DA29" i="27" s="1"/>
  <c r="DJ25" i="27"/>
  <c r="DJ29" i="27" s="1"/>
  <c r="CC25" i="27"/>
  <c r="CC29" i="27" s="1"/>
  <c r="CF25" i="27"/>
  <c r="CF29" i="27" s="1"/>
  <c r="BV25" i="27"/>
  <c r="BV29" i="27" s="1"/>
  <c r="BS25" i="27"/>
  <c r="BS29" i="27" s="1"/>
  <c r="BC25" i="27"/>
  <c r="BC29" i="27" s="1"/>
  <c r="DE25" i="27"/>
  <c r="DE29" i="27" s="1"/>
  <c r="DI25" i="27"/>
  <c r="DI29" i="27" s="1"/>
  <c r="BP25" i="27"/>
  <c r="BP29" i="27" s="1"/>
  <c r="BG25" i="27"/>
  <c r="BG29" i="27" s="1"/>
  <c r="CE25" i="27"/>
  <c r="CE29" i="27" s="1"/>
  <c r="DF16" i="28"/>
  <c r="DH16" i="28"/>
  <c r="DI16" i="28"/>
  <c r="DJ16" i="28"/>
  <c r="EC16" i="28"/>
  <c r="EC17" i="28" s="1"/>
  <c r="DX16" i="28"/>
  <c r="DX17" i="28" s="1"/>
  <c r="EA16" i="28"/>
  <c r="EA17" i="28" s="1"/>
  <c r="DZ16" i="28"/>
  <c r="DZ17" i="28" s="1"/>
  <c r="DY16" i="28"/>
  <c r="DY17" i="28" s="1"/>
  <c r="EB16" i="28"/>
  <c r="EB17" i="28" s="1"/>
  <c r="ED17" i="28"/>
  <c r="C11" i="29"/>
  <c r="C4" i="29" s="1"/>
  <c r="C14" i="29"/>
  <c r="C6" i="29" s="1"/>
  <c r="D11" i="29"/>
  <c r="D14" i="29"/>
  <c r="AH75" i="32"/>
  <c r="E102" i="32" s="1"/>
  <c r="J38" i="37" s="1"/>
  <c r="L13" i="27"/>
  <c r="L21" i="27"/>
  <c r="L29" i="27" s="1"/>
  <c r="L22" i="27"/>
  <c r="F21" i="27"/>
  <c r="F29" i="27" s="1"/>
  <c r="F13" i="27"/>
  <c r="F22" i="27"/>
  <c r="AI13" i="27"/>
  <c r="AI21" i="27"/>
  <c r="AI22" i="27"/>
  <c r="I13" i="27"/>
  <c r="I11" i="27"/>
  <c r="I25" i="27"/>
  <c r="I21" i="27"/>
  <c r="I29" i="27" s="1"/>
  <c r="I22" i="27"/>
  <c r="DO29" i="27"/>
  <c r="DO24" i="28"/>
  <c r="Z18" i="27"/>
  <c r="Z26" i="27"/>
  <c r="Z16" i="27"/>
  <c r="DM18" i="27"/>
  <c r="DM26" i="27"/>
  <c r="DM16" i="27"/>
  <c r="DN29" i="27"/>
  <c r="DN24" i="28"/>
  <c r="V21" i="27"/>
  <c r="V13" i="27"/>
  <c r="V22" i="27"/>
  <c r="O22" i="27"/>
  <c r="O21" i="27"/>
  <c r="O13" i="27"/>
  <c r="R13" i="27"/>
  <c r="R22" i="27"/>
  <c r="R11" i="27"/>
  <c r="R25" i="27"/>
  <c r="R21" i="27"/>
  <c r="R29" i="27" s="1"/>
  <c r="AC25" i="27"/>
  <c r="AC11" i="27"/>
  <c r="AC22" i="27"/>
  <c r="AC21" i="27"/>
  <c r="AC13" i="27"/>
  <c r="AD26" i="27"/>
  <c r="AD18" i="27"/>
  <c r="AD16" i="27"/>
  <c r="DO18" i="27"/>
  <c r="DO26" i="27"/>
  <c r="DO16" i="27"/>
  <c r="DM29" i="27"/>
  <c r="DM24" i="28"/>
  <c r="D21" i="27"/>
  <c r="D29" i="27" s="1"/>
  <c r="D13" i="27"/>
  <c r="D22" i="27"/>
  <c r="AG22" i="27"/>
  <c r="AG21" i="27"/>
  <c r="AG13" i="27"/>
  <c r="Q22" i="27"/>
  <c r="Q13" i="27"/>
  <c r="Q11" i="27"/>
  <c r="Q21" i="27"/>
  <c r="Q25" i="27"/>
  <c r="AA13" i="27"/>
  <c r="AA21" i="27"/>
  <c r="AA22" i="27"/>
  <c r="AA11" i="27"/>
  <c r="AA25" i="27"/>
  <c r="R18" i="27"/>
  <c r="R26" i="27"/>
  <c r="R16" i="27"/>
  <c r="X18" i="27"/>
  <c r="X16" i="27"/>
  <c r="X26" i="27"/>
  <c r="DS18" i="27"/>
  <c r="DS26" i="27"/>
  <c r="DS30" i="27" s="1"/>
  <c r="DS16" i="27"/>
  <c r="DV29" i="27"/>
  <c r="DK29" i="27"/>
  <c r="DK24" i="28"/>
  <c r="DZ24" i="28"/>
  <c r="J22" i="27"/>
  <c r="J21" i="27"/>
  <c r="J13" i="27"/>
  <c r="M21" i="27"/>
  <c r="M29" i="27" s="1"/>
  <c r="M22" i="27"/>
  <c r="M13" i="27"/>
  <c r="G21" i="27"/>
  <c r="G22" i="27"/>
  <c r="G13" i="27"/>
  <c r="AE25" i="27"/>
  <c r="AE21" i="27"/>
  <c r="AE22" i="27"/>
  <c r="AE11" i="27"/>
  <c r="AE13" i="27"/>
  <c r="Y13" i="27"/>
  <c r="Y11" i="27"/>
  <c r="Y21" i="27"/>
  <c r="Y25" i="27"/>
  <c r="Y22" i="27"/>
  <c r="DZ25" i="27"/>
  <c r="DZ29" i="27" s="1"/>
  <c r="EA25" i="27"/>
  <c r="EA29" i="27" s="1"/>
  <c r="Q18" i="27"/>
  <c r="Q26" i="27"/>
  <c r="Q16" i="27"/>
  <c r="AC16" i="27"/>
  <c r="AC18" i="27"/>
  <c r="AC26" i="27"/>
  <c r="DT26" i="27"/>
  <c r="DT30" i="27" s="1"/>
  <c r="DT18" i="27"/>
  <c r="DT16" i="27"/>
  <c r="DV18" i="27"/>
  <c r="DV26" i="27"/>
  <c r="DV30" i="27" s="1"/>
  <c r="DV16" i="27"/>
  <c r="J29" i="27"/>
  <c r="AZ24" i="28"/>
  <c r="DM30" i="27"/>
  <c r="DP29" i="27"/>
  <c r="DP24" i="28"/>
  <c r="T22" i="27"/>
  <c r="T21" i="27"/>
  <c r="T13" i="27"/>
  <c r="W21" i="27"/>
  <c r="W22" i="27"/>
  <c r="W13" i="27"/>
  <c r="P21" i="27"/>
  <c r="P22" i="27"/>
  <c r="P13" i="27"/>
  <c r="AB11" i="27"/>
  <c r="AB22" i="27"/>
  <c r="AB13" i="27"/>
  <c r="AB21" i="27"/>
  <c r="AB25" i="27"/>
  <c r="DX21" i="27"/>
  <c r="DX24" i="28" s="1"/>
  <c r="DY21" i="27"/>
  <c r="ED24" i="28"/>
  <c r="ED29" i="27"/>
  <c r="AE18" i="27"/>
  <c r="AE16" i="27"/>
  <c r="AE26" i="27"/>
  <c r="I18" i="27"/>
  <c r="I26" i="27"/>
  <c r="I16" i="27"/>
  <c r="DP18" i="27"/>
  <c r="DP26" i="27"/>
  <c r="DP30" i="27" s="1"/>
  <c r="DP16" i="27"/>
  <c r="DV24" i="28"/>
  <c r="EC24" i="28"/>
  <c r="EC29" i="27"/>
  <c r="EB29" i="27"/>
  <c r="EB24" i="28"/>
  <c r="AI29" i="27"/>
  <c r="W29" i="27"/>
  <c r="G29" i="27"/>
  <c r="AJ21" i="27"/>
  <c r="AJ13" i="27"/>
  <c r="AJ22" i="27"/>
  <c r="E22" i="27"/>
  <c r="E13" i="27"/>
  <c r="E21" i="27"/>
  <c r="E29" i="27" s="1"/>
  <c r="AH13" i="27"/>
  <c r="AH22" i="27"/>
  <c r="AH21" i="27"/>
  <c r="AD13" i="27"/>
  <c r="AD25" i="27"/>
  <c r="AD22" i="27"/>
  <c r="AD21" i="27"/>
  <c r="AD11" i="27"/>
  <c r="Y18" i="27"/>
  <c r="Y26" i="27"/>
  <c r="Y16" i="27"/>
  <c r="DK26" i="27"/>
  <c r="DK30" i="27" s="1"/>
  <c r="DK18" i="27"/>
  <c r="DK16" i="27"/>
  <c r="AJ29" i="27"/>
  <c r="V29" i="27"/>
  <c r="K22" i="27"/>
  <c r="K21" i="27"/>
  <c r="K13" i="27"/>
  <c r="N22" i="27"/>
  <c r="N21" i="27"/>
  <c r="N13" i="27"/>
  <c r="H22" i="27"/>
  <c r="H13" i="27"/>
  <c r="H25" i="27"/>
  <c r="H21" i="27"/>
  <c r="X13" i="27"/>
  <c r="X21" i="27"/>
  <c r="X22" i="27"/>
  <c r="X30" i="27" s="1"/>
  <c r="X11" i="27"/>
  <c r="X25" i="27"/>
  <c r="AB16" i="27"/>
  <c r="AB18" i="27"/>
  <c r="AB26" i="27"/>
  <c r="DL26" i="27"/>
  <c r="DL30" i="27" s="1"/>
  <c r="DL18" i="27"/>
  <c r="DL16" i="27"/>
  <c r="DL24" i="28"/>
  <c r="DL29" i="27"/>
  <c r="EA24" i="28"/>
  <c r="U22" i="27"/>
  <c r="U13" i="27"/>
  <c r="U21" i="27"/>
  <c r="U29" i="27" s="1"/>
  <c r="AF13" i="27"/>
  <c r="AF21" i="27"/>
  <c r="AF22" i="27"/>
  <c r="S21" i="27"/>
  <c r="S13" i="27"/>
  <c r="S22" i="27"/>
  <c r="Z13" i="27"/>
  <c r="Z25" i="27"/>
  <c r="Z21" i="27"/>
  <c r="Z22" i="27"/>
  <c r="Z11" i="27"/>
  <c r="DO30" i="27"/>
  <c r="AA18" i="27"/>
  <c r="AA16" i="27"/>
  <c r="AA26" i="27"/>
  <c r="DN18" i="27"/>
  <c r="DN16" i="27"/>
  <c r="DN26" i="27"/>
  <c r="DN30" i="27" s="1"/>
  <c r="DS132" i="24"/>
  <c r="AN36" i="25"/>
  <c r="AN38" i="25" s="1"/>
  <c r="M80" i="32"/>
  <c r="M83" i="32" s="1"/>
  <c r="E111" i="32" s="1"/>
  <c r="E12" i="37" s="1"/>
  <c r="AF75" i="32"/>
  <c r="DS16" i="28"/>
  <c r="DS20" i="28"/>
  <c r="DS7" i="26" s="1"/>
  <c r="DS10" i="26" s="1"/>
  <c r="DS3" i="24"/>
  <c r="DS69" i="27"/>
  <c r="DS46" i="27" s="1"/>
  <c r="DS70" i="27"/>
  <c r="DS47" i="27" s="1"/>
  <c r="DS63" i="24"/>
  <c r="DS75" i="24" s="1"/>
  <c r="DQ7" i="28"/>
  <c r="AC72" i="32" s="1"/>
  <c r="DS7" i="28"/>
  <c r="DS22" i="28" s="1"/>
  <c r="AF80" i="32"/>
  <c r="AF83" i="32" s="1"/>
  <c r="DS24" i="28"/>
  <c r="C112" i="32"/>
  <c r="C13" i="37" s="1"/>
  <c r="C113" i="32"/>
  <c r="C14" i="37" s="1"/>
  <c r="D15" i="37"/>
  <c r="E101" i="32"/>
  <c r="J37" i="37" s="1"/>
  <c r="E51" i="10"/>
  <c r="AE5" i="28" s="1"/>
  <c r="Y81" i="24"/>
  <c r="Z81" i="24"/>
  <c r="AC129" i="24"/>
  <c r="AB129" i="24"/>
  <c r="BM69" i="27"/>
  <c r="BM46" i="27" s="1"/>
  <c r="Y46" i="27"/>
  <c r="Y47" i="27"/>
  <c r="Y135" i="24"/>
  <c r="Y137" i="24"/>
  <c r="Y129" i="24"/>
  <c r="Z129" i="24"/>
  <c r="X129" i="24"/>
  <c r="X135" i="24"/>
  <c r="X137" i="24"/>
  <c r="AB81" i="24"/>
  <c r="X81" i="24"/>
  <c r="AD129" i="24"/>
  <c r="Z135" i="24"/>
  <c r="Z137" i="24"/>
  <c r="AC81" i="24"/>
  <c r="AL12" i="25"/>
  <c r="AL6" i="26" s="1"/>
  <c r="AL7" i="28" s="1"/>
  <c r="AL22" i="28" s="1"/>
  <c r="AD137" i="24"/>
  <c r="AD135" i="24"/>
  <c r="AC137" i="24"/>
  <c r="AC135" i="24"/>
  <c r="AB135" i="24"/>
  <c r="AB137" i="24"/>
  <c r="AD81" i="24"/>
  <c r="J9" i="13"/>
  <c r="K9" i="13"/>
  <c r="I22" i="13"/>
  <c r="I27" i="13" s="1"/>
  <c r="M9" i="13"/>
  <c r="H22" i="13"/>
  <c r="I104" i="23"/>
  <c r="I108" i="23" s="1"/>
  <c r="I114" i="28" s="1"/>
  <c r="CT3" i="23"/>
  <c r="CT24" i="23" s="1"/>
  <c r="CT76" i="23" s="1"/>
  <c r="CT102" i="23" s="1"/>
  <c r="AA129" i="24"/>
  <c r="I82" i="23"/>
  <c r="I92" i="28" s="1"/>
  <c r="CZ3" i="24"/>
  <c r="CZ69" i="27"/>
  <c r="CZ46" i="27" s="1"/>
  <c r="BS69" i="27"/>
  <c r="BS46" i="27" s="1"/>
  <c r="BS70" i="27"/>
  <c r="BS47" i="27" s="1"/>
  <c r="AA81" i="24"/>
  <c r="CI7" i="26"/>
  <c r="CI10" i="26" s="1"/>
  <c r="S77" i="32"/>
  <c r="U77" i="32"/>
  <c r="CL7" i="26"/>
  <c r="CL10" i="26" s="1"/>
  <c r="BO69" i="27"/>
  <c r="BO46" i="27" s="1"/>
  <c r="CK7" i="26"/>
  <c r="CK10" i="26" s="1"/>
  <c r="T77" i="32"/>
  <c r="AV70" i="27"/>
  <c r="AV47" i="27" s="1"/>
  <c r="CM7" i="26"/>
  <c r="CM10" i="26" s="1"/>
  <c r="V77" i="32"/>
  <c r="AA137" i="24"/>
  <c r="AA135" i="24"/>
  <c r="AA47" i="27"/>
  <c r="AA46" i="27"/>
  <c r="BJ31" i="24"/>
  <c r="EO12" i="26"/>
  <c r="CR137" i="24"/>
  <c r="CR136" i="24" s="1"/>
  <c r="CW136" i="24" s="1"/>
  <c r="DB136" i="24" s="1"/>
  <c r="CS80" i="23"/>
  <c r="CR135" i="24"/>
  <c r="CR134" i="24" s="1"/>
  <c r="CX134" i="24" s="1"/>
  <c r="CD135" i="24"/>
  <c r="CD134" i="24" s="1"/>
  <c r="CI134" i="24" s="1"/>
  <c r="CE4" i="24"/>
  <c r="S10" i="14"/>
  <c r="R10" i="14" s="1"/>
  <c r="P10" i="14" s="1"/>
  <c r="AK135" i="24"/>
  <c r="CP137" i="24"/>
  <c r="CP136" i="24" s="1"/>
  <c r="CU136" i="24" s="1"/>
  <c r="CZ136" i="24" s="1"/>
  <c r="DE136" i="24" s="1"/>
  <c r="AX135" i="24"/>
  <c r="AX134" i="24" s="1"/>
  <c r="BT134" i="24" s="1"/>
  <c r="BS134" i="24" s="1"/>
  <c r="CQ137" i="24"/>
  <c r="CQ136" i="24" s="1"/>
  <c r="DV136" i="24" s="1"/>
  <c r="DV137" i="24" s="1"/>
  <c r="AP135" i="24"/>
  <c r="AP134" i="24" s="1"/>
  <c r="BJ134" i="24" s="1"/>
  <c r="CN135" i="24"/>
  <c r="CN134" i="24" s="1"/>
  <c r="DP134" i="24" s="1"/>
  <c r="BG3" i="24"/>
  <c r="S17" i="14"/>
  <c r="R17" i="14" s="1"/>
  <c r="S15" i="14"/>
  <c r="R15" i="14" s="1"/>
  <c r="P15" i="14" s="1"/>
  <c r="AP3" i="23"/>
  <c r="AP29" i="23" s="1"/>
  <c r="AP81" i="23" s="1"/>
  <c r="AP107" i="23" s="1"/>
  <c r="S14" i="14"/>
  <c r="R14" i="14" s="1"/>
  <c r="CX3" i="23"/>
  <c r="CX20" i="23" s="1"/>
  <c r="CX72" i="23" s="1"/>
  <c r="CX98" i="23" s="1"/>
  <c r="S19" i="14"/>
  <c r="R19" i="14" s="1"/>
  <c r="P19" i="14" s="1"/>
  <c r="S21" i="14"/>
  <c r="R21" i="14" s="1"/>
  <c r="AZ4" i="24"/>
  <c r="S9" i="14"/>
  <c r="R9" i="14" s="1"/>
  <c r="AE81" i="24"/>
  <c r="CP135" i="24"/>
  <c r="CP134" i="24" s="1"/>
  <c r="DA134" i="24" s="1"/>
  <c r="BB135" i="24"/>
  <c r="BB134" i="24" s="1"/>
  <c r="CG134" i="24" s="1"/>
  <c r="CL134" i="24" s="1"/>
  <c r="AP137" i="24"/>
  <c r="AP136" i="24" s="1"/>
  <c r="BJ136" i="24" s="1"/>
  <c r="AZ137" i="24"/>
  <c r="AZ136" i="24" s="1"/>
  <c r="CF135" i="24"/>
  <c r="CF134" i="24" s="1"/>
  <c r="CK134" i="24" s="1"/>
  <c r="AU137" i="24"/>
  <c r="AU136" i="24" s="1"/>
  <c r="AQ135" i="24"/>
  <c r="AQ134" i="24" s="1"/>
  <c r="BK134" i="24" s="1"/>
  <c r="AM137" i="24"/>
  <c r="AO137" i="24"/>
  <c r="AO136" i="24" s="1"/>
  <c r="CC136" i="24" s="1"/>
  <c r="CH136" i="24" s="1"/>
  <c r="CF3" i="23"/>
  <c r="CF21" i="23" s="1"/>
  <c r="CF73" i="23" s="1"/>
  <c r="CF99" i="23" s="1"/>
  <c r="CE135" i="24"/>
  <c r="CE134" i="24" s="1"/>
  <c r="CJ134" i="24" s="1"/>
  <c r="AX137" i="24"/>
  <c r="AX136" i="24" s="1"/>
  <c r="BT136" i="24" s="1"/>
  <c r="BR136" i="24" s="1"/>
  <c r="E20" i="13"/>
  <c r="L20" i="13" s="1"/>
  <c r="L22" i="13" s="1"/>
  <c r="AO135" i="24"/>
  <c r="AO134" i="24" s="1"/>
  <c r="CC134" i="24" s="1"/>
  <c r="CH134" i="24" s="1"/>
  <c r="CQ135" i="24"/>
  <c r="CQ134" i="24" s="1"/>
  <c r="DV134" i="24" s="1"/>
  <c r="DV135" i="24" s="1"/>
  <c r="AO3" i="23"/>
  <c r="AO24" i="23" s="1"/>
  <c r="AO76" i="23" s="1"/>
  <c r="AO102" i="23" s="1"/>
  <c r="AY135" i="24"/>
  <c r="AY134" i="24" s="1"/>
  <c r="BP69" i="27"/>
  <c r="BP46" i="27" s="1"/>
  <c r="AT137" i="24"/>
  <c r="AT136" i="24" s="1"/>
  <c r="BB137" i="24"/>
  <c r="BB136" i="24" s="1"/>
  <c r="CG136" i="24" s="1"/>
  <c r="DP136" i="24" s="1"/>
  <c r="DM136" i="24" s="1"/>
  <c r="AK137" i="24"/>
  <c r="CN137" i="24"/>
  <c r="CN136" i="24" s="1"/>
  <c r="CS136" i="24" s="1"/>
  <c r="BA137" i="24"/>
  <c r="BA136" i="24" s="1"/>
  <c r="BP70" i="27"/>
  <c r="BP47" i="27" s="1"/>
  <c r="AS135" i="24"/>
  <c r="AS134" i="24" s="1"/>
  <c r="AR135" i="24"/>
  <c r="AR134" i="24" s="1"/>
  <c r="AF9" i="25"/>
  <c r="AF6" i="28"/>
  <c r="AQ137" i="24"/>
  <c r="AQ136" i="24" s="1"/>
  <c r="BK136" i="24" s="1"/>
  <c r="AE47" i="27"/>
  <c r="AE135" i="24"/>
  <c r="AE137" i="24"/>
  <c r="BE3" i="24"/>
  <c r="BE3" i="23" s="1"/>
  <c r="BE21" i="23" s="1"/>
  <c r="BE73" i="23" s="1"/>
  <c r="BE99" i="23" s="1"/>
  <c r="BL69" i="27"/>
  <c r="BL46" i="27" s="1"/>
  <c r="AE129" i="24"/>
  <c r="AE46" i="27"/>
  <c r="CF137" i="24"/>
  <c r="CF136" i="24" s="1"/>
  <c r="CK136" i="24" s="1"/>
  <c r="BN70" i="27"/>
  <c r="BN47" i="27" s="1"/>
  <c r="BL3" i="24"/>
  <c r="BN3" i="24"/>
  <c r="BQ69" i="27"/>
  <c r="BQ46" i="27" s="1"/>
  <c r="CM19" i="28"/>
  <c r="V76" i="32" s="1"/>
  <c r="W44" i="38"/>
  <c r="V68" i="32"/>
  <c r="V71" i="60"/>
  <c r="V44" i="60" s="1"/>
  <c r="W44" i="39"/>
  <c r="V44" i="36"/>
  <c r="CD137" i="24"/>
  <c r="CD136" i="24" s="1"/>
  <c r="CI136" i="24" s="1"/>
  <c r="DM20" i="28"/>
  <c r="DM7" i="26" s="1"/>
  <c r="DM10" i="26" s="1"/>
  <c r="CY20" i="28"/>
  <c r="DE20" i="28"/>
  <c r="DA69" i="27"/>
  <c r="DA46" i="27" s="1"/>
  <c r="BQ70" i="27"/>
  <c r="BQ47" i="27" s="1"/>
  <c r="BR70" i="27"/>
  <c r="BR47" i="27" s="1"/>
  <c r="BH69" i="27"/>
  <c r="BH46" i="27" s="1"/>
  <c r="BG69" i="27"/>
  <c r="BG46" i="27" s="1"/>
  <c r="BO70" i="27"/>
  <c r="BO47" i="27" s="1"/>
  <c r="DQ70" i="27"/>
  <c r="DQ47" i="27" s="1"/>
  <c r="BR69" i="27"/>
  <c r="BR46" i="27" s="1"/>
  <c r="AT70" i="27"/>
  <c r="AT47" i="27" s="1"/>
  <c r="DE10" i="28"/>
  <c r="DE70" i="27" s="1"/>
  <c r="DE47" i="27" s="1"/>
  <c r="C13" i="10"/>
  <c r="C14" i="10" s="1"/>
  <c r="AR69" i="27"/>
  <c r="AR46" i="27" s="1"/>
  <c r="C5" i="10"/>
  <c r="AR70" i="27"/>
  <c r="AR47" i="27" s="1"/>
  <c r="D12" i="10"/>
  <c r="D5" i="10" s="1"/>
  <c r="BB3" i="23"/>
  <c r="BB26" i="23" s="1"/>
  <c r="BB78" i="23" s="1"/>
  <c r="BB104" i="23" s="1"/>
  <c r="AS69" i="27"/>
  <c r="AS46" i="27" s="1"/>
  <c r="AZ135" i="24"/>
  <c r="AZ134" i="24" s="1"/>
  <c r="AS70" i="27"/>
  <c r="AS47" i="27" s="1"/>
  <c r="BD69" i="27"/>
  <c r="BD46" i="27" s="1"/>
  <c r="CO137" i="24"/>
  <c r="CO136" i="24" s="1"/>
  <c r="DR136" i="24" s="1"/>
  <c r="DA3" i="24"/>
  <c r="BD70" i="27"/>
  <c r="BD47" i="27" s="1"/>
  <c r="BF69" i="27"/>
  <c r="BF46" i="27" s="1"/>
  <c r="BF70" i="27"/>
  <c r="BF47" i="27" s="1"/>
  <c r="CO135" i="24"/>
  <c r="CO134" i="24" s="1"/>
  <c r="CZ134" i="24" s="1"/>
  <c r="CH25" i="23"/>
  <c r="CH77" i="23" s="1"/>
  <c r="CH103" i="23" s="1"/>
  <c r="CH20" i="23"/>
  <c r="CH72" i="23" s="1"/>
  <c r="CH98" i="23" s="1"/>
  <c r="BH70" i="27"/>
  <c r="BH47" i="27" s="1"/>
  <c r="AW69" i="27"/>
  <c r="AW46" i="27" s="1"/>
  <c r="BQ68" i="24"/>
  <c r="AW3" i="24"/>
  <c r="AT69" i="27"/>
  <c r="AT46" i="27" s="1"/>
  <c r="AV135" i="24"/>
  <c r="AV134" i="24" s="1"/>
  <c r="AV137" i="24"/>
  <c r="AV136" i="24" s="1"/>
  <c r="BQ116" i="24"/>
  <c r="AV69" i="27"/>
  <c r="AV46" i="27" s="1"/>
  <c r="BC69" i="27"/>
  <c r="BC46" i="27" s="1"/>
  <c r="BQ117" i="24"/>
  <c r="BC70" i="27"/>
  <c r="BC47" i="27" s="1"/>
  <c r="CH22" i="23"/>
  <c r="CH74" i="23" s="1"/>
  <c r="CH100" i="23" s="1"/>
  <c r="CH29" i="23"/>
  <c r="CH81" i="23" s="1"/>
  <c r="CH107" i="23" s="1"/>
  <c r="CH21" i="23"/>
  <c r="CH73" i="23" s="1"/>
  <c r="CH99" i="23" s="1"/>
  <c r="CH28" i="23"/>
  <c r="CH80" i="23" s="1"/>
  <c r="BE70" i="27"/>
  <c r="BE47" i="27" s="1"/>
  <c r="CH23" i="23"/>
  <c r="CH75" i="23" s="1"/>
  <c r="CH101" i="23" s="1"/>
  <c r="AU135" i="24"/>
  <c r="AU134" i="24" s="1"/>
  <c r="BQ69" i="24"/>
  <c r="CE137" i="24"/>
  <c r="CE136" i="24" s="1"/>
  <c r="CJ136" i="24" s="1"/>
  <c r="AS137" i="24"/>
  <c r="AS136" i="24" s="1"/>
  <c r="CH24" i="23"/>
  <c r="CH76" i="23" s="1"/>
  <c r="CH102" i="23" s="1"/>
  <c r="AT135" i="24"/>
  <c r="AT134" i="24" s="1"/>
  <c r="BA3" i="23"/>
  <c r="BA20" i="23" s="1"/>
  <c r="BA72" i="23" s="1"/>
  <c r="BA98" i="23" s="1"/>
  <c r="CH26" i="23"/>
  <c r="CH78" i="23" s="1"/>
  <c r="CH104" i="23" s="1"/>
  <c r="CI3" i="23"/>
  <c r="CI20" i="23" s="1"/>
  <c r="CI72" i="23" s="1"/>
  <c r="AY137" i="24"/>
  <c r="AY136" i="24" s="1"/>
  <c r="BA135" i="24"/>
  <c r="BA134" i="24" s="1"/>
  <c r="CY21" i="23"/>
  <c r="CY73" i="23" s="1"/>
  <c r="CY99" i="23" s="1"/>
  <c r="CY20" i="23"/>
  <c r="CY72" i="23" s="1"/>
  <c r="CY98" i="23" s="1"/>
  <c r="CY28" i="23"/>
  <c r="CY80" i="23" s="1"/>
  <c r="DC70" i="27"/>
  <c r="DC47" i="27" s="1"/>
  <c r="DC69" i="27"/>
  <c r="DC46" i="27" s="1"/>
  <c r="DC3" i="24"/>
  <c r="BZ69" i="27"/>
  <c r="BZ46" i="27" s="1"/>
  <c r="BZ70" i="27"/>
  <c r="BZ47" i="27" s="1"/>
  <c r="BZ3" i="24"/>
  <c r="CY24" i="23"/>
  <c r="CY76" i="23" s="1"/>
  <c r="CY102" i="23" s="1"/>
  <c r="BW70" i="27"/>
  <c r="BW47" i="27" s="1"/>
  <c r="BW69" i="27"/>
  <c r="BW46" i="27" s="1"/>
  <c r="BW3" i="24"/>
  <c r="CM3" i="24"/>
  <c r="CM70" i="27"/>
  <c r="CM47" i="27" s="1"/>
  <c r="CM69" i="27"/>
  <c r="CM46" i="27" s="1"/>
  <c r="V73" i="32"/>
  <c r="BY70" i="27"/>
  <c r="BY47" i="27" s="1"/>
  <c r="BY69" i="27"/>
  <c r="BY46" i="27" s="1"/>
  <c r="BY3" i="24"/>
  <c r="BU69" i="27"/>
  <c r="BU46" i="27" s="1"/>
  <c r="BU70" i="27"/>
  <c r="BU47" i="27" s="1"/>
  <c r="BU3" i="24"/>
  <c r="CY27" i="23"/>
  <c r="CY79" i="23" s="1"/>
  <c r="CY105" i="23" s="1"/>
  <c r="BX70" i="27"/>
  <c r="BX47" i="27" s="1"/>
  <c r="BX69" i="27"/>
  <c r="BX46" i="27" s="1"/>
  <c r="BX3" i="24"/>
  <c r="CY22" i="23"/>
  <c r="CY74" i="23" s="1"/>
  <c r="CY100" i="23" s="1"/>
  <c r="CM4" i="24"/>
  <c r="CM31" i="24" s="1"/>
  <c r="V74" i="32"/>
  <c r="CL3" i="24"/>
  <c r="CL70" i="27"/>
  <c r="CL47" i="27" s="1"/>
  <c r="CL69" i="27"/>
  <c r="CL46" i="27" s="1"/>
  <c r="U73" i="32"/>
  <c r="AR137" i="24"/>
  <c r="AR136" i="24" s="1"/>
  <c r="CY26" i="23"/>
  <c r="CY78" i="23" s="1"/>
  <c r="CY104" i="23" s="1"/>
  <c r="CY25" i="23"/>
  <c r="CY77" i="23" s="1"/>
  <c r="CY103" i="23" s="1"/>
  <c r="CA70" i="27"/>
  <c r="CA47" i="27" s="1"/>
  <c r="CA69" i="27"/>
  <c r="CA46" i="27" s="1"/>
  <c r="CA3" i="24"/>
  <c r="CY29" i="23"/>
  <c r="CY81" i="23" s="1"/>
  <c r="CY107" i="23" s="1"/>
  <c r="CB70" i="27"/>
  <c r="CB47" i="27" s="1"/>
  <c r="CB69" i="27"/>
  <c r="CB46" i="27" s="1"/>
  <c r="CB3" i="24"/>
  <c r="BV70" i="27"/>
  <c r="BV47" i="27" s="1"/>
  <c r="BV69" i="27"/>
  <c r="BV46" i="27" s="1"/>
  <c r="BV3" i="24"/>
  <c r="DP132" i="24"/>
  <c r="DL132" i="24"/>
  <c r="DN132" i="24"/>
  <c r="DO132" i="24"/>
  <c r="DK132" i="24"/>
  <c r="DL10" i="28"/>
  <c r="DP10" i="28"/>
  <c r="DO10" i="28"/>
  <c r="DK10" i="28"/>
  <c r="DN10" i="28"/>
  <c r="DM10" i="28"/>
  <c r="DT36" i="25"/>
  <c r="DT38" i="25" s="1"/>
  <c r="DU36" i="25"/>
  <c r="DU38" i="25" s="1"/>
  <c r="L99" i="23"/>
  <c r="D99" i="23"/>
  <c r="DM6" i="26"/>
  <c r="CY35" i="25"/>
  <c r="CY38" i="25" s="1"/>
  <c r="CJ29" i="23"/>
  <c r="CJ81" i="23" s="1"/>
  <c r="CJ107" i="23" s="1"/>
  <c r="CJ23" i="23"/>
  <c r="CJ75" i="23" s="1"/>
  <c r="CJ101" i="23" s="1"/>
  <c r="CJ25" i="23"/>
  <c r="CJ77" i="23" s="1"/>
  <c r="CJ103" i="23" s="1"/>
  <c r="CJ28" i="23"/>
  <c r="CJ80" i="23" s="1"/>
  <c r="CJ21" i="23"/>
  <c r="CJ73" i="23" s="1"/>
  <c r="CJ99" i="23" s="1"/>
  <c r="CJ24" i="23"/>
  <c r="CJ76" i="23" s="1"/>
  <c r="CJ102" i="23" s="1"/>
  <c r="CJ26" i="23"/>
  <c r="CJ78" i="23" s="1"/>
  <c r="CJ104" i="23" s="1"/>
  <c r="CJ22" i="23"/>
  <c r="CJ74" i="23" s="1"/>
  <c r="CJ100" i="23" s="1"/>
  <c r="CJ27" i="23"/>
  <c r="CJ79" i="23" s="1"/>
  <c r="CJ105" i="23" s="1"/>
  <c r="CJ20" i="23"/>
  <c r="CJ72" i="23" s="1"/>
  <c r="CK4" i="28"/>
  <c r="CJ4" i="28"/>
  <c r="CJ8" i="25" s="1"/>
  <c r="CH4" i="28"/>
  <c r="CH8" i="25" s="1"/>
  <c r="CI4" i="28"/>
  <c r="CL4" i="28"/>
  <c r="CM4" i="28"/>
  <c r="AG103" i="24"/>
  <c r="S80" i="23"/>
  <c r="G80" i="23"/>
  <c r="CN80" i="23"/>
  <c r="AF80" i="23"/>
  <c r="EC80" i="23"/>
  <c r="K80" i="23"/>
  <c r="U80" i="23"/>
  <c r="Q80" i="23"/>
  <c r="DN12" i="25"/>
  <c r="DW31" i="24"/>
  <c r="CW36" i="25"/>
  <c r="CW38" i="25" s="1"/>
  <c r="AK99" i="23"/>
  <c r="G102" i="23"/>
  <c r="O102" i="23"/>
  <c r="DT20" i="28"/>
  <c r="CN17" i="28"/>
  <c r="CN22" i="28"/>
  <c r="AE72" i="32"/>
  <c r="CQ22" i="28"/>
  <c r="CQ17" i="28"/>
  <c r="AR17" i="28"/>
  <c r="AR22" i="28"/>
  <c r="DK5" i="26"/>
  <c r="N72" i="32"/>
  <c r="AO17" i="28"/>
  <c r="AO22" i="28"/>
  <c r="CO22" i="28"/>
  <c r="CO17" i="28"/>
  <c r="BI10" i="26"/>
  <c r="DO5" i="26"/>
  <c r="DN5" i="26"/>
  <c r="J72" i="32"/>
  <c r="AK22" i="28"/>
  <c r="AK17" i="28"/>
  <c r="CR17" i="28"/>
  <c r="CR22" i="28"/>
  <c r="DP5" i="26"/>
  <c r="DP12" i="25"/>
  <c r="DX80" i="23"/>
  <c r="AM3" i="25"/>
  <c r="AK35" i="25"/>
  <c r="AK38" i="25" s="1"/>
  <c r="CS99" i="23"/>
  <c r="EA102" i="23"/>
  <c r="M102" i="23"/>
  <c r="P102" i="23"/>
  <c r="J102" i="23"/>
  <c r="T102" i="23"/>
  <c r="AK102" i="23"/>
  <c r="Q102" i="23"/>
  <c r="R102" i="23"/>
  <c r="EC102" i="23"/>
  <c r="H76" i="22"/>
  <c r="K99" i="23"/>
  <c r="U99" i="23"/>
  <c r="AF99" i="23"/>
  <c r="P99" i="23"/>
  <c r="V99" i="23"/>
  <c r="N99" i="23"/>
  <c r="F99" i="23"/>
  <c r="S99" i="23"/>
  <c r="W99" i="23"/>
  <c r="H99" i="23"/>
  <c r="E99" i="23"/>
  <c r="R99" i="23"/>
  <c r="T99" i="23"/>
  <c r="M99" i="23"/>
  <c r="CN99" i="23"/>
  <c r="O99" i="23"/>
  <c r="G99" i="23"/>
  <c r="J99" i="23"/>
  <c r="BJ99" i="23"/>
  <c r="DY102" i="23"/>
  <c r="AR25" i="27"/>
  <c r="AR29" i="27" s="1"/>
  <c r="AZ25" i="27"/>
  <c r="AZ29" i="27" s="1"/>
  <c r="AU25" i="27"/>
  <c r="AU29" i="27" s="1"/>
  <c r="AW25" i="27"/>
  <c r="AW29" i="27" s="1"/>
  <c r="AV25" i="27"/>
  <c r="AV29" i="27" s="1"/>
  <c r="AT25" i="27"/>
  <c r="AT29" i="27" s="1"/>
  <c r="AS25" i="27"/>
  <c r="AS29" i="27" s="1"/>
  <c r="AY25" i="27"/>
  <c r="AY29" i="27" s="1"/>
  <c r="BA25" i="27"/>
  <c r="BA29" i="27" s="1"/>
  <c r="ED132" i="24"/>
  <c r="EC132" i="24"/>
  <c r="DZ132" i="24"/>
  <c r="EA132" i="24"/>
  <c r="DY132" i="24"/>
  <c r="DX132" i="24"/>
  <c r="EB132" i="24"/>
  <c r="R80" i="23"/>
  <c r="L80" i="23"/>
  <c r="V80" i="23"/>
  <c r="H80" i="23"/>
  <c r="DZ80" i="23"/>
  <c r="DZ102" i="23"/>
  <c r="CS102" i="23"/>
  <c r="P80" i="23"/>
  <c r="F80" i="23"/>
  <c r="F102" i="23"/>
  <c r="S102" i="23"/>
  <c r="EB102" i="23"/>
  <c r="E80" i="23"/>
  <c r="CN102" i="23"/>
  <c r="M80" i="23"/>
  <c r="L102" i="23"/>
  <c r="U102" i="23"/>
  <c r="K102" i="23"/>
  <c r="H102" i="23"/>
  <c r="CG102" i="23"/>
  <c r="DY80" i="23"/>
  <c r="ED102" i="23"/>
  <c r="O80" i="23"/>
  <c r="T80" i="23"/>
  <c r="N80" i="23"/>
  <c r="V102" i="23"/>
  <c r="N102" i="23"/>
  <c r="E102" i="23"/>
  <c r="AK80" i="23"/>
  <c r="W80" i="23"/>
  <c r="D80" i="23"/>
  <c r="AF102" i="23"/>
  <c r="W102" i="23"/>
  <c r="D102" i="23"/>
  <c r="J80" i="23"/>
  <c r="DL20" i="28"/>
  <c r="DL7" i="26" s="1"/>
  <c r="DR20" i="28"/>
  <c r="AD77" i="32" s="1"/>
  <c r="DW20" i="28"/>
  <c r="AG77" i="32" s="1"/>
  <c r="AC77" i="32"/>
  <c r="DU20" i="28"/>
  <c r="DU7" i="26" s="1"/>
  <c r="DU10" i="26" s="1"/>
  <c r="DQ7" i="26"/>
  <c r="DQ10" i="26" s="1"/>
  <c r="DP20" i="28"/>
  <c r="DP7" i="26" s="1"/>
  <c r="DO20" i="28"/>
  <c r="DO7" i="26" s="1"/>
  <c r="DN20" i="28"/>
  <c r="DN7" i="26" s="1"/>
  <c r="DL5" i="26"/>
  <c r="DK20" i="28"/>
  <c r="DK7" i="26" s="1"/>
  <c r="DO12" i="25"/>
  <c r="DK12" i="25"/>
  <c r="DL12" i="25"/>
  <c r="EC99" i="23"/>
  <c r="EB99" i="23"/>
  <c r="ED78" i="23"/>
  <c r="ED104" i="23" s="1"/>
  <c r="EA78" i="23"/>
  <c r="EA104" i="23" s="1"/>
  <c r="EB78" i="23"/>
  <c r="EB104" i="23" s="1"/>
  <c r="EC78" i="23"/>
  <c r="EC104" i="23" s="1"/>
  <c r="DZ74" i="23"/>
  <c r="DZ100" i="23" s="1"/>
  <c r="EC74" i="23"/>
  <c r="EC100" i="23" s="1"/>
  <c r="EB74" i="23"/>
  <c r="EB100" i="23" s="1"/>
  <c r="DY74" i="23"/>
  <c r="DY100" i="23" s="1"/>
  <c r="DZ99" i="23"/>
  <c r="EB81" i="23"/>
  <c r="EB107" i="23" s="1"/>
  <c r="DZ81" i="23"/>
  <c r="DZ107" i="23" s="1"/>
  <c r="DX81" i="23"/>
  <c r="DX107" i="23" s="1"/>
  <c r="DY99" i="23"/>
  <c r="EK12" i="26"/>
  <c r="BB31" i="24"/>
  <c r="CV7" i="26"/>
  <c r="CV10" i="26" s="1"/>
  <c r="CU7" i="26"/>
  <c r="CU10" i="26" s="1"/>
  <c r="CR31" i="24"/>
  <c r="CW7" i="26"/>
  <c r="CW10" i="26" s="1"/>
  <c r="CS7" i="26"/>
  <c r="CS10" i="26" s="1"/>
  <c r="CT7" i="26"/>
  <c r="CT10" i="26" s="1"/>
  <c r="CR3" i="23"/>
  <c r="CR23" i="23" s="1"/>
  <c r="CR75" i="23" s="1"/>
  <c r="CR101" i="23" s="1"/>
  <c r="BI29" i="23"/>
  <c r="BI81" i="23" s="1"/>
  <c r="BI107" i="23" s="1"/>
  <c r="Q74" i="23"/>
  <c r="Q100" i="23" s="1"/>
  <c r="BY20" i="28"/>
  <c r="BY7" i="26" s="1"/>
  <c r="BY10" i="26" s="1"/>
  <c r="DU132" i="24"/>
  <c r="DT132" i="24"/>
  <c r="DT24" i="28"/>
  <c r="BI27" i="23"/>
  <c r="BI79" i="23" s="1"/>
  <c r="BI105" i="23" s="1"/>
  <c r="BI24" i="23"/>
  <c r="BI76" i="23" s="1"/>
  <c r="BI102" i="23" s="1"/>
  <c r="BI25" i="23"/>
  <c r="BI77" i="23" s="1"/>
  <c r="BI103" i="23" s="1"/>
  <c r="DR6" i="26"/>
  <c r="DR7" i="28" s="1"/>
  <c r="BI21" i="23"/>
  <c r="BI73" i="23" s="1"/>
  <c r="BI99" i="23" s="1"/>
  <c r="BZ20" i="28"/>
  <c r="BZ7" i="26" s="1"/>
  <c r="BZ10" i="26" s="1"/>
  <c r="CA20" i="28"/>
  <c r="CA7" i="26" s="1"/>
  <c r="CA10" i="26" s="1"/>
  <c r="CC7" i="26"/>
  <c r="CC10" i="26" s="1"/>
  <c r="CB20" i="28"/>
  <c r="CB7" i="26" s="1"/>
  <c r="CB10" i="26" s="1"/>
  <c r="BW20" i="28"/>
  <c r="BW7" i="26" s="1"/>
  <c r="BW10" i="26" s="1"/>
  <c r="BU20" i="28"/>
  <c r="BU7" i="26" s="1"/>
  <c r="BU10" i="26" s="1"/>
  <c r="CC4" i="28"/>
  <c r="CW4" i="28"/>
  <c r="DC4" i="28" s="1"/>
  <c r="DI4" i="28" s="1"/>
  <c r="DI8" i="25" s="1"/>
  <c r="BX20" i="28"/>
  <c r="BX7" i="26" s="1"/>
  <c r="BX10" i="26" s="1"/>
  <c r="BV20" i="28"/>
  <c r="BV7" i="26" s="1"/>
  <c r="BV10" i="26" s="1"/>
  <c r="BI23" i="23"/>
  <c r="BI75" i="23" s="1"/>
  <c r="BI101" i="23" s="1"/>
  <c r="AL12" i="24"/>
  <c r="AN12" i="24" s="1"/>
  <c r="H81" i="22"/>
  <c r="K81" i="22"/>
  <c r="BI28" i="23"/>
  <c r="BI80" i="23" s="1"/>
  <c r="AL17" i="24"/>
  <c r="AN17" i="24" s="1"/>
  <c r="BI22" i="23"/>
  <c r="BI74" i="23" s="1"/>
  <c r="BI100" i="23" s="1"/>
  <c r="BI20" i="23"/>
  <c r="BI72" i="23" s="1"/>
  <c r="BI98" i="23" s="1"/>
  <c r="BU24" i="28"/>
  <c r="CB24" i="28"/>
  <c r="BV24" i="28"/>
  <c r="CA24" i="28"/>
  <c r="BZ24" i="28"/>
  <c r="BW24" i="28"/>
  <c r="BY24" i="28"/>
  <c r="BX24" i="28"/>
  <c r="CE108" i="24"/>
  <c r="CE60" i="24"/>
  <c r="CE29" i="24"/>
  <c r="CD108" i="24"/>
  <c r="CD60" i="24"/>
  <c r="CD29" i="24"/>
  <c r="CD3" i="23" s="1"/>
  <c r="BF5" i="26"/>
  <c r="BF10" i="26" s="1"/>
  <c r="BG5" i="26"/>
  <c r="BG10" i="26" s="1"/>
  <c r="BH5" i="26"/>
  <c r="BH10" i="26" s="1"/>
  <c r="BA5" i="26"/>
  <c r="R21" i="28"/>
  <c r="R8" i="26" s="1"/>
  <c r="T8" i="26"/>
  <c r="S3" i="26"/>
  <c r="Q19" i="28"/>
  <c r="Q3" i="26" s="1"/>
  <c r="R20" i="28"/>
  <c r="R7" i="26" s="1"/>
  <c r="T7" i="26"/>
  <c r="R78" i="23"/>
  <c r="R104" i="23" s="1"/>
  <c r="Q78" i="23"/>
  <c r="Q104" i="23" s="1"/>
  <c r="H74" i="23"/>
  <c r="H100" i="23" s="1"/>
  <c r="R81" i="23"/>
  <c r="R107" i="23" s="1"/>
  <c r="Q81" i="23"/>
  <c r="Q107" i="23" s="1"/>
  <c r="CG29" i="23"/>
  <c r="CG81" i="23" s="1"/>
  <c r="CG107" i="23" s="1"/>
  <c r="CG22" i="23"/>
  <c r="CG74" i="23" s="1"/>
  <c r="CG100" i="23" s="1"/>
  <c r="BE10" i="26"/>
  <c r="Q99" i="23"/>
  <c r="S36" i="25"/>
  <c r="S38" i="25" s="1"/>
  <c r="Q4" i="25"/>
  <c r="Q36" i="25" s="1"/>
  <c r="Q38" i="25" s="1"/>
  <c r="G74" i="23"/>
  <c r="G100" i="23" s="1"/>
  <c r="R74" i="23"/>
  <c r="CG7" i="26"/>
  <c r="CG10" i="26" s="1"/>
  <c r="CD20" i="28"/>
  <c r="CD7" i="26" s="1"/>
  <c r="CD10" i="26" s="1"/>
  <c r="CF20" i="28"/>
  <c r="CF7" i="26" s="1"/>
  <c r="CF10" i="26" s="1"/>
  <c r="CE20" i="28"/>
  <c r="CE7" i="26" s="1"/>
  <c r="CE10" i="26" s="1"/>
  <c r="AU12" i="25"/>
  <c r="AU6" i="26" s="1"/>
  <c r="AU7" i="28" s="1"/>
  <c r="BD10" i="26"/>
  <c r="BA12" i="25"/>
  <c r="AS12" i="25"/>
  <c r="AS6" i="26" s="1"/>
  <c r="AS7" i="28" s="1"/>
  <c r="AY5" i="26"/>
  <c r="AZ5" i="26"/>
  <c r="AY12" i="25"/>
  <c r="BC10" i="26"/>
  <c r="AZ12" i="25"/>
  <c r="AV12" i="25"/>
  <c r="AV6" i="26" s="1"/>
  <c r="AV7" i="28" s="1"/>
  <c r="AT12" i="25"/>
  <c r="AT6" i="26" s="1"/>
  <c r="AT7" i="28" s="1"/>
  <c r="AW12" i="25"/>
  <c r="AW6" i="26" s="1"/>
  <c r="AW7" i="28" s="1"/>
  <c r="AY108" i="24"/>
  <c r="AY60" i="24"/>
  <c r="AY29" i="24"/>
  <c r="AY3" i="23" s="1"/>
  <c r="AZ108" i="24"/>
  <c r="AZ60" i="24"/>
  <c r="AZ29" i="24"/>
  <c r="BD4" i="28"/>
  <c r="BD8" i="25" s="1"/>
  <c r="BD12" i="25" s="1"/>
  <c r="BD6" i="26" s="1"/>
  <c r="BV7" i="28" s="1"/>
  <c r="BC4" i="28"/>
  <c r="BC8" i="25" s="1"/>
  <c r="BC12" i="25" s="1"/>
  <c r="BC6" i="26" s="1"/>
  <c r="BU7" i="28" s="1"/>
  <c r="ES7" i="26"/>
  <c r="ES13" i="26" s="1"/>
  <c r="BC22" i="23"/>
  <c r="BC74" i="23" s="1"/>
  <c r="BC100" i="23" s="1"/>
  <c r="BC29" i="23"/>
  <c r="BC81" i="23" s="1"/>
  <c r="BC107" i="23" s="1"/>
  <c r="BC21" i="23"/>
  <c r="BC73" i="23" s="1"/>
  <c r="BC99" i="23" s="1"/>
  <c r="BC28" i="23"/>
  <c r="BC80" i="23" s="1"/>
  <c r="BC20" i="23"/>
  <c r="BC72" i="23" s="1"/>
  <c r="BC27" i="23"/>
  <c r="BC79" i="23" s="1"/>
  <c r="BC105" i="23" s="1"/>
  <c r="BC26" i="23"/>
  <c r="BC78" i="23" s="1"/>
  <c r="BC104" i="23" s="1"/>
  <c r="BC23" i="23"/>
  <c r="BC75" i="23" s="1"/>
  <c r="BC101" i="23" s="1"/>
  <c r="BC25" i="23"/>
  <c r="BC77" i="23" s="1"/>
  <c r="BC103" i="23" s="1"/>
  <c r="BC24" i="23"/>
  <c r="BC76" i="23" s="1"/>
  <c r="BC102" i="23" s="1"/>
  <c r="AG47" i="24"/>
  <c r="BD24" i="28"/>
  <c r="BC24" i="28"/>
  <c r="AG46" i="24"/>
  <c r="BD22" i="23"/>
  <c r="BD74" i="23" s="1"/>
  <c r="BD100" i="23" s="1"/>
  <c r="BD29" i="23"/>
  <c r="BD81" i="23" s="1"/>
  <c r="BD107" i="23" s="1"/>
  <c r="BD21" i="23"/>
  <c r="BD73" i="23" s="1"/>
  <c r="BD99" i="23" s="1"/>
  <c r="BD28" i="23"/>
  <c r="BD80" i="23" s="1"/>
  <c r="BD20" i="23"/>
  <c r="BD72" i="23" s="1"/>
  <c r="BD25" i="23"/>
  <c r="BD77" i="23" s="1"/>
  <c r="BD103" i="23" s="1"/>
  <c r="BD27" i="23"/>
  <c r="BD79" i="23" s="1"/>
  <c r="BD105" i="23" s="1"/>
  <c r="BD26" i="23"/>
  <c r="BD78" i="23" s="1"/>
  <c r="BD104" i="23" s="1"/>
  <c r="BD24" i="23"/>
  <c r="BD76" i="23" s="1"/>
  <c r="BD102" i="23" s="1"/>
  <c r="BD23" i="23"/>
  <c r="BD75" i="23" s="1"/>
  <c r="BD101" i="23" s="1"/>
  <c r="CG21" i="23"/>
  <c r="CG73" i="23" s="1"/>
  <c r="CG99" i="23" s="1"/>
  <c r="CG20" i="23"/>
  <c r="CG72" i="23" s="1"/>
  <c r="CG98" i="23" s="1"/>
  <c r="CG25" i="23"/>
  <c r="CG77" i="23" s="1"/>
  <c r="CG103" i="23" s="1"/>
  <c r="BK10" i="26"/>
  <c r="W47" i="24"/>
  <c r="BH24" i="28"/>
  <c r="BG24" i="28"/>
  <c r="BE24" i="28"/>
  <c r="BF24" i="28"/>
  <c r="EO13" i="26"/>
  <c r="CG28" i="23"/>
  <c r="CG80" i="23" s="1"/>
  <c r="BE4" i="28"/>
  <c r="BE8" i="25" s="1"/>
  <c r="BE12" i="25" s="1"/>
  <c r="BE6" i="26" s="1"/>
  <c r="BW7" i="28" s="1"/>
  <c r="BG4" i="28"/>
  <c r="BF4" i="28"/>
  <c r="BH4" i="28"/>
  <c r="BB6" i="26"/>
  <c r="BL20" i="28"/>
  <c r="BL7" i="26" s="1"/>
  <c r="BL10" i="26" s="1"/>
  <c r="BL24" i="28"/>
  <c r="BM24" i="28"/>
  <c r="BJ23" i="23"/>
  <c r="BJ75" i="23" s="1"/>
  <c r="BJ101" i="23" s="1"/>
  <c r="CG26" i="23"/>
  <c r="CG78" i="23" s="1"/>
  <c r="CG104" i="23" s="1"/>
  <c r="BJ25" i="23"/>
  <c r="BJ77" i="23" s="1"/>
  <c r="BJ103" i="23" s="1"/>
  <c r="W56" i="24"/>
  <c r="CG27" i="23"/>
  <c r="CG79" i="23" s="1"/>
  <c r="CG105" i="23" s="1"/>
  <c r="BJ27" i="23"/>
  <c r="BJ79" i="23" s="1"/>
  <c r="BJ105" i="23" s="1"/>
  <c r="BM20" i="28"/>
  <c r="BM7" i="26" s="1"/>
  <c r="BM10" i="26" s="1"/>
  <c r="CG23" i="23"/>
  <c r="CG75" i="23" s="1"/>
  <c r="CG101" i="23" s="1"/>
  <c r="BS24" i="28"/>
  <c r="BR24" i="28"/>
  <c r="BQ24" i="28"/>
  <c r="BP24" i="28"/>
  <c r="BN24" i="28"/>
  <c r="BO24" i="28"/>
  <c r="W46" i="24"/>
  <c r="W48" i="24"/>
  <c r="W49" i="24"/>
  <c r="W50" i="24"/>
  <c r="BT7" i="26"/>
  <c r="BT10" i="26" s="1"/>
  <c r="BR20" i="28"/>
  <c r="BR7" i="26" s="1"/>
  <c r="BR10" i="26" s="1"/>
  <c r="BS20" i="28"/>
  <c r="BS7" i="26" s="1"/>
  <c r="BS10" i="26" s="1"/>
  <c r="BQ20" i="28"/>
  <c r="BQ7" i="26" s="1"/>
  <c r="BQ10" i="26" s="1"/>
  <c r="BP20" i="28"/>
  <c r="BP7" i="26" s="1"/>
  <c r="BP10" i="26" s="1"/>
  <c r="BN20" i="28"/>
  <c r="BN7" i="26" s="1"/>
  <c r="BN10" i="26" s="1"/>
  <c r="BO20" i="28"/>
  <c r="BO7" i="26" s="1"/>
  <c r="BO10" i="26" s="1"/>
  <c r="CO26" i="23"/>
  <c r="CO78" i="23" s="1"/>
  <c r="CO104" i="23" s="1"/>
  <c r="BI78" i="23"/>
  <c r="BI104" i="23" s="1"/>
  <c r="W95" i="24"/>
  <c r="CS78" i="23"/>
  <c r="CS104" i="23" s="1"/>
  <c r="AG49" i="24"/>
  <c r="AK17" i="26"/>
  <c r="AK116" i="28" s="1"/>
  <c r="W94" i="24"/>
  <c r="BJ28" i="23"/>
  <c r="BJ80" i="23" s="1"/>
  <c r="W96" i="24"/>
  <c r="W98" i="24"/>
  <c r="W110" i="24"/>
  <c r="W122" i="24" s="1"/>
  <c r="AS24" i="28"/>
  <c r="AK15" i="26"/>
  <c r="AK94" i="28" s="1"/>
  <c r="CP7" i="28"/>
  <c r="W111" i="24"/>
  <c r="W123" i="24" s="1"/>
  <c r="AG48" i="24"/>
  <c r="W97" i="24"/>
  <c r="AG50" i="24"/>
  <c r="CO22" i="23"/>
  <c r="CO74" i="23" s="1"/>
  <c r="CO100" i="23" s="1"/>
  <c r="CO23" i="23"/>
  <c r="CO75" i="23" s="1"/>
  <c r="CO101" i="23" s="1"/>
  <c r="CO21" i="23"/>
  <c r="CO73" i="23" s="1"/>
  <c r="CO99" i="23" s="1"/>
  <c r="CO27" i="23"/>
  <c r="CO79" i="23" s="1"/>
  <c r="CO105" i="23" s="1"/>
  <c r="CO28" i="23"/>
  <c r="CO80" i="23" s="1"/>
  <c r="CO24" i="23"/>
  <c r="CO76" i="23" s="1"/>
  <c r="CO102" i="23" s="1"/>
  <c r="CO29" i="23"/>
  <c r="CO81" i="23" s="1"/>
  <c r="CO107" i="23" s="1"/>
  <c r="AI10" i="26"/>
  <c r="CO20" i="23"/>
  <c r="CO72" i="23" s="1"/>
  <c r="CO98" i="23" s="1"/>
  <c r="AF74" i="23"/>
  <c r="AF100" i="23" s="1"/>
  <c r="DR24" i="28"/>
  <c r="Y77" i="32"/>
  <c r="J74" i="23"/>
  <c r="J100" i="23" s="1"/>
  <c r="U74" i="23"/>
  <c r="U100" i="23" s="1"/>
  <c r="AX6" i="26"/>
  <c r="L74" i="23"/>
  <c r="L100" i="23" s="1"/>
  <c r="V74" i="23"/>
  <c r="V100" i="23" s="1"/>
  <c r="O74" i="23"/>
  <c r="O100" i="23" s="1"/>
  <c r="S74" i="23"/>
  <c r="S100" i="23" s="1"/>
  <c r="AK74" i="23"/>
  <c r="AK100" i="23" s="1"/>
  <c r="CN74" i="23"/>
  <c r="CN100" i="23" s="1"/>
  <c r="CS74" i="23"/>
  <c r="CS100" i="23" s="1"/>
  <c r="AB77" i="32"/>
  <c r="D74" i="23"/>
  <c r="D100" i="23" s="1"/>
  <c r="N74" i="23"/>
  <c r="N100" i="23" s="1"/>
  <c r="P74" i="23"/>
  <c r="P100" i="23" s="1"/>
  <c r="AP6" i="26"/>
  <c r="AP7" i="28" s="1"/>
  <c r="W103" i="24"/>
  <c r="CS81" i="23"/>
  <c r="CS107" i="23" s="1"/>
  <c r="K74" i="23"/>
  <c r="K100" i="23" s="1"/>
  <c r="F74" i="23"/>
  <c r="F100" i="23" s="1"/>
  <c r="M74" i="23"/>
  <c r="M100" i="23" s="1"/>
  <c r="AW24" i="28"/>
  <c r="AV24" i="28"/>
  <c r="AT24" i="28"/>
  <c r="AU24" i="28"/>
  <c r="AT17" i="25"/>
  <c r="E74" i="23"/>
  <c r="E100" i="23" s="1"/>
  <c r="W74" i="23"/>
  <c r="W100" i="23" s="1"/>
  <c r="T74" i="23"/>
  <c r="T100" i="23" s="1"/>
  <c r="AG94" i="24"/>
  <c r="Z77" i="32"/>
  <c r="AK81" i="23"/>
  <c r="AK107" i="23" s="1"/>
  <c r="CN81" i="23"/>
  <c r="CN107" i="23" s="1"/>
  <c r="AG95" i="24"/>
  <c r="AG97" i="24"/>
  <c r="AG55" i="24"/>
  <c r="AG99" i="24"/>
  <c r="DU24" i="28"/>
  <c r="AQ6" i="26"/>
  <c r="DR132" i="24"/>
  <c r="AG96" i="24"/>
  <c r="AG98" i="24"/>
  <c r="E24" i="13"/>
  <c r="M24" i="13" s="1"/>
  <c r="CX24" i="28"/>
  <c r="DQ24" i="28"/>
  <c r="AL18" i="24"/>
  <c r="AN18" i="24" s="1"/>
  <c r="BJ20" i="23"/>
  <c r="BJ72" i="23" s="1"/>
  <c r="BJ98" i="23" s="1"/>
  <c r="AL10" i="28"/>
  <c r="G25" i="30"/>
  <c r="G21" i="30"/>
  <c r="G20" i="30"/>
  <c r="D11" i="21"/>
  <c r="D9" i="21" s="1"/>
  <c r="G24" i="30"/>
  <c r="E16" i="21"/>
  <c r="E14" i="21" s="1"/>
  <c r="G23" i="30"/>
  <c r="G16" i="21"/>
  <c r="G14" i="21" s="1"/>
  <c r="C16" i="21"/>
  <c r="C14" i="21" s="1"/>
  <c r="G22" i="30"/>
  <c r="G17" i="30"/>
  <c r="G18" i="30"/>
  <c r="G19" i="30"/>
  <c r="F11" i="21"/>
  <c r="F9" i="21" s="1"/>
  <c r="H11" i="21"/>
  <c r="H9" i="21" s="1"/>
  <c r="G27" i="30"/>
  <c r="C11" i="21"/>
  <c r="C9" i="21" s="1"/>
  <c r="G26" i="30"/>
  <c r="E11" i="21"/>
  <c r="H82" i="22"/>
  <c r="BJ29" i="23"/>
  <c r="BJ81" i="23" s="1"/>
  <c r="BJ107" i="23" s="1"/>
  <c r="CN78" i="23"/>
  <c r="CN104" i="23" s="1"/>
  <c r="H78" i="22"/>
  <c r="BJ22" i="23"/>
  <c r="BJ74" i="23" s="1"/>
  <c r="BJ100" i="23" s="1"/>
  <c r="BJ26" i="23"/>
  <c r="BJ78" i="23" s="1"/>
  <c r="BJ104" i="23" s="1"/>
  <c r="AL15" i="24"/>
  <c r="AN15" i="24" s="1"/>
  <c r="AL8" i="24"/>
  <c r="AN8" i="24" s="1"/>
  <c r="AF78" i="23"/>
  <c r="F78" i="23"/>
  <c r="F104" i="23" s="1"/>
  <c r="L78" i="23"/>
  <c r="M78" i="23"/>
  <c r="J78" i="23"/>
  <c r="K78" i="23"/>
  <c r="P78" i="23"/>
  <c r="P104" i="23" s="1"/>
  <c r="S78" i="23"/>
  <c r="N78" i="23"/>
  <c r="O78" i="23"/>
  <c r="V78" i="23"/>
  <c r="W78" i="23"/>
  <c r="T78" i="23"/>
  <c r="U78" i="23"/>
  <c r="D78" i="23"/>
  <c r="G78" i="23"/>
  <c r="H78" i="23"/>
  <c r="E78" i="23"/>
  <c r="AK78" i="23"/>
  <c r="AK104" i="23" s="1"/>
  <c r="BJ24" i="23"/>
  <c r="BJ76" i="23" s="1"/>
  <c r="BJ102" i="23" s="1"/>
  <c r="U81" i="23"/>
  <c r="U107" i="23" s="1"/>
  <c r="L81" i="23"/>
  <c r="L107" i="23" s="1"/>
  <c r="O81" i="23"/>
  <c r="O107" i="23" s="1"/>
  <c r="F81" i="23"/>
  <c r="F107" i="23" s="1"/>
  <c r="E81" i="23"/>
  <c r="E107" i="23" s="1"/>
  <c r="P81" i="23"/>
  <c r="P107" i="23" s="1"/>
  <c r="V81" i="23"/>
  <c r="V107" i="23" s="1"/>
  <c r="D81" i="23"/>
  <c r="D107" i="23" s="1"/>
  <c r="H81" i="23"/>
  <c r="H107" i="23" s="1"/>
  <c r="J81" i="23"/>
  <c r="J107" i="23" s="1"/>
  <c r="K81" i="23"/>
  <c r="K107" i="23" s="1"/>
  <c r="M81" i="23"/>
  <c r="M107" i="23" s="1"/>
  <c r="N81" i="23"/>
  <c r="N107" i="23" s="1"/>
  <c r="S81" i="23"/>
  <c r="S107" i="23" s="1"/>
  <c r="T81" i="23"/>
  <c r="T107" i="23" s="1"/>
  <c r="G81" i="23"/>
  <c r="G107" i="23" s="1"/>
  <c r="W81" i="23"/>
  <c r="W107" i="23" s="1"/>
  <c r="AF81" i="23"/>
  <c r="AF107" i="23" s="1"/>
  <c r="Z33" i="8"/>
  <c r="Z31" i="8"/>
  <c r="Y29" i="8"/>
  <c r="Z32" i="8"/>
  <c r="AH107" i="24"/>
  <c r="AH102" i="24"/>
  <c r="AH54" i="24"/>
  <c r="AH85" i="24"/>
  <c r="AH59" i="24"/>
  <c r="AH37" i="24"/>
  <c r="Z36" i="8"/>
  <c r="AD75" i="32"/>
  <c r="DU16" i="28"/>
  <c r="AH9" i="25"/>
  <c r="E70" i="32"/>
  <c r="AH6" i="28"/>
  <c r="E71" i="32" s="1"/>
  <c r="F36" i="13"/>
  <c r="F47" i="13" s="1"/>
  <c r="N9" i="13" s="1"/>
  <c r="D227" i="29"/>
  <c r="P26" i="27"/>
  <c r="CT25" i="27"/>
  <c r="CT29" i="27" s="1"/>
  <c r="L26" i="27"/>
  <c r="CG25" i="27"/>
  <c r="CG29" i="27" s="1"/>
  <c r="CX25" i="27"/>
  <c r="CX29" i="27" s="1"/>
  <c r="O26" i="27"/>
  <c r="AL25" i="27"/>
  <c r="AL29" i="27" s="1"/>
  <c r="H26" i="27"/>
  <c r="T26" i="27"/>
  <c r="CV25" i="27"/>
  <c r="CV29" i="27" s="1"/>
  <c r="AF26" i="27"/>
  <c r="AG26" i="27"/>
  <c r="AI26" i="27"/>
  <c r="AI30" i="27" s="1"/>
  <c r="AM25" i="27"/>
  <c r="AM29" i="27" s="1"/>
  <c r="J26" i="27"/>
  <c r="AN25" i="27"/>
  <c r="AN29" i="27" s="1"/>
  <c r="CS25" i="27"/>
  <c r="CS29" i="27" s="1"/>
  <c r="BT25" i="27"/>
  <c r="BT29" i="27" s="1"/>
  <c r="V26" i="27"/>
  <c r="V30" i="27" s="1"/>
  <c r="AH26" i="27"/>
  <c r="M26" i="27"/>
  <c r="AK25" i="27"/>
  <c r="AK29" i="27" s="1"/>
  <c r="K26" i="27"/>
  <c r="BI25" i="27"/>
  <c r="BI29" i="27" s="1"/>
  <c r="BJ25" i="27"/>
  <c r="BJ29" i="27" s="1"/>
  <c r="N26" i="27"/>
  <c r="N30" i="27" s="1"/>
  <c r="W26" i="27"/>
  <c r="W30" i="27" s="1"/>
  <c r="E26" i="27"/>
  <c r="G26" i="27"/>
  <c r="S26" i="27"/>
  <c r="S30" i="27" s="1"/>
  <c r="AJ26" i="27"/>
  <c r="AJ30" i="27" s="1"/>
  <c r="BK25" i="27"/>
  <c r="BK29" i="27" s="1"/>
  <c r="U26" i="27"/>
  <c r="U30" i="27" s="1"/>
  <c r="CU25" i="27"/>
  <c r="CU29" i="27" s="1"/>
  <c r="D26" i="27"/>
  <c r="F26" i="27"/>
  <c r="F30" i="27" s="1"/>
  <c r="L69" i="32"/>
  <c r="AM8" i="25"/>
  <c r="AM12" i="25" s="1"/>
  <c r="AM6" i="26" s="1"/>
  <c r="AN4" i="28"/>
  <c r="AH20" i="25"/>
  <c r="AH22" i="25"/>
  <c r="AH24" i="25"/>
  <c r="AH23" i="25"/>
  <c r="AH25" i="25"/>
  <c r="AH21" i="25"/>
  <c r="Z35" i="8"/>
  <c r="N16" i="14"/>
  <c r="N23" i="14" s="1"/>
  <c r="DQ11" i="24"/>
  <c r="DM11" i="24" s="1"/>
  <c r="O19" i="28"/>
  <c r="O3" i="26" s="1"/>
  <c r="N19" i="28"/>
  <c r="DU26" i="27"/>
  <c r="DU30" i="27" s="1"/>
  <c r="DU18" i="27"/>
  <c r="DU16" i="27"/>
  <c r="BI8" i="25"/>
  <c r="W69" i="32"/>
  <c r="C100" i="32" s="1"/>
  <c r="H36" i="37" s="1"/>
  <c r="CX4" i="28"/>
  <c r="BK4" i="28"/>
  <c r="CV4" i="28"/>
  <c r="DB4" i="28" s="1"/>
  <c r="DH4" i="28" s="1"/>
  <c r="DH8" i="25" s="1"/>
  <c r="BJ4" i="28"/>
  <c r="CS4" i="28"/>
  <c r="CY4" i="28" s="1"/>
  <c r="DE4" i="28" s="1"/>
  <c r="DE8" i="25" s="1"/>
  <c r="CG4" i="28"/>
  <c r="CU4" i="28"/>
  <c r="DA4" i="28" s="1"/>
  <c r="CT4" i="28"/>
  <c r="CZ4" i="28" s="1"/>
  <c r="DF4" i="28" s="1"/>
  <c r="DF8" i="25" s="1"/>
  <c r="BT4" i="28"/>
  <c r="W30" i="8"/>
  <c r="Y30" i="8" s="1"/>
  <c r="AG7" i="28"/>
  <c r="AG15" i="26"/>
  <c r="AG94" i="28" s="1"/>
  <c r="DW26" i="27"/>
  <c r="DW30" i="27" s="1"/>
  <c r="DW18" i="27"/>
  <c r="DW16" i="27"/>
  <c r="AM3" i="23"/>
  <c r="AM135" i="24"/>
  <c r="E7" i="29"/>
  <c r="E5" i="29"/>
  <c r="AD17" i="27" s="1"/>
  <c r="BJ7" i="26"/>
  <c r="BJ10" i="26" s="1"/>
  <c r="X77" i="32"/>
  <c r="AN9" i="25"/>
  <c r="AN11" i="25" s="1"/>
  <c r="AN5" i="26" s="1"/>
  <c r="AN10" i="26" s="1"/>
  <c r="M70" i="32"/>
  <c r="D98" i="32" s="1"/>
  <c r="I34" i="37" s="1"/>
  <c r="AN6" i="28"/>
  <c r="M71" i="32" s="1"/>
  <c r="DQ26" i="27"/>
  <c r="DQ30" i="27" s="1"/>
  <c r="DQ16" i="27"/>
  <c r="DQ18" i="27"/>
  <c r="DR26" i="27"/>
  <c r="DR30" i="27" s="1"/>
  <c r="DR18" i="27"/>
  <c r="DR16" i="27"/>
  <c r="AI5" i="24"/>
  <c r="AI61" i="24" s="1"/>
  <c r="AI17" i="25"/>
  <c r="M15" i="13"/>
  <c r="D228" i="29"/>
  <c r="AX25" i="27"/>
  <c r="AX29" i="27" s="1"/>
  <c r="AQ25" i="27"/>
  <c r="AQ29" i="27" s="1"/>
  <c r="CQ25" i="27"/>
  <c r="CQ29" i="27" s="1"/>
  <c r="BB25" i="27"/>
  <c r="BB29" i="27" s="1"/>
  <c r="AO25" i="27"/>
  <c r="AO29" i="27" s="1"/>
  <c r="AP25" i="27"/>
  <c r="AP29" i="27" s="1"/>
  <c r="CP25" i="27"/>
  <c r="CP29" i="27" s="1"/>
  <c r="CN25" i="27"/>
  <c r="CN29" i="27" s="1"/>
  <c r="CO25" i="27"/>
  <c r="CO29" i="27" s="1"/>
  <c r="CR25" i="27"/>
  <c r="CR29" i="27" s="1"/>
  <c r="U8" i="26"/>
  <c r="S21" i="28"/>
  <c r="S8" i="26" s="1"/>
  <c r="V31" i="24"/>
  <c r="U7" i="26"/>
  <c r="G20" i="28"/>
  <c r="G7" i="26" s="1"/>
  <c r="S20" i="28"/>
  <c r="S7" i="26" s="1"/>
  <c r="V122" i="24"/>
  <c r="V74" i="24"/>
  <c r="W74" i="24"/>
  <c r="T8" i="25"/>
  <c r="G4" i="28"/>
  <c r="G8" i="25" s="1"/>
  <c r="AI122" i="24"/>
  <c r="CN122" i="24"/>
  <c r="AI74" i="24"/>
  <c r="CN74" i="24"/>
  <c r="CS98" i="23"/>
  <c r="V75" i="24"/>
  <c r="AG74" i="24"/>
  <c r="AG76" i="24" s="1"/>
  <c r="AG64" i="24"/>
  <c r="AF74" i="24"/>
  <c r="U8" i="25"/>
  <c r="S4" i="28"/>
  <c r="K4" i="28"/>
  <c r="K8" i="25" s="1"/>
  <c r="H4" i="28"/>
  <c r="H8" i="25" s="1"/>
  <c r="AG121" i="24"/>
  <c r="AG124" i="24" s="1"/>
  <c r="AG112" i="24"/>
  <c r="DQ122" i="24"/>
  <c r="T4" i="24"/>
  <c r="T75" i="24" s="1"/>
  <c r="P11" i="28"/>
  <c r="P20" i="28"/>
  <c r="P7" i="26" s="1"/>
  <c r="AQ27" i="23"/>
  <c r="AQ79" i="23" s="1"/>
  <c r="AQ105" i="23" s="1"/>
  <c r="AQ26" i="23"/>
  <c r="AQ78" i="23" s="1"/>
  <c r="AQ104" i="23" s="1"/>
  <c r="AQ20" i="23"/>
  <c r="AQ72" i="23" s="1"/>
  <c r="AQ29" i="23"/>
  <c r="AQ81" i="23" s="1"/>
  <c r="AQ107" i="23" s="1"/>
  <c r="AQ28" i="23"/>
  <c r="AQ80" i="23" s="1"/>
  <c r="AQ21" i="23"/>
  <c r="AQ73" i="23" s="1"/>
  <c r="AQ99" i="23" s="1"/>
  <c r="AQ25" i="23"/>
  <c r="AQ77" i="23" s="1"/>
  <c r="AQ103" i="23" s="1"/>
  <c r="AQ23" i="23"/>
  <c r="AQ75" i="23" s="1"/>
  <c r="AQ101" i="23" s="1"/>
  <c r="AQ24" i="23"/>
  <c r="AQ76" i="23" s="1"/>
  <c r="AQ102" i="23" s="1"/>
  <c r="AQ22" i="23"/>
  <c r="AQ74" i="23" s="1"/>
  <c r="AQ100" i="23" s="1"/>
  <c r="AM74" i="24"/>
  <c r="AK98" i="23"/>
  <c r="P21" i="28"/>
  <c r="P8" i="26" s="1"/>
  <c r="U4" i="24"/>
  <c r="U74" i="24" s="1"/>
  <c r="S11" i="28"/>
  <c r="V123" i="24"/>
  <c r="CS74" i="24"/>
  <c r="EP7" i="26"/>
  <c r="ET7" i="26" s="1"/>
  <c r="EL10" i="26"/>
  <c r="M90" i="22"/>
  <c r="H90" i="22"/>
  <c r="ER13" i="26"/>
  <c r="ER10" i="26"/>
  <c r="ER12" i="26" s="1"/>
  <c r="Y12" i="26" s="1"/>
  <c r="DL17" i="27" l="1"/>
  <c r="AH24" i="28"/>
  <c r="E30" i="27"/>
  <c r="R17" i="27"/>
  <c r="DE3" i="25"/>
  <c r="Y5" i="28"/>
  <c r="K30" i="27"/>
  <c r="Z5" i="28"/>
  <c r="AJ24" i="28"/>
  <c r="I17" i="27"/>
  <c r="AB5" i="28"/>
  <c r="AC5" i="28"/>
  <c r="AD5" i="28"/>
  <c r="AD6" i="28" s="1"/>
  <c r="W5" i="28"/>
  <c r="V5" i="28" s="1"/>
  <c r="V9" i="25" s="1"/>
  <c r="V11" i="25" s="1"/>
  <c r="V5" i="26" s="1"/>
  <c r="V10" i="26" s="1"/>
  <c r="D107" i="32"/>
  <c r="D8" i="37" s="1"/>
  <c r="D108" i="32"/>
  <c r="D9" i="37" s="1"/>
  <c r="AH30" i="27"/>
  <c r="D30" i="27"/>
  <c r="AD30" i="27"/>
  <c r="DM17" i="27"/>
  <c r="CT23" i="23"/>
  <c r="CT75" i="23" s="1"/>
  <c r="CT101" i="23" s="1"/>
  <c r="AB17" i="27"/>
  <c r="DV17" i="27"/>
  <c r="Y17" i="27"/>
  <c r="AE17" i="27"/>
  <c r="S24" i="28"/>
  <c r="E24" i="28"/>
  <c r="E14" i="29"/>
  <c r="E6" i="29" s="1"/>
  <c r="D6" i="29"/>
  <c r="Z30" i="27"/>
  <c r="DT17" i="27"/>
  <c r="T30" i="27"/>
  <c r="P30" i="27"/>
  <c r="AA17" i="27"/>
  <c r="X17" i="27"/>
  <c r="E11" i="29"/>
  <c r="E4" i="29" s="1"/>
  <c r="D4" i="29"/>
  <c r="DU17" i="27"/>
  <c r="CI12" i="27"/>
  <c r="CL12" i="27"/>
  <c r="CJ12" i="27"/>
  <c r="DE12" i="27"/>
  <c r="DH12" i="27"/>
  <c r="DF12" i="27"/>
  <c r="DI12" i="27"/>
  <c r="CH12" i="27"/>
  <c r="DJ12" i="27"/>
  <c r="CM12" i="27"/>
  <c r="CK12" i="27"/>
  <c r="DD12" i="27"/>
  <c r="DA12" i="27"/>
  <c r="DB12" i="27"/>
  <c r="CZ12" i="27"/>
  <c r="DC12" i="27"/>
  <c r="CY12" i="27"/>
  <c r="CW12" i="27"/>
  <c r="CC12" i="27"/>
  <c r="BW12" i="27"/>
  <c r="BZ12" i="27"/>
  <c r="CA12" i="27"/>
  <c r="CB12" i="27"/>
  <c r="BX12" i="27"/>
  <c r="CF12" i="27"/>
  <c r="BV12" i="27"/>
  <c r="BR12" i="27"/>
  <c r="BU12" i="27"/>
  <c r="BY12" i="27"/>
  <c r="BH12" i="27"/>
  <c r="BQ12" i="27"/>
  <c r="BF12" i="27"/>
  <c r="BM12" i="27"/>
  <c r="BC12" i="27"/>
  <c r="BD12" i="27"/>
  <c r="BG12" i="27"/>
  <c r="BS12" i="27"/>
  <c r="CD12" i="27"/>
  <c r="CE12" i="27"/>
  <c r="BL12" i="27"/>
  <c r="BN12" i="27"/>
  <c r="BO12" i="27"/>
  <c r="BP12" i="27"/>
  <c r="BE12" i="27"/>
  <c r="Y30" i="27"/>
  <c r="AP11" i="27"/>
  <c r="AW11" i="27"/>
  <c r="AT11" i="27"/>
  <c r="BB11" i="27"/>
  <c r="CO11" i="27"/>
  <c r="CP11" i="27"/>
  <c r="AX11" i="27"/>
  <c r="CR11" i="27"/>
  <c r="AV11" i="27"/>
  <c r="CN11" i="27"/>
  <c r="CQ11" i="27"/>
  <c r="AQ11" i="27"/>
  <c r="AO11" i="27"/>
  <c r="AZ11" i="27"/>
  <c r="AS11" i="27"/>
  <c r="AU11" i="27"/>
  <c r="AR11" i="27"/>
  <c r="BA11" i="27"/>
  <c r="AY11" i="27"/>
  <c r="DT12" i="27"/>
  <c r="DO12" i="27"/>
  <c r="DL12" i="27"/>
  <c r="DV12" i="27"/>
  <c r="DN12" i="27"/>
  <c r="DP12" i="27"/>
  <c r="DK12" i="27"/>
  <c r="DS12" i="27"/>
  <c r="DM12" i="27"/>
  <c r="J30" i="27"/>
  <c r="W24" i="28"/>
  <c r="DO17" i="27"/>
  <c r="V11" i="27"/>
  <c r="L11" i="27"/>
  <c r="W11" i="27"/>
  <c r="P11" i="27"/>
  <c r="J11" i="27"/>
  <c r="AF11" i="27"/>
  <c r="T11" i="27"/>
  <c r="G11" i="27"/>
  <c r="O11" i="27"/>
  <c r="D11" i="27"/>
  <c r="N11" i="27"/>
  <c r="S11" i="27"/>
  <c r="E11" i="27"/>
  <c r="AJ11" i="27"/>
  <c r="AH11" i="27"/>
  <c r="U11" i="27"/>
  <c r="M11" i="27"/>
  <c r="AG11" i="27"/>
  <c r="F11" i="27"/>
  <c r="AI11" i="27"/>
  <c r="AF30" i="27"/>
  <c r="DP17" i="27"/>
  <c r="AC17" i="27"/>
  <c r="DK17" i="27"/>
  <c r="Z17" i="27"/>
  <c r="H11" i="27"/>
  <c r="L30" i="27"/>
  <c r="G30" i="27"/>
  <c r="M30" i="27"/>
  <c r="DN17" i="27"/>
  <c r="V24" i="28"/>
  <c r="Q17" i="27"/>
  <c r="G24" i="28"/>
  <c r="DS17" i="27"/>
  <c r="K11" i="27"/>
  <c r="U24" i="28"/>
  <c r="T24" i="28"/>
  <c r="AG24" i="28"/>
  <c r="P24" i="28"/>
  <c r="R24" i="28"/>
  <c r="DX29" i="27"/>
  <c r="O24" i="28"/>
  <c r="Q24" i="28"/>
  <c r="N24" i="28"/>
  <c r="AD29" i="27"/>
  <c r="AD24" i="28"/>
  <c r="AB24" i="28"/>
  <c r="AB29" i="27"/>
  <c r="AE30" i="27"/>
  <c r="H30" i="27"/>
  <c r="AF24" i="28"/>
  <c r="X24" i="28"/>
  <c r="X29" i="27"/>
  <c r="T29" i="27"/>
  <c r="Q29" i="27"/>
  <c r="Z29" i="27"/>
  <c r="Z24" i="28"/>
  <c r="P29" i="27"/>
  <c r="AB30" i="27"/>
  <c r="Y29" i="27"/>
  <c r="Y24" i="28"/>
  <c r="AE29" i="27"/>
  <c r="AE24" i="28"/>
  <c r="N29" i="27"/>
  <c r="O30" i="27"/>
  <c r="H29" i="27"/>
  <c r="F24" i="28"/>
  <c r="I24" i="28"/>
  <c r="H24" i="28"/>
  <c r="O29" i="27"/>
  <c r="K24" i="28"/>
  <c r="D24" i="28"/>
  <c r="AC29" i="27"/>
  <c r="AC24" i="28"/>
  <c r="R30" i="27"/>
  <c r="L24" i="28"/>
  <c r="M24" i="28"/>
  <c r="J24" i="28"/>
  <c r="Q30" i="27"/>
  <c r="AF29" i="27"/>
  <c r="AC30" i="27"/>
  <c r="AH29" i="27"/>
  <c r="AG30" i="27"/>
  <c r="AG29" i="27"/>
  <c r="DY24" i="28"/>
  <c r="DY29" i="27"/>
  <c r="AA30" i="27"/>
  <c r="K29" i="27"/>
  <c r="AI24" i="28"/>
  <c r="AA29" i="27"/>
  <c r="AA24" i="28"/>
  <c r="I30" i="27"/>
  <c r="S29" i="27"/>
  <c r="DS3" i="23"/>
  <c r="AM35" i="25"/>
  <c r="AM38" i="25" s="1"/>
  <c r="L79" i="32"/>
  <c r="L83" i="32" s="1"/>
  <c r="CV136" i="24"/>
  <c r="DA136" i="24" s="1"/>
  <c r="DF136" i="24" s="1"/>
  <c r="DS136" i="24"/>
  <c r="DS137" i="24" s="1"/>
  <c r="DS116" i="24"/>
  <c r="DS128" i="24" s="1"/>
  <c r="DQ17" i="28"/>
  <c r="DQ22" i="28"/>
  <c r="DS17" i="28"/>
  <c r="DS117" i="24"/>
  <c r="DS129" i="24" s="1"/>
  <c r="CV134" i="24"/>
  <c r="DS134" i="24"/>
  <c r="DS135" i="24" s="1"/>
  <c r="DS68" i="24"/>
  <c r="DS80" i="24" s="1"/>
  <c r="AL17" i="28"/>
  <c r="DS69" i="24"/>
  <c r="DS81" i="24" s="1"/>
  <c r="Y9" i="25"/>
  <c r="AB6" i="28"/>
  <c r="X5" i="28"/>
  <c r="X9" i="25" s="1"/>
  <c r="Z6" i="28"/>
  <c r="AA5" i="28"/>
  <c r="BB29" i="23"/>
  <c r="BB81" i="23" s="1"/>
  <c r="BB107" i="23" s="1"/>
  <c r="CE31" i="24"/>
  <c r="AO27" i="23"/>
  <c r="AO79" i="23" s="1"/>
  <c r="AO105" i="23" s="1"/>
  <c r="CT20" i="23"/>
  <c r="CT72" i="23" s="1"/>
  <c r="BB20" i="23"/>
  <c r="BB72" i="23" s="1"/>
  <c r="BB98" i="23" s="1"/>
  <c r="CT25" i="23"/>
  <c r="CT77" i="23" s="1"/>
  <c r="CT103" i="23" s="1"/>
  <c r="CX136" i="24"/>
  <c r="DD136" i="24" s="1"/>
  <c r="DW136" i="24"/>
  <c r="CT28" i="23"/>
  <c r="CT80" i="23" s="1"/>
  <c r="CT22" i="23"/>
  <c r="CT74" i="23" s="1"/>
  <c r="CT100" i="23" s="1"/>
  <c r="K72" i="32"/>
  <c r="CT21" i="23"/>
  <c r="CT73" i="23" s="1"/>
  <c r="CT99" i="23" s="1"/>
  <c r="AL17" i="26"/>
  <c r="AL116" i="28" s="1"/>
  <c r="AL109" i="28" s="1"/>
  <c r="CT27" i="23"/>
  <c r="CT79" i="23" s="1"/>
  <c r="CT105" i="23" s="1"/>
  <c r="AL15" i="26"/>
  <c r="AL94" i="28" s="1"/>
  <c r="AL87" i="28" s="1"/>
  <c r="CT26" i="23"/>
  <c r="CT78" i="23" s="1"/>
  <c r="CT104" i="23" s="1"/>
  <c r="CT29" i="23"/>
  <c r="CT81" i="23" s="1"/>
  <c r="CT107" i="23" s="1"/>
  <c r="Z12" i="26"/>
  <c r="AD12" i="26"/>
  <c r="AG17" i="24"/>
  <c r="H27" i="13"/>
  <c r="AG15" i="24"/>
  <c r="AG8" i="24"/>
  <c r="AG11" i="24"/>
  <c r="AG10" i="28"/>
  <c r="N15" i="13"/>
  <c r="O9" i="13"/>
  <c r="AF12" i="26"/>
  <c r="AO26" i="23"/>
  <c r="AO78" i="23" s="1"/>
  <c r="AO104" i="23" s="1"/>
  <c r="AO23" i="23"/>
  <c r="AO75" i="23" s="1"/>
  <c r="AO101" i="23" s="1"/>
  <c r="BI136" i="24"/>
  <c r="BC136" i="24" s="1"/>
  <c r="AP24" i="23"/>
  <c r="AP76" i="23" s="1"/>
  <c r="AP102" i="23" s="1"/>
  <c r="AP21" i="23"/>
  <c r="AP73" i="23" s="1"/>
  <c r="AP99" i="23" s="1"/>
  <c r="BB28" i="23"/>
  <c r="BB80" i="23" s="1"/>
  <c r="BB25" i="23"/>
  <c r="BB77" i="23" s="1"/>
  <c r="BB103" i="23" s="1"/>
  <c r="CX24" i="23"/>
  <c r="CX76" i="23" s="1"/>
  <c r="CX102" i="23" s="1"/>
  <c r="DI134" i="24"/>
  <c r="DW134" i="24"/>
  <c r="DC134" i="24"/>
  <c r="CX21" i="23"/>
  <c r="CX73" i="23" s="1"/>
  <c r="CX99" i="23" s="1"/>
  <c r="CW134" i="24"/>
  <c r="AO20" i="23"/>
  <c r="AO72" i="23" s="1"/>
  <c r="AO98" i="23" s="1"/>
  <c r="BM134" i="24"/>
  <c r="AP27" i="23"/>
  <c r="AP79" i="23" s="1"/>
  <c r="AP105" i="23" s="1"/>
  <c r="BV136" i="24"/>
  <c r="AO28" i="23"/>
  <c r="AO80" i="23" s="1"/>
  <c r="BQ134" i="24"/>
  <c r="AP26" i="23"/>
  <c r="AP78" i="23" s="1"/>
  <c r="AP104" i="23" s="1"/>
  <c r="AO29" i="23"/>
  <c r="AO81" i="23" s="1"/>
  <c r="AO107" i="23" s="1"/>
  <c r="AO25" i="23"/>
  <c r="AO77" i="23" s="1"/>
  <c r="AO103" i="23" s="1"/>
  <c r="BP134" i="24"/>
  <c r="BR134" i="24"/>
  <c r="AO22" i="23"/>
  <c r="AO74" i="23" s="1"/>
  <c r="AO100" i="23" s="1"/>
  <c r="AP22" i="23"/>
  <c r="AP74" i="23" s="1"/>
  <c r="AP100" i="23" s="1"/>
  <c r="AO21" i="23"/>
  <c r="AO73" i="23" s="1"/>
  <c r="AO99" i="23" s="1"/>
  <c r="AE12" i="26"/>
  <c r="O43" i="31"/>
  <c r="O51" i="31" s="1"/>
  <c r="O52" i="31" s="1"/>
  <c r="P52" i="31" s="1"/>
  <c r="AP23" i="23"/>
  <c r="AP75" i="23" s="1"/>
  <c r="AP101" i="23" s="1"/>
  <c r="AP20" i="23"/>
  <c r="AP72" i="23" s="1"/>
  <c r="AP98" i="23" s="1"/>
  <c r="CF23" i="23"/>
  <c r="CF75" i="23" s="1"/>
  <c r="CF101" i="23" s="1"/>
  <c r="AP25" i="23"/>
  <c r="AP77" i="23" s="1"/>
  <c r="AP103" i="23" s="1"/>
  <c r="CF28" i="23"/>
  <c r="CF80" i="23" s="1"/>
  <c r="CM134" i="24"/>
  <c r="AP28" i="23"/>
  <c r="AP80" i="23" s="1"/>
  <c r="CF22" i="23"/>
  <c r="CF74" i="23" s="1"/>
  <c r="CF100" i="23" s="1"/>
  <c r="CC4" i="25"/>
  <c r="DC4" i="25" s="1"/>
  <c r="CK4" i="25"/>
  <c r="T80" i="32" s="1"/>
  <c r="T83" i="32" s="1"/>
  <c r="CJ4" i="25"/>
  <c r="CJ6" i="25" s="1"/>
  <c r="CL4" i="25"/>
  <c r="U80" i="32" s="1"/>
  <c r="U83" i="32" s="1"/>
  <c r="BE20" i="23"/>
  <c r="BE72" i="23" s="1"/>
  <c r="BE98" i="23" s="1"/>
  <c r="CX23" i="23"/>
  <c r="CX75" i="23" s="1"/>
  <c r="CX101" i="23" s="1"/>
  <c r="BO136" i="24"/>
  <c r="DU136" i="24"/>
  <c r="DZ136" i="24" s="1"/>
  <c r="DZ137" i="24" s="1"/>
  <c r="CX28" i="23"/>
  <c r="CX80" i="23" s="1"/>
  <c r="CX25" i="23"/>
  <c r="CX77" i="23" s="1"/>
  <c r="CX103" i="23" s="1"/>
  <c r="DT136" i="24"/>
  <c r="DT137" i="24" s="1"/>
  <c r="CX29" i="23"/>
  <c r="CX81" i="23" s="1"/>
  <c r="CX107" i="23" s="1"/>
  <c r="CX27" i="23"/>
  <c r="CX79" i="23" s="1"/>
  <c r="CX105" i="23" s="1"/>
  <c r="CX22" i="23"/>
  <c r="CX74" i="23" s="1"/>
  <c r="CX100" i="23" s="1"/>
  <c r="CX26" i="23"/>
  <c r="CX78" i="23" s="1"/>
  <c r="CX104" i="23" s="1"/>
  <c r="BE27" i="23"/>
  <c r="BE79" i="23" s="1"/>
  <c r="BE105" i="23" s="1"/>
  <c r="BP136" i="24"/>
  <c r="CM136" i="24"/>
  <c r="CL136" i="24"/>
  <c r="CF26" i="23"/>
  <c r="CF78" i="23" s="1"/>
  <c r="CF104" i="23" s="1"/>
  <c r="BO134" i="24"/>
  <c r="BL134" i="24"/>
  <c r="CF27" i="23"/>
  <c r="CF79" i="23" s="1"/>
  <c r="CF105" i="23" s="1"/>
  <c r="CF29" i="23"/>
  <c r="CF81" i="23" s="1"/>
  <c r="CF107" i="23" s="1"/>
  <c r="DQ134" i="24"/>
  <c r="DQ135" i="24" s="1"/>
  <c r="CF24" i="23"/>
  <c r="CF76" i="23" s="1"/>
  <c r="CF102" i="23" s="1"/>
  <c r="BN134" i="24"/>
  <c r="CF20" i="23"/>
  <c r="CF72" i="23" s="1"/>
  <c r="CF98" i="23" s="1"/>
  <c r="BB24" i="23"/>
  <c r="BB76" i="23" s="1"/>
  <c r="BB102" i="23" s="1"/>
  <c r="CF25" i="23"/>
  <c r="CF77" i="23" s="1"/>
  <c r="CF103" i="23" s="1"/>
  <c r="CI21" i="23"/>
  <c r="CI73" i="23" s="1"/>
  <c r="CI99" i="23" s="1"/>
  <c r="BB27" i="23"/>
  <c r="BB79" i="23" s="1"/>
  <c r="BB105" i="23" s="1"/>
  <c r="CI23" i="23"/>
  <c r="CI75" i="23" s="1"/>
  <c r="CI101" i="23" s="1"/>
  <c r="BI134" i="24"/>
  <c r="BD134" i="24" s="1"/>
  <c r="BV134" i="24"/>
  <c r="DQ136" i="24"/>
  <c r="DQ137" i="24" s="1"/>
  <c r="BW134" i="24"/>
  <c r="AZ3" i="23"/>
  <c r="AZ22" i="23" s="1"/>
  <c r="AZ74" i="23" s="1"/>
  <c r="AZ100" i="23" s="1"/>
  <c r="DK134" i="24"/>
  <c r="BS136" i="24"/>
  <c r="BE25" i="23"/>
  <c r="BE77" i="23" s="1"/>
  <c r="BE103" i="23" s="1"/>
  <c r="BE29" i="23"/>
  <c r="BE81" i="23" s="1"/>
  <c r="BE107" i="23" s="1"/>
  <c r="CY134" i="24"/>
  <c r="BN136" i="24"/>
  <c r="BE26" i="23"/>
  <c r="BE78" i="23" s="1"/>
  <c r="BE104" i="23" s="1"/>
  <c r="BE22" i="23"/>
  <c r="BE74" i="23" s="1"/>
  <c r="BE100" i="23" s="1"/>
  <c r="DM134" i="24"/>
  <c r="E22" i="13"/>
  <c r="E27" i="13" s="1"/>
  <c r="AI3" i="23" s="1"/>
  <c r="CS134" i="24"/>
  <c r="BM136" i="24"/>
  <c r="BE28" i="23"/>
  <c r="BE80" i="23" s="1"/>
  <c r="DE134" i="24"/>
  <c r="DN134" i="24"/>
  <c r="BQ136" i="24"/>
  <c r="BL136" i="24"/>
  <c r="BE23" i="23"/>
  <c r="BE75" i="23" s="1"/>
  <c r="BE101" i="23" s="1"/>
  <c r="DL134" i="24"/>
  <c r="BE24" i="23"/>
  <c r="BE76" i="23" s="1"/>
  <c r="BE102" i="23" s="1"/>
  <c r="DO134" i="24"/>
  <c r="AG3" i="23"/>
  <c r="AG28" i="23" s="1"/>
  <c r="AG80" i="23" s="1"/>
  <c r="S23" i="14"/>
  <c r="F20" i="13"/>
  <c r="F22" i="13" s="1"/>
  <c r="BW136" i="24"/>
  <c r="CU134" i="24"/>
  <c r="D13" i="10"/>
  <c r="D14" i="10" s="1"/>
  <c r="BX136" i="24"/>
  <c r="BZ136" i="24"/>
  <c r="BY136" i="24"/>
  <c r="CB136" i="24"/>
  <c r="CA136" i="24"/>
  <c r="CI22" i="23"/>
  <c r="CI74" i="23" s="1"/>
  <c r="CI100" i="23" s="1"/>
  <c r="BU136" i="24"/>
  <c r="BX134" i="24"/>
  <c r="BB22" i="23"/>
  <c r="BB74" i="23" s="1"/>
  <c r="BB100" i="23" s="1"/>
  <c r="BB21" i="23"/>
  <c r="BB73" i="23" s="1"/>
  <c r="BB99" i="23" s="1"/>
  <c r="BB23" i="23"/>
  <c r="BB75" i="23" s="1"/>
  <c r="BB101" i="23" s="1"/>
  <c r="BY134" i="24"/>
  <c r="DH134" i="24"/>
  <c r="DE69" i="27"/>
  <c r="DE46" i="27" s="1"/>
  <c r="DU134" i="24"/>
  <c r="EC134" i="24" s="1"/>
  <c r="EC135" i="24" s="1"/>
  <c r="AF11" i="25"/>
  <c r="AF5" i="26" s="1"/>
  <c r="AF10" i="26" s="1"/>
  <c r="AF12" i="25"/>
  <c r="AF6" i="26" s="1"/>
  <c r="DB134" i="24"/>
  <c r="CB134" i="24"/>
  <c r="DT134" i="24"/>
  <c r="DT135" i="24" s="1"/>
  <c r="BZ134" i="24"/>
  <c r="CA134" i="24"/>
  <c r="BU134" i="24"/>
  <c r="CT134" i="24"/>
  <c r="CI25" i="23"/>
  <c r="CI77" i="23" s="1"/>
  <c r="CI103" i="23" s="1"/>
  <c r="CI29" i="23"/>
  <c r="CI81" i="23" s="1"/>
  <c r="CI107" i="23" s="1"/>
  <c r="CI28" i="23"/>
  <c r="CI80" i="23" s="1"/>
  <c r="CI24" i="23"/>
  <c r="CI76" i="23" s="1"/>
  <c r="CI102" i="23" s="1"/>
  <c r="DP3" i="24"/>
  <c r="DP3" i="23" s="1"/>
  <c r="DP23" i="23" s="1"/>
  <c r="DP75" i="23" s="1"/>
  <c r="DP101" i="23" s="1"/>
  <c r="DP69" i="27"/>
  <c r="DP46" i="27" s="1"/>
  <c r="DP70" i="27"/>
  <c r="DP47" i="27" s="1"/>
  <c r="DT7" i="26"/>
  <c r="DT10" i="26" s="1"/>
  <c r="AF77" i="32"/>
  <c r="DL3" i="24"/>
  <c r="DL3" i="23" s="1"/>
  <c r="DL21" i="23" s="1"/>
  <c r="DL73" i="23" s="1"/>
  <c r="DL99" i="23" s="1"/>
  <c r="DL70" i="27"/>
  <c r="DL47" i="27" s="1"/>
  <c r="DL69" i="27"/>
  <c r="DL46" i="27" s="1"/>
  <c r="P12" i="26"/>
  <c r="DM3" i="24"/>
  <c r="DM3" i="23" s="1"/>
  <c r="DM24" i="23" s="1"/>
  <c r="DM76" i="23" s="1"/>
  <c r="DM102" i="23" s="1"/>
  <c r="DM70" i="27"/>
  <c r="DM47" i="27" s="1"/>
  <c r="DM69" i="27"/>
  <c r="DM46" i="27" s="1"/>
  <c r="DR137" i="24"/>
  <c r="DN3" i="24"/>
  <c r="DN3" i="23" s="1"/>
  <c r="DN22" i="23" s="1"/>
  <c r="DN74" i="23" s="1"/>
  <c r="DN100" i="23" s="1"/>
  <c r="DN70" i="27"/>
  <c r="DN47" i="27" s="1"/>
  <c r="DN69" i="27"/>
  <c r="DN46" i="27" s="1"/>
  <c r="CT136" i="24"/>
  <c r="CY136" i="24" s="1"/>
  <c r="BA29" i="23"/>
  <c r="BA81" i="23" s="1"/>
  <c r="BA107" i="23" s="1"/>
  <c r="DK3" i="24"/>
  <c r="DK3" i="23" s="1"/>
  <c r="DK24" i="23" s="1"/>
  <c r="DK76" i="23" s="1"/>
  <c r="DK102" i="23" s="1"/>
  <c r="DK70" i="27"/>
  <c r="DK47" i="27" s="1"/>
  <c r="DK69" i="27"/>
  <c r="DK46" i="27" s="1"/>
  <c r="U44" i="69"/>
  <c r="U44" i="64"/>
  <c r="U59" i="69"/>
  <c r="U59" i="64"/>
  <c r="DO3" i="24"/>
  <c r="DO3" i="23" s="1"/>
  <c r="DO20" i="23" s="1"/>
  <c r="DO72" i="23" s="1"/>
  <c r="DO98" i="23" s="1"/>
  <c r="DO70" i="27"/>
  <c r="DO47" i="27" s="1"/>
  <c r="DO69" i="27"/>
  <c r="DO46" i="27" s="1"/>
  <c r="DE7" i="26"/>
  <c r="DE10" i="26" s="1"/>
  <c r="DF20" i="28"/>
  <c r="DF7" i="26" s="1"/>
  <c r="DF10" i="26" s="1"/>
  <c r="DR134" i="24"/>
  <c r="DR135" i="24" s="1"/>
  <c r="DF134" i="24"/>
  <c r="DL136" i="24"/>
  <c r="AW135" i="24"/>
  <c r="AW134" i="24" s="1"/>
  <c r="AW137" i="24"/>
  <c r="AW136" i="24" s="1"/>
  <c r="CI26" i="23"/>
  <c r="CI78" i="23" s="1"/>
  <c r="CI104" i="23" s="1"/>
  <c r="CI27" i="23"/>
  <c r="CI79" i="23" s="1"/>
  <c r="CI105" i="23" s="1"/>
  <c r="DK136" i="24"/>
  <c r="DO136" i="24"/>
  <c r="DN136" i="24"/>
  <c r="BA28" i="23"/>
  <c r="BA80" i="23" s="1"/>
  <c r="BA24" i="23"/>
  <c r="BA76" i="23" s="1"/>
  <c r="BA102" i="23" s="1"/>
  <c r="BA23" i="23"/>
  <c r="BA75" i="23" s="1"/>
  <c r="BA101" i="23" s="1"/>
  <c r="BA27" i="23"/>
  <c r="BA79" i="23" s="1"/>
  <c r="BA105" i="23" s="1"/>
  <c r="BA21" i="23"/>
  <c r="BA73" i="23" s="1"/>
  <c r="BA99" i="23" s="1"/>
  <c r="BA25" i="23"/>
  <c r="BA77" i="23" s="1"/>
  <c r="BA103" i="23" s="1"/>
  <c r="BA26" i="23"/>
  <c r="BA78" i="23" s="1"/>
  <c r="BA104" i="23" s="1"/>
  <c r="BA22" i="23"/>
  <c r="BA74" i="23" s="1"/>
  <c r="BA100" i="23" s="1"/>
  <c r="BZ68" i="24"/>
  <c r="BZ117" i="24"/>
  <c r="BZ116" i="24"/>
  <c r="BZ69" i="24"/>
  <c r="AL3" i="24"/>
  <c r="AL3" i="23" s="1"/>
  <c r="AL69" i="27"/>
  <c r="AL46" i="27" s="1"/>
  <c r="AL70" i="27"/>
  <c r="AL47" i="27" s="1"/>
  <c r="CM3" i="23"/>
  <c r="CK8" i="25"/>
  <c r="T69" i="32"/>
  <c r="DH12" i="25"/>
  <c r="DH6" i="26" s="1"/>
  <c r="DH7" i="28" s="1"/>
  <c r="DH132" i="24"/>
  <c r="CM8" i="25"/>
  <c r="CM12" i="25" s="1"/>
  <c r="CM6" i="26" s="1"/>
  <c r="V69" i="32"/>
  <c r="DF12" i="25"/>
  <c r="DF6" i="26" s="1"/>
  <c r="DF7" i="28" s="1"/>
  <c r="DF132" i="24"/>
  <c r="DI12" i="25"/>
  <c r="DI6" i="26" s="1"/>
  <c r="DI132" i="24"/>
  <c r="CL8" i="25"/>
  <c r="U69" i="32"/>
  <c r="BI12" i="25"/>
  <c r="BI132" i="24"/>
  <c r="CI8" i="25"/>
  <c r="S69" i="32"/>
  <c r="CH12" i="25"/>
  <c r="CH6" i="26" s="1"/>
  <c r="CH7" i="28" s="1"/>
  <c r="CH132" i="24"/>
  <c r="DE12" i="25"/>
  <c r="DE6" i="26" s="1"/>
  <c r="DE7" i="28" s="1"/>
  <c r="DE132" i="24"/>
  <c r="CJ12" i="25"/>
  <c r="CJ6" i="26" s="1"/>
  <c r="CJ7" i="28" s="1"/>
  <c r="CJ132" i="24"/>
  <c r="R23" i="14"/>
  <c r="P23" i="14" s="1"/>
  <c r="DV10" i="28" s="1"/>
  <c r="DR12" i="24"/>
  <c r="DR10" i="28"/>
  <c r="O21" i="14"/>
  <c r="DV18" i="24" s="1"/>
  <c r="O14" i="14"/>
  <c r="DV13" i="24" s="1"/>
  <c r="O9" i="14"/>
  <c r="DV8" i="24" s="1"/>
  <c r="DR15" i="24"/>
  <c r="DN10" i="26"/>
  <c r="DO10" i="26"/>
  <c r="O16" i="14"/>
  <c r="DV11" i="24" s="1"/>
  <c r="DE3" i="24"/>
  <c r="DE3" i="23" s="1"/>
  <c r="DE35" i="25"/>
  <c r="DE38" i="25" s="1"/>
  <c r="O17" i="14"/>
  <c r="DV12" i="24" s="1"/>
  <c r="CI98" i="23"/>
  <c r="CY8" i="25"/>
  <c r="DM7" i="28"/>
  <c r="DC8" i="25"/>
  <c r="DB8" i="25"/>
  <c r="CH108" i="23"/>
  <c r="CH114" i="28" s="1"/>
  <c r="DN6" i="26"/>
  <c r="CH82" i="23"/>
  <c r="CH92" i="28" s="1"/>
  <c r="CZ8" i="25"/>
  <c r="CJ82" i="23"/>
  <c r="CJ92" i="28" s="1"/>
  <c r="CJ98" i="23"/>
  <c r="CJ108" i="23" s="1"/>
  <c r="CJ114" i="28" s="1"/>
  <c r="DA8" i="25"/>
  <c r="DR7" i="26"/>
  <c r="DR10" i="26" s="1"/>
  <c r="DK10" i="26"/>
  <c r="DD134" i="24"/>
  <c r="DU17" i="28"/>
  <c r="CY108" i="23"/>
  <c r="CY114" i="28" s="1"/>
  <c r="CZ20" i="28"/>
  <c r="AK87" i="28"/>
  <c r="AK80" i="28" s="1"/>
  <c r="J58" i="36" s="1"/>
  <c r="DP10" i="26"/>
  <c r="CY82" i="23"/>
  <c r="CY92" i="28" s="1"/>
  <c r="CX8" i="25"/>
  <c r="CX12" i="25" s="1"/>
  <c r="DD4" i="28"/>
  <c r="DJ4" i="28" s="1"/>
  <c r="DJ8" i="25" s="1"/>
  <c r="DJ12" i="25" s="1"/>
  <c r="CR25" i="23"/>
  <c r="CR77" i="23" s="1"/>
  <c r="CR103" i="23" s="1"/>
  <c r="CR24" i="23"/>
  <c r="CR76" i="23" s="1"/>
  <c r="CR102" i="23" s="1"/>
  <c r="O72" i="32"/>
  <c r="AP17" i="28"/>
  <c r="AP22" i="28"/>
  <c r="AT17" i="28"/>
  <c r="AT22" i="28"/>
  <c r="DW7" i="26"/>
  <c r="DW10" i="26" s="1"/>
  <c r="DW22" i="28"/>
  <c r="DU22" i="28"/>
  <c r="CP17" i="28"/>
  <c r="CP22" i="28"/>
  <c r="DK6" i="26"/>
  <c r="DP6" i="26"/>
  <c r="AU22" i="28"/>
  <c r="AU17" i="28"/>
  <c r="DO6" i="26"/>
  <c r="DO7" i="28" s="1"/>
  <c r="D72" i="32"/>
  <c r="AG17" i="28"/>
  <c r="AG22" i="28"/>
  <c r="AG109" i="28" s="1"/>
  <c r="AS17" i="28"/>
  <c r="AS22" i="28"/>
  <c r="AK109" i="28"/>
  <c r="AK102" i="28" s="1"/>
  <c r="J58" i="32" s="1"/>
  <c r="AA69" i="32"/>
  <c r="CC75" i="28"/>
  <c r="AE77" i="32"/>
  <c r="DL6" i="26"/>
  <c r="DL10" i="26"/>
  <c r="CR28" i="23"/>
  <c r="CR80" i="23" s="1"/>
  <c r="CR29" i="23"/>
  <c r="CR81" i="23" s="1"/>
  <c r="CR107" i="23" s="1"/>
  <c r="DP11" i="24"/>
  <c r="DO11" i="24"/>
  <c r="DN11" i="24"/>
  <c r="DL11" i="24"/>
  <c r="DK11" i="24"/>
  <c r="DY108" i="23"/>
  <c r="DY114" i="28" s="1"/>
  <c r="DY107" i="28" s="1"/>
  <c r="DY100" i="28" s="1"/>
  <c r="CR21" i="23"/>
  <c r="CR73" i="23" s="1"/>
  <c r="CR99" i="23" s="1"/>
  <c r="CR27" i="23"/>
  <c r="CR79" i="23" s="1"/>
  <c r="CR105" i="23" s="1"/>
  <c r="CR20" i="23"/>
  <c r="CR72" i="23" s="1"/>
  <c r="CR98" i="23" s="1"/>
  <c r="DZ108" i="23"/>
  <c r="DZ114" i="28" s="1"/>
  <c r="DZ107" i="28" s="1"/>
  <c r="DZ100" i="28" s="1"/>
  <c r="EC108" i="23"/>
  <c r="EC114" i="28" s="1"/>
  <c r="EC107" i="28" s="1"/>
  <c r="EC100" i="28" s="1"/>
  <c r="DY82" i="23"/>
  <c r="DY92" i="28" s="1"/>
  <c r="DY85" i="28" s="1"/>
  <c r="DY78" i="28" s="1"/>
  <c r="ED108" i="23"/>
  <c r="ED114" i="28" s="1"/>
  <c r="ED107" i="28" s="1"/>
  <c r="ED100" i="28" s="1"/>
  <c r="EA108" i="23"/>
  <c r="EA114" i="28" s="1"/>
  <c r="EA107" i="28" s="1"/>
  <c r="EA100" i="28" s="1"/>
  <c r="DX82" i="23"/>
  <c r="DX92" i="28" s="1"/>
  <c r="DX85" i="28" s="1"/>
  <c r="DX78" i="28" s="1"/>
  <c r="DX108" i="23"/>
  <c r="DX114" i="28" s="1"/>
  <c r="DX107" i="28" s="1"/>
  <c r="DX100" i="28" s="1"/>
  <c r="EB108" i="23"/>
  <c r="EB114" i="28" s="1"/>
  <c r="EB107" i="28" s="1"/>
  <c r="EB100" i="28" s="1"/>
  <c r="EA82" i="23"/>
  <c r="EA92" i="28" s="1"/>
  <c r="EA85" i="28" s="1"/>
  <c r="EA78" i="28" s="1"/>
  <c r="DZ82" i="23"/>
  <c r="DZ92" i="28" s="1"/>
  <c r="DZ85" i="28" s="1"/>
  <c r="DZ78" i="28" s="1"/>
  <c r="EB82" i="23"/>
  <c r="EB92" i="28" s="1"/>
  <c r="EB85" i="28" s="1"/>
  <c r="EB78" i="28" s="1"/>
  <c r="EC82" i="23"/>
  <c r="EC92" i="28" s="1"/>
  <c r="EC85" i="28" s="1"/>
  <c r="EC78" i="28" s="1"/>
  <c r="ED82" i="23"/>
  <c r="ED92" i="28" s="1"/>
  <c r="ED85" i="28" s="1"/>
  <c r="ED78" i="28" s="1"/>
  <c r="CR22" i="23"/>
  <c r="CR74" i="23" s="1"/>
  <c r="CR100" i="23" s="1"/>
  <c r="CR26" i="23"/>
  <c r="CR78" i="23" s="1"/>
  <c r="CR104" i="23" s="1"/>
  <c r="CU8" i="25"/>
  <c r="CU132" i="24" s="1"/>
  <c r="CW8" i="25"/>
  <c r="CW12" i="25" s="1"/>
  <c r="CS8" i="25"/>
  <c r="CS132" i="24" s="1"/>
  <c r="CV8" i="25"/>
  <c r="CV132" i="24" s="1"/>
  <c r="CT8" i="25"/>
  <c r="CT132" i="24" s="1"/>
  <c r="ES10" i="26"/>
  <c r="ES12" i="26" s="1"/>
  <c r="DT7" i="28"/>
  <c r="AF72" i="32" s="1"/>
  <c r="CB4" i="28"/>
  <c r="CB8" i="25" s="1"/>
  <c r="CB12" i="25" s="1"/>
  <c r="CB6" i="26" s="1"/>
  <c r="BY4" i="28"/>
  <c r="BY8" i="25" s="1"/>
  <c r="BY12" i="25" s="1"/>
  <c r="BY6" i="26" s="1"/>
  <c r="BU4" i="28"/>
  <c r="BU8" i="25" s="1"/>
  <c r="BU12" i="25" s="1"/>
  <c r="BU6" i="26" s="1"/>
  <c r="BX4" i="28"/>
  <c r="BX8" i="25" s="1"/>
  <c r="BX12" i="25" s="1"/>
  <c r="BX6" i="26" s="1"/>
  <c r="BV4" i="28"/>
  <c r="BV8" i="25" s="1"/>
  <c r="BV12" i="25" s="1"/>
  <c r="BV6" i="26" s="1"/>
  <c r="BW4" i="28"/>
  <c r="BW8" i="25" s="1"/>
  <c r="BW12" i="25" s="1"/>
  <c r="BW6" i="26" s="1"/>
  <c r="BZ4" i="28"/>
  <c r="BZ8" i="25" s="1"/>
  <c r="BZ12" i="25" s="1"/>
  <c r="BZ6" i="26" s="1"/>
  <c r="CC8" i="25"/>
  <c r="CC12" i="25" s="1"/>
  <c r="CC6" i="26" s="1"/>
  <c r="CA4" i="28"/>
  <c r="CA8" i="25" s="1"/>
  <c r="CA12" i="25" s="1"/>
  <c r="CA6" i="26" s="1"/>
  <c r="CD31" i="24"/>
  <c r="AY31" i="24"/>
  <c r="CE3" i="23"/>
  <c r="CE24" i="23" s="1"/>
  <c r="CE76" i="23" s="1"/>
  <c r="CE102" i="23" s="1"/>
  <c r="Q108" i="23"/>
  <c r="Q114" i="28" s="1"/>
  <c r="BC7" i="28"/>
  <c r="BA6" i="26"/>
  <c r="BE7" i="28"/>
  <c r="BD7" i="28"/>
  <c r="Q12" i="26"/>
  <c r="R12" i="26"/>
  <c r="S12" i="26"/>
  <c r="Q11" i="28"/>
  <c r="Q4" i="24" s="1"/>
  <c r="Q74" i="24" s="1"/>
  <c r="R11" i="28"/>
  <c r="R4" i="24" s="1"/>
  <c r="T12" i="26"/>
  <c r="O12" i="26"/>
  <c r="Q20" i="28"/>
  <c r="Q7" i="26" s="1"/>
  <c r="Q21" i="28"/>
  <c r="Q8" i="26" s="1"/>
  <c r="S8" i="25"/>
  <c r="Q4" i="28"/>
  <c r="Q8" i="25" s="1"/>
  <c r="Q82" i="23"/>
  <c r="Q92" i="28" s="1"/>
  <c r="S4" i="24"/>
  <c r="S74" i="24" s="1"/>
  <c r="R100" i="23"/>
  <c r="R108" i="23" s="1"/>
  <c r="R114" i="28" s="1"/>
  <c r="R82" i="23"/>
  <c r="R92" i="28" s="1"/>
  <c r="CD4" i="28"/>
  <c r="CE4" i="28"/>
  <c r="CF4" i="28"/>
  <c r="CF8" i="25" s="1"/>
  <c r="CD27" i="23"/>
  <c r="CD79" i="23" s="1"/>
  <c r="CD105" i="23" s="1"/>
  <c r="CD22" i="23"/>
  <c r="CD74" i="23" s="1"/>
  <c r="CD100" i="23" s="1"/>
  <c r="CD20" i="23"/>
  <c r="CD72" i="23" s="1"/>
  <c r="CD98" i="23" s="1"/>
  <c r="CD28" i="23"/>
  <c r="CD80" i="23" s="1"/>
  <c r="CD25" i="23"/>
  <c r="CD77" i="23" s="1"/>
  <c r="CD103" i="23" s="1"/>
  <c r="CD23" i="23"/>
  <c r="CD75" i="23" s="1"/>
  <c r="CD101" i="23" s="1"/>
  <c r="CD21" i="23"/>
  <c r="CD73" i="23" s="1"/>
  <c r="CD99" i="23" s="1"/>
  <c r="CD24" i="23"/>
  <c r="CD76" i="23" s="1"/>
  <c r="CD102" i="23" s="1"/>
  <c r="CD29" i="23"/>
  <c r="CD81" i="23" s="1"/>
  <c r="CD107" i="23" s="1"/>
  <c r="CD26" i="23"/>
  <c r="CD78" i="23" s="1"/>
  <c r="CD104" i="23" s="1"/>
  <c r="AZ31" i="24"/>
  <c r="AZ6" i="26"/>
  <c r="AY6" i="26"/>
  <c r="BC98" i="23"/>
  <c r="BC108" i="23" s="1"/>
  <c r="BC82" i="23"/>
  <c r="BD98" i="23"/>
  <c r="BD108" i="23" s="1"/>
  <c r="BD82" i="23"/>
  <c r="AZ7" i="28"/>
  <c r="BB7" i="28"/>
  <c r="BF8" i="25"/>
  <c r="BF12" i="25" s="1"/>
  <c r="BL4" i="28"/>
  <c r="BL8" i="25" s="1"/>
  <c r="BL12" i="25" s="1"/>
  <c r="BG8" i="25"/>
  <c r="BG12" i="25" s="1"/>
  <c r="BH8" i="25"/>
  <c r="BH12" i="25" s="1"/>
  <c r="BM4" i="28"/>
  <c r="BM8" i="25" s="1"/>
  <c r="BM12" i="25" s="1"/>
  <c r="BS4" i="28"/>
  <c r="BS8" i="25" s="1"/>
  <c r="BS12" i="25" s="1"/>
  <c r="BS6" i="26" s="1"/>
  <c r="BS7" i="28" s="1"/>
  <c r="BO4" i="28"/>
  <c r="BO8" i="25" s="1"/>
  <c r="BO12" i="25" s="1"/>
  <c r="BO6" i="26" s="1"/>
  <c r="BO7" i="28" s="1"/>
  <c r="BR4" i="28"/>
  <c r="BR8" i="25" s="1"/>
  <c r="BR12" i="25" s="1"/>
  <c r="BR6" i="26" s="1"/>
  <c r="BR7" i="28" s="1"/>
  <c r="BQ4" i="28"/>
  <c r="BQ8" i="25" s="1"/>
  <c r="BQ12" i="25" s="1"/>
  <c r="BQ6" i="26" s="1"/>
  <c r="BQ7" i="28" s="1"/>
  <c r="BN4" i="28"/>
  <c r="BN8" i="25" s="1"/>
  <c r="BN12" i="25" s="1"/>
  <c r="BP4" i="28"/>
  <c r="BP8" i="25" s="1"/>
  <c r="BP12" i="25" s="1"/>
  <c r="BP6" i="26" s="1"/>
  <c r="BP7" i="28" s="1"/>
  <c r="BI108" i="23"/>
  <c r="DW132" i="24"/>
  <c r="CG108" i="23"/>
  <c r="CO108" i="23"/>
  <c r="CO82" i="23"/>
  <c r="BI82" i="23"/>
  <c r="AX7" i="28"/>
  <c r="AY7" i="28"/>
  <c r="CS108" i="23"/>
  <c r="CS114" i="28" s="1"/>
  <c r="CS82" i="23"/>
  <c r="CS92" i="28" s="1"/>
  <c r="T123" i="24"/>
  <c r="AT22" i="25"/>
  <c r="AT21" i="25"/>
  <c r="AT20" i="25"/>
  <c r="AT25" i="25"/>
  <c r="AT24" i="25"/>
  <c r="AT23" i="25"/>
  <c r="CN108" i="23"/>
  <c r="AK108" i="23"/>
  <c r="AK114" i="28" s="1"/>
  <c r="AK107" i="28" s="1"/>
  <c r="AK100" i="28" s="1"/>
  <c r="AK82" i="23"/>
  <c r="AK92" i="28" s="1"/>
  <c r="AK85" i="28" s="1"/>
  <c r="AK78" i="28" s="1"/>
  <c r="F108" i="23"/>
  <c r="F114" i="28" s="1"/>
  <c r="AN10" i="28"/>
  <c r="K73" i="32"/>
  <c r="C110" i="32" s="1"/>
  <c r="CN82" i="23"/>
  <c r="F24" i="13"/>
  <c r="O24" i="13" s="1"/>
  <c r="AQ7" i="28"/>
  <c r="P82" i="23"/>
  <c r="CG82" i="23"/>
  <c r="AN19" i="24"/>
  <c r="EP13" i="26"/>
  <c r="L24" i="13"/>
  <c r="AL19" i="24"/>
  <c r="BJ108" i="23"/>
  <c r="P108" i="23"/>
  <c r="F82" i="23"/>
  <c r="F92" i="28" s="1"/>
  <c r="H104" i="23"/>
  <c r="H108" i="23" s="1"/>
  <c r="H114" i="28" s="1"/>
  <c r="H82" i="23"/>
  <c r="H92" i="28" s="1"/>
  <c r="N104" i="23"/>
  <c r="N108" i="23" s="1"/>
  <c r="N114" i="28" s="1"/>
  <c r="N82" i="23"/>
  <c r="N92" i="28" s="1"/>
  <c r="AF82" i="23"/>
  <c r="AF104" i="23"/>
  <c r="AF108" i="23" s="1"/>
  <c r="CQ4" i="25"/>
  <c r="CP4" i="25"/>
  <c r="CV4" i="25"/>
  <c r="G9" i="21"/>
  <c r="CU4" i="25"/>
  <c r="G104" i="23"/>
  <c r="G108" i="23" s="1"/>
  <c r="G114" i="28" s="1"/>
  <c r="G82" i="23"/>
  <c r="G92" i="28" s="1"/>
  <c r="S104" i="23"/>
  <c r="S108" i="23" s="1"/>
  <c r="S114" i="28" s="1"/>
  <c r="S82" i="23"/>
  <c r="S92" i="28" s="1"/>
  <c r="BJ82" i="23"/>
  <c r="U104" i="23"/>
  <c r="U108" i="23" s="1"/>
  <c r="U114" i="28" s="1"/>
  <c r="U82" i="23"/>
  <c r="U92" i="28" s="1"/>
  <c r="K104" i="23"/>
  <c r="K108" i="23" s="1"/>
  <c r="K114" i="28" s="1"/>
  <c r="K82" i="23"/>
  <c r="K92" i="28" s="1"/>
  <c r="T82" i="23"/>
  <c r="T92" i="28" s="1"/>
  <c r="T104" i="23"/>
  <c r="T108" i="23" s="1"/>
  <c r="T114" i="28" s="1"/>
  <c r="J104" i="23"/>
  <c r="J108" i="23" s="1"/>
  <c r="J82" i="23"/>
  <c r="AQ4" i="25"/>
  <c r="P80" i="32" s="1"/>
  <c r="P83" i="32" s="1"/>
  <c r="E114" i="32" s="1"/>
  <c r="E15" i="37" s="1"/>
  <c r="BK4" i="25"/>
  <c r="E9" i="21"/>
  <c r="BT4" i="25"/>
  <c r="AX4" i="25"/>
  <c r="W82" i="23"/>
  <c r="W104" i="23"/>
  <c r="W108" i="23" s="1"/>
  <c r="M104" i="23"/>
  <c r="M108" i="23" s="1"/>
  <c r="M114" i="28" s="1"/>
  <c r="M82" i="23"/>
  <c r="M92" i="28" s="1"/>
  <c r="V104" i="23"/>
  <c r="V108" i="23" s="1"/>
  <c r="V114" i="28" s="1"/>
  <c r="V82" i="23"/>
  <c r="V92" i="28" s="1"/>
  <c r="L104" i="23"/>
  <c r="L108" i="23" s="1"/>
  <c r="L114" i="28" s="1"/>
  <c r="L82" i="23"/>
  <c r="L92" i="28" s="1"/>
  <c r="D104" i="23"/>
  <c r="D108" i="23" s="1"/>
  <c r="D114" i="28" s="1"/>
  <c r="D82" i="23"/>
  <c r="D92" i="28" s="1"/>
  <c r="E82" i="23"/>
  <c r="E92" i="28" s="1"/>
  <c r="E104" i="23"/>
  <c r="E108" i="23" s="1"/>
  <c r="E114" i="28" s="1"/>
  <c r="O82" i="23"/>
  <c r="O104" i="23"/>
  <c r="O108" i="23" s="1"/>
  <c r="T122" i="24"/>
  <c r="AI54" i="24"/>
  <c r="AI107" i="24"/>
  <c r="AI109" i="24" s="1"/>
  <c r="AI102" i="24"/>
  <c r="AI37" i="24"/>
  <c r="AI85" i="24"/>
  <c r="AI59" i="24"/>
  <c r="DW17" i="27"/>
  <c r="Z30" i="8"/>
  <c r="AH11" i="25"/>
  <c r="AH5" i="26" s="1"/>
  <c r="AH12" i="25"/>
  <c r="AH6" i="26" s="1"/>
  <c r="AH63" i="24"/>
  <c r="AH75" i="24" s="1"/>
  <c r="AH62" i="24"/>
  <c r="Y37" i="8"/>
  <c r="AA30" i="8" s="1"/>
  <c r="ED11" i="24" s="1"/>
  <c r="Z29" i="8"/>
  <c r="Z37" i="8" s="1"/>
  <c r="DR17" i="27"/>
  <c r="DQ17" i="27"/>
  <c r="BK8" i="25"/>
  <c r="Y69" i="32"/>
  <c r="F60" i="13"/>
  <c r="AE75" i="32"/>
  <c r="DW16" i="28"/>
  <c r="AH94" i="24"/>
  <c r="AH98" i="24"/>
  <c r="AH96" i="24"/>
  <c r="AH99" i="24"/>
  <c r="AH97" i="24"/>
  <c r="AH95" i="24"/>
  <c r="W37" i="8"/>
  <c r="BT8" i="25"/>
  <c r="Z69" i="32"/>
  <c r="AN8" i="25"/>
  <c r="AN12" i="25" s="1"/>
  <c r="AN6" i="26" s="1"/>
  <c r="AN7" i="28" s="1"/>
  <c r="M69" i="32"/>
  <c r="C98" i="32" s="1"/>
  <c r="H34" i="37" s="1"/>
  <c r="AH55" i="24"/>
  <c r="AH56" i="24"/>
  <c r="CQ12" i="27"/>
  <c r="CP12" i="27"/>
  <c r="AP12" i="27"/>
  <c r="CO12" i="27"/>
  <c r="AM7" i="28"/>
  <c r="AM17" i="26"/>
  <c r="AM116" i="28" s="1"/>
  <c r="AM15" i="26"/>
  <c r="AM94" i="28" s="1"/>
  <c r="J15" i="13"/>
  <c r="J22" i="13" s="1"/>
  <c r="J27" i="13" s="1"/>
  <c r="K15" i="13"/>
  <c r="K22" i="13" s="1"/>
  <c r="K27" i="13" s="1"/>
  <c r="AH103" i="24"/>
  <c r="AH104" i="24"/>
  <c r="DR18" i="24"/>
  <c r="DR17" i="24"/>
  <c r="DR8" i="24"/>
  <c r="DR13" i="24"/>
  <c r="DR14" i="24"/>
  <c r="M17" i="27"/>
  <c r="CT12" i="27"/>
  <c r="AG17" i="27"/>
  <c r="AK12" i="27"/>
  <c r="L17" i="27"/>
  <c r="N17" i="27"/>
  <c r="S17" i="27"/>
  <c r="BT12" i="27"/>
  <c r="V17" i="27"/>
  <c r="P17" i="27"/>
  <c r="T17" i="27"/>
  <c r="BK12" i="27"/>
  <c r="CV12" i="27"/>
  <c r="F17" i="27"/>
  <c r="U17" i="27"/>
  <c r="D17" i="27"/>
  <c r="AL12" i="27"/>
  <c r="K17" i="27"/>
  <c r="AH17" i="27"/>
  <c r="H17" i="27"/>
  <c r="BJ12" i="27"/>
  <c r="W17" i="27"/>
  <c r="AM12" i="27"/>
  <c r="AF17" i="27"/>
  <c r="J17" i="27"/>
  <c r="AJ17" i="27"/>
  <c r="AN12" i="27"/>
  <c r="CU12" i="27"/>
  <c r="CG12" i="27"/>
  <c r="O17" i="27"/>
  <c r="AI17" i="27"/>
  <c r="CX12" i="27"/>
  <c r="E17" i="27"/>
  <c r="G17" i="27"/>
  <c r="BI12" i="27"/>
  <c r="CS12" i="27"/>
  <c r="N3" i="26"/>
  <c r="N12" i="26" s="1"/>
  <c r="L19" i="28"/>
  <c r="L3" i="26" s="1"/>
  <c r="L12" i="26" s="1"/>
  <c r="AI8" i="25"/>
  <c r="AI12" i="25" s="1"/>
  <c r="AI6" i="26" s="1"/>
  <c r="AI7" i="28" s="1"/>
  <c r="H69" i="32"/>
  <c r="AJ4" i="28"/>
  <c r="AH110" i="24"/>
  <c r="AH122" i="24" s="1"/>
  <c r="AH111" i="24"/>
  <c r="AH123" i="24" s="1"/>
  <c r="AJ17" i="25"/>
  <c r="DU12" i="27"/>
  <c r="DW12" i="27"/>
  <c r="DQ12" i="27"/>
  <c r="DR12" i="27"/>
  <c r="CG8" i="25"/>
  <c r="AB69" i="32"/>
  <c r="M19" i="28"/>
  <c r="O15" i="13"/>
  <c r="AI23" i="25"/>
  <c r="AI24" i="25"/>
  <c r="AI25" i="25"/>
  <c r="AI20" i="25"/>
  <c r="AI21" i="25"/>
  <c r="AI22" i="25"/>
  <c r="DR11" i="24"/>
  <c r="AJ5" i="24"/>
  <c r="AM20" i="23"/>
  <c r="AM72" i="23" s="1"/>
  <c r="AM29" i="23"/>
  <c r="AM81" i="23" s="1"/>
  <c r="AM107" i="23" s="1"/>
  <c r="AM28" i="23"/>
  <c r="AM80" i="23" s="1"/>
  <c r="AM21" i="23"/>
  <c r="AM73" i="23" s="1"/>
  <c r="AM99" i="23" s="1"/>
  <c r="AM25" i="23"/>
  <c r="AM77" i="23" s="1"/>
  <c r="AM103" i="23" s="1"/>
  <c r="AM23" i="23"/>
  <c r="AM75" i="23" s="1"/>
  <c r="AM101" i="23" s="1"/>
  <c r="AM27" i="23"/>
  <c r="AM79" i="23" s="1"/>
  <c r="AM105" i="23" s="1"/>
  <c r="AM24" i="23"/>
  <c r="AM76" i="23" s="1"/>
  <c r="AM102" i="23" s="1"/>
  <c r="AM26" i="23"/>
  <c r="AM78" i="23" s="1"/>
  <c r="AM104" i="23" s="1"/>
  <c r="AM22" i="23"/>
  <c r="AM74" i="23" s="1"/>
  <c r="AM100" i="23" s="1"/>
  <c r="DQ18" i="24"/>
  <c r="DM18" i="24" s="1"/>
  <c r="DQ17" i="24"/>
  <c r="DM17" i="24" s="1"/>
  <c r="DQ8" i="24"/>
  <c r="DQ13" i="24"/>
  <c r="DM13" i="24" s="1"/>
  <c r="DQ14" i="24"/>
  <c r="DM14" i="24" s="1"/>
  <c r="DQ12" i="24"/>
  <c r="DM12" i="24" s="1"/>
  <c r="DQ15" i="24"/>
  <c r="DM15" i="24" s="1"/>
  <c r="BJ8" i="25"/>
  <c r="BJ132" i="24" s="1"/>
  <c r="X69" i="32"/>
  <c r="AH49" i="24"/>
  <c r="AH47" i="24"/>
  <c r="AH46" i="24"/>
  <c r="AH50" i="24"/>
  <c r="AH48" i="24"/>
  <c r="D17" i="24"/>
  <c r="W17" i="24" s="1"/>
  <c r="D13" i="24"/>
  <c r="W13" i="24" s="1"/>
  <c r="D8" i="24"/>
  <c r="AF10" i="28"/>
  <c r="D12" i="24"/>
  <c r="W12" i="24" s="1"/>
  <c r="D11" i="24"/>
  <c r="W11" i="24" s="1"/>
  <c r="W10" i="28"/>
  <c r="D10" i="28"/>
  <c r="D18" i="24"/>
  <c r="W18" i="24" s="1"/>
  <c r="AH18" i="24"/>
  <c r="AQ82" i="23"/>
  <c r="AQ98" i="23"/>
  <c r="AQ108" i="23" s="1"/>
  <c r="O20" i="28"/>
  <c r="O7" i="26" s="1"/>
  <c r="CT98" i="23"/>
  <c r="U31" i="24"/>
  <c r="U122" i="24"/>
  <c r="T74" i="24"/>
  <c r="P4" i="24"/>
  <c r="O11" i="28"/>
  <c r="N11" i="28"/>
  <c r="U75" i="24"/>
  <c r="O21" i="28"/>
  <c r="O8" i="26" s="1"/>
  <c r="N21" i="28"/>
  <c r="T31" i="24"/>
  <c r="U123" i="24"/>
  <c r="EP10" i="26"/>
  <c r="AN12" i="26"/>
  <c r="AJ12" i="26"/>
  <c r="W12" i="26"/>
  <c r="H12" i="26"/>
  <c r="AI12" i="26"/>
  <c r="V12" i="26"/>
  <c r="G12" i="26"/>
  <c r="U12" i="26"/>
  <c r="E12" i="26"/>
  <c r="ET13" i="26"/>
  <c r="ET10" i="26"/>
  <c r="DM23" i="23" l="1"/>
  <c r="DM75" i="23" s="1"/>
  <c r="DM101" i="23" s="1"/>
  <c r="AL80" i="28"/>
  <c r="K58" i="36" s="1"/>
  <c r="Z80" i="32"/>
  <c r="Z83" i="32" s="1"/>
  <c r="E116" i="32" s="1"/>
  <c r="E17" i="37" s="1"/>
  <c r="DB4" i="25"/>
  <c r="AL102" i="28"/>
  <c r="K58" i="32" s="1"/>
  <c r="DA4" i="25"/>
  <c r="D3" i="24"/>
  <c r="D70" i="27"/>
  <c r="D47" i="27" s="1"/>
  <c r="DV3" i="24"/>
  <c r="DV69" i="27"/>
  <c r="DV46" i="27" s="1"/>
  <c r="DV70" i="27"/>
  <c r="DV47" i="27" s="1"/>
  <c r="DV19" i="24"/>
  <c r="AZ12" i="27"/>
  <c r="BA12" i="27"/>
  <c r="AT12" i="27"/>
  <c r="AS12" i="27"/>
  <c r="AO12" i="27"/>
  <c r="AR12" i="27"/>
  <c r="AY12" i="27"/>
  <c r="AW12" i="27"/>
  <c r="AU12" i="27"/>
  <c r="AV12" i="27"/>
  <c r="AQ12" i="27"/>
  <c r="Q12" i="27"/>
  <c r="AD12" i="27"/>
  <c r="X12" i="27"/>
  <c r="Z12" i="27"/>
  <c r="AG12" i="27"/>
  <c r="J12" i="27"/>
  <c r="V12" i="27"/>
  <c r="L12" i="27"/>
  <c r="AJ12" i="27"/>
  <c r="I12" i="27"/>
  <c r="AB12" i="27"/>
  <c r="M12" i="27"/>
  <c r="W12" i="27"/>
  <c r="S12" i="27"/>
  <c r="AA12" i="27"/>
  <c r="T12" i="27"/>
  <c r="R12" i="27"/>
  <c r="U12" i="27"/>
  <c r="AE12" i="27"/>
  <c r="P12" i="27"/>
  <c r="O12" i="27"/>
  <c r="D12" i="27"/>
  <c r="G12" i="27"/>
  <c r="AF12" i="27"/>
  <c r="AH12" i="27"/>
  <c r="AI12" i="27"/>
  <c r="N12" i="27"/>
  <c r="AC12" i="27"/>
  <c r="K12" i="27"/>
  <c r="E12" i="27"/>
  <c r="F12" i="27"/>
  <c r="Y12" i="27"/>
  <c r="H12" i="27"/>
  <c r="BB12" i="27"/>
  <c r="CN12" i="27"/>
  <c r="CR12" i="27"/>
  <c r="AX12" i="27"/>
  <c r="Y80" i="32"/>
  <c r="BK6" i="25"/>
  <c r="Y82" i="32" s="1"/>
  <c r="DC36" i="25"/>
  <c r="DC38" i="25" s="1"/>
  <c r="AA80" i="32"/>
  <c r="AA83" i="32" s="1"/>
  <c r="Q17" i="14"/>
  <c r="P17" i="14" s="1"/>
  <c r="DW12" i="24" s="1"/>
  <c r="AR4" i="25"/>
  <c r="AR36" i="25" s="1"/>
  <c r="AR38" i="25" s="1"/>
  <c r="Q80" i="32"/>
  <c r="Q83" i="32" s="1"/>
  <c r="E115" i="32" s="1"/>
  <c r="E16" i="37" s="1"/>
  <c r="Q14" i="14"/>
  <c r="P14" i="14" s="1"/>
  <c r="DL20" i="23"/>
  <c r="DL72" i="23" s="1"/>
  <c r="DL98" i="23" s="1"/>
  <c r="Q21" i="14"/>
  <c r="P21" i="14" s="1"/>
  <c r="DS21" i="23"/>
  <c r="DS73" i="23" s="1"/>
  <c r="DS99" i="23" s="1"/>
  <c r="DS29" i="23"/>
  <c r="DS81" i="23" s="1"/>
  <c r="DS107" i="23" s="1"/>
  <c r="DS27" i="23"/>
  <c r="DS79" i="23" s="1"/>
  <c r="DS105" i="23" s="1"/>
  <c r="DS23" i="23"/>
  <c r="DS75" i="23" s="1"/>
  <c r="DS101" i="23" s="1"/>
  <c r="DS22" i="23"/>
  <c r="DS74" i="23" s="1"/>
  <c r="DS100" i="23" s="1"/>
  <c r="DS28" i="23"/>
  <c r="DS80" i="23" s="1"/>
  <c r="DS24" i="23"/>
  <c r="DS76" i="23" s="1"/>
  <c r="DS102" i="23" s="1"/>
  <c r="DS25" i="23"/>
  <c r="DS77" i="23" s="1"/>
  <c r="DS103" i="23" s="1"/>
  <c r="DS20" i="23"/>
  <c r="DS72" i="23" s="1"/>
  <c r="DS26" i="23"/>
  <c r="DS78" i="23" s="1"/>
  <c r="DS104" i="23" s="1"/>
  <c r="Q16" i="14"/>
  <c r="P16" i="14" s="1"/>
  <c r="DO21" i="23"/>
  <c r="DO73" i="23" s="1"/>
  <c r="DO99" i="23" s="1"/>
  <c r="C97" i="32"/>
  <c r="H33" i="37" s="1"/>
  <c r="Z9" i="25"/>
  <c r="Z11" i="25" s="1"/>
  <c r="Z5" i="26" s="1"/>
  <c r="Z10" i="26" s="1"/>
  <c r="X6" i="28"/>
  <c r="AC9" i="25"/>
  <c r="AC12" i="25" s="1"/>
  <c r="AC6" i="28"/>
  <c r="D4" i="28"/>
  <c r="D8" i="25" s="1"/>
  <c r="D12" i="25" s="1"/>
  <c r="D6" i="26" s="1"/>
  <c r="AD9" i="25"/>
  <c r="AD11" i="25" s="1"/>
  <c r="AD5" i="26" s="1"/>
  <c r="AD10" i="26" s="1"/>
  <c r="Y6" i="28"/>
  <c r="F70" i="32"/>
  <c r="H5" i="28"/>
  <c r="H9" i="25" s="1"/>
  <c r="H11" i="25" s="1"/>
  <c r="H5" i="26" s="1"/>
  <c r="G5" i="28"/>
  <c r="G6" i="28" s="1"/>
  <c r="AE9" i="25"/>
  <c r="AE12" i="25" s="1"/>
  <c r="AB9" i="25"/>
  <c r="AB11" i="25" s="1"/>
  <c r="AB5" i="26" s="1"/>
  <c r="AB10" i="26" s="1"/>
  <c r="AE6" i="28"/>
  <c r="G71" i="32" s="1"/>
  <c r="G70" i="32"/>
  <c r="DC136" i="24"/>
  <c r="DH136" i="24" s="1"/>
  <c r="W9" i="25"/>
  <c r="W11" i="25" s="1"/>
  <c r="W5" i="26" s="1"/>
  <c r="W10" i="26" s="1"/>
  <c r="BG136" i="24"/>
  <c r="M20" i="13"/>
  <c r="M22" i="13" s="1"/>
  <c r="M27" i="13" s="1"/>
  <c r="W6" i="28"/>
  <c r="F71" i="32" s="1"/>
  <c r="Y11" i="25"/>
  <c r="Y5" i="26" s="1"/>
  <c r="Y10" i="26" s="1"/>
  <c r="Y12" i="25"/>
  <c r="DN25" i="23"/>
  <c r="DN77" i="23" s="1"/>
  <c r="DN103" i="23" s="1"/>
  <c r="X11" i="25"/>
  <c r="X12" i="25"/>
  <c r="CT108" i="23"/>
  <c r="CT114" i="28" s="1"/>
  <c r="CT82" i="23"/>
  <c r="CT92" i="28" s="1"/>
  <c r="W114" i="28"/>
  <c r="W92" i="28"/>
  <c r="BE136" i="24"/>
  <c r="BF136" i="24"/>
  <c r="BD136" i="24"/>
  <c r="BH136" i="24"/>
  <c r="BY4" i="25"/>
  <c r="CC36" i="25"/>
  <c r="CC38" i="25" s="1"/>
  <c r="AA9" i="25"/>
  <c r="AA6" i="28"/>
  <c r="N22" i="13"/>
  <c r="AJ15" i="24" s="1"/>
  <c r="AG19" i="24"/>
  <c r="AG70" i="27"/>
  <c r="AG47" i="27" s="1"/>
  <c r="AG69" i="27"/>
  <c r="AG46" i="27" s="1"/>
  <c r="AG3" i="24"/>
  <c r="D73" i="32"/>
  <c r="O22" i="13"/>
  <c r="O27" i="13" s="1"/>
  <c r="DN21" i="23"/>
  <c r="DN73" i="23" s="1"/>
  <c r="DN99" i="23" s="1"/>
  <c r="DL23" i="23"/>
  <c r="DL75" i="23" s="1"/>
  <c r="DL101" i="23" s="1"/>
  <c r="DL25" i="23"/>
  <c r="DL77" i="23" s="1"/>
  <c r="DL103" i="23" s="1"/>
  <c r="DL28" i="23"/>
  <c r="DL80" i="23" s="1"/>
  <c r="DL27" i="23"/>
  <c r="DL79" i="23" s="1"/>
  <c r="DL105" i="23" s="1"/>
  <c r="DN29" i="23"/>
  <c r="DN81" i="23" s="1"/>
  <c r="DN107" i="23" s="1"/>
  <c r="DW135" i="24"/>
  <c r="DL26" i="23"/>
  <c r="DL78" i="23" s="1"/>
  <c r="DL104" i="23" s="1"/>
  <c r="DN27" i="23"/>
  <c r="DN79" i="23" s="1"/>
  <c r="DN105" i="23" s="1"/>
  <c r="DL22" i="23"/>
  <c r="DL74" i="23" s="1"/>
  <c r="DL100" i="23" s="1"/>
  <c r="DN24" i="23"/>
  <c r="DN76" i="23" s="1"/>
  <c r="DN102" i="23" s="1"/>
  <c r="DL24" i="23"/>
  <c r="DL76" i="23" s="1"/>
  <c r="DL102" i="23" s="1"/>
  <c r="DN20" i="23"/>
  <c r="DN72" i="23" s="1"/>
  <c r="DN98" i="23" s="1"/>
  <c r="DL29" i="23"/>
  <c r="DL81" i="23" s="1"/>
  <c r="DL107" i="23" s="1"/>
  <c r="DN23" i="23"/>
  <c r="DN75" i="23" s="1"/>
  <c r="DN101" i="23" s="1"/>
  <c r="AZ23" i="23"/>
  <c r="AZ75" i="23" s="1"/>
  <c r="AZ101" i="23" s="1"/>
  <c r="AZ27" i="23"/>
  <c r="AZ79" i="23" s="1"/>
  <c r="AZ105" i="23" s="1"/>
  <c r="AZ25" i="23"/>
  <c r="AZ77" i="23" s="1"/>
  <c r="AZ103" i="23" s="1"/>
  <c r="DP22" i="23"/>
  <c r="DP74" i="23" s="1"/>
  <c r="DP100" i="23" s="1"/>
  <c r="DP25" i="23"/>
  <c r="DP77" i="23" s="1"/>
  <c r="DP103" i="23" s="1"/>
  <c r="AZ24" i="23"/>
  <c r="AZ76" i="23" s="1"/>
  <c r="AZ102" i="23" s="1"/>
  <c r="DP24" i="23"/>
  <c r="DP76" i="23" s="1"/>
  <c r="DP102" i="23" s="1"/>
  <c r="AZ20" i="23"/>
  <c r="AZ72" i="23" s="1"/>
  <c r="AZ98" i="23" s="1"/>
  <c r="AZ26" i="23"/>
  <c r="AZ78" i="23" s="1"/>
  <c r="AZ104" i="23" s="1"/>
  <c r="DP21" i="23"/>
  <c r="DP73" i="23" s="1"/>
  <c r="DP99" i="23" s="1"/>
  <c r="DP28" i="23"/>
  <c r="DP80" i="23" s="1"/>
  <c r="AZ28" i="23"/>
  <c r="AZ80" i="23" s="1"/>
  <c r="DP29" i="23"/>
  <c r="DP81" i="23" s="1"/>
  <c r="DP107" i="23" s="1"/>
  <c r="DP27" i="23"/>
  <c r="DP79" i="23" s="1"/>
  <c r="DP105" i="23" s="1"/>
  <c r="AZ21" i="23"/>
  <c r="AZ73" i="23" s="1"/>
  <c r="AZ99" i="23" s="1"/>
  <c r="DP26" i="23"/>
  <c r="DP78" i="23" s="1"/>
  <c r="DP104" i="23" s="1"/>
  <c r="AZ29" i="23"/>
  <c r="AZ81" i="23" s="1"/>
  <c r="AZ107" i="23" s="1"/>
  <c r="DP20" i="23"/>
  <c r="DP72" i="23" s="1"/>
  <c r="DP98" i="23" s="1"/>
  <c r="BZ4" i="25"/>
  <c r="BZ36" i="25" s="1"/>
  <c r="BZ38" i="25" s="1"/>
  <c r="BX4" i="25"/>
  <c r="DM22" i="23"/>
  <c r="DM74" i="23" s="1"/>
  <c r="DM100" i="23" s="1"/>
  <c r="BV4" i="25"/>
  <c r="BV36" i="25" s="1"/>
  <c r="BV38" i="25" s="1"/>
  <c r="EV5" i="26"/>
  <c r="EV12" i="26" s="1"/>
  <c r="EU5" i="26"/>
  <c r="CB4" i="25"/>
  <c r="CB36" i="25" s="1"/>
  <c r="CB38" i="25" s="1"/>
  <c r="BU4" i="25"/>
  <c r="BU36" i="25" s="1"/>
  <c r="BU38" i="25" s="1"/>
  <c r="CA4" i="25"/>
  <c r="CA36" i="25" s="1"/>
  <c r="CA38" i="25" s="1"/>
  <c r="BW4" i="25"/>
  <c r="BW36" i="25" s="1"/>
  <c r="BW38" i="25" s="1"/>
  <c r="DO24" i="23"/>
  <c r="DO76" i="23" s="1"/>
  <c r="DO102" i="23" s="1"/>
  <c r="DM29" i="23"/>
  <c r="DM81" i="23" s="1"/>
  <c r="DM107" i="23" s="1"/>
  <c r="DM20" i="23"/>
  <c r="DM72" i="23" s="1"/>
  <c r="DM98" i="23" s="1"/>
  <c r="DO28" i="23"/>
  <c r="DO80" i="23" s="1"/>
  <c r="DM27" i="23"/>
  <c r="DM79" i="23" s="1"/>
  <c r="DM105" i="23" s="1"/>
  <c r="DO26" i="23"/>
  <c r="DO78" i="23" s="1"/>
  <c r="DO104" i="23" s="1"/>
  <c r="DM26" i="23"/>
  <c r="DM78" i="23" s="1"/>
  <c r="DM104" i="23" s="1"/>
  <c r="AO108" i="23"/>
  <c r="AO114" i="28" s="1"/>
  <c r="AO107" i="28" s="1"/>
  <c r="AO100" i="28" s="1"/>
  <c r="DO22" i="23"/>
  <c r="DO74" i="23" s="1"/>
  <c r="DO100" i="23" s="1"/>
  <c r="DM25" i="23"/>
  <c r="DM77" i="23" s="1"/>
  <c r="DM103" i="23" s="1"/>
  <c r="DO23" i="23"/>
  <c r="DO75" i="23" s="1"/>
  <c r="DO101" i="23" s="1"/>
  <c r="DM21" i="23"/>
  <c r="DM73" i="23" s="1"/>
  <c r="DM99" i="23" s="1"/>
  <c r="AP108" i="23"/>
  <c r="AP114" i="28" s="1"/>
  <c r="AP107" i="28" s="1"/>
  <c r="AP100" i="28" s="1"/>
  <c r="DO25" i="23"/>
  <c r="DO77" i="23" s="1"/>
  <c r="DO103" i="23" s="1"/>
  <c r="DO29" i="23"/>
  <c r="DO81" i="23" s="1"/>
  <c r="DO107" i="23" s="1"/>
  <c r="DM28" i="23"/>
  <c r="DM80" i="23" s="1"/>
  <c r="DO27" i="23"/>
  <c r="DO79" i="23" s="1"/>
  <c r="DO105" i="23" s="1"/>
  <c r="BC134" i="24"/>
  <c r="BG134" i="24"/>
  <c r="O44" i="31"/>
  <c r="P44" i="31" s="1"/>
  <c r="AP82" i="23"/>
  <c r="AP92" i="28" s="1"/>
  <c r="AP85" i="28" s="1"/>
  <c r="AP78" i="28" s="1"/>
  <c r="AO82" i="23"/>
  <c r="AO92" i="28" s="1"/>
  <c r="AO85" i="28" s="1"/>
  <c r="AO78" i="28" s="1"/>
  <c r="AF15" i="26"/>
  <c r="AF94" i="28" s="1"/>
  <c r="ED136" i="24"/>
  <c r="ED137" i="24" s="1"/>
  <c r="AF7" i="28"/>
  <c r="AF22" i="28" s="1"/>
  <c r="AF106" i="28" s="1"/>
  <c r="DX136" i="24"/>
  <c r="DX137" i="24" s="1"/>
  <c r="DY136" i="24"/>
  <c r="DY137" i="24" s="1"/>
  <c r="DN28" i="23"/>
  <c r="DN80" i="23" s="1"/>
  <c r="DN26" i="23"/>
  <c r="DN78" i="23" s="1"/>
  <c r="DN104" i="23" s="1"/>
  <c r="DK21" i="23"/>
  <c r="DK73" i="23" s="1"/>
  <c r="DK99" i="23" s="1"/>
  <c r="DK27" i="23"/>
  <c r="DK79" i="23" s="1"/>
  <c r="DK105" i="23" s="1"/>
  <c r="EA136" i="24"/>
  <c r="EA137" i="24" s="1"/>
  <c r="DU137" i="24"/>
  <c r="DK22" i="23"/>
  <c r="DK74" i="23" s="1"/>
  <c r="DK100" i="23" s="1"/>
  <c r="CX108" i="23"/>
  <c r="CX114" i="28" s="1"/>
  <c r="EB136" i="24"/>
  <c r="EB137" i="24" s="1"/>
  <c r="DK26" i="23"/>
  <c r="DK78" i="23" s="1"/>
  <c r="DK104" i="23" s="1"/>
  <c r="EC136" i="24"/>
  <c r="EC137" i="24" s="1"/>
  <c r="DK25" i="23"/>
  <c r="DK77" i="23" s="1"/>
  <c r="DK103" i="23" s="1"/>
  <c r="DK23" i="23"/>
  <c r="DK75" i="23" s="1"/>
  <c r="DK101" i="23" s="1"/>
  <c r="DK29" i="23"/>
  <c r="DK81" i="23" s="1"/>
  <c r="DK107" i="23" s="1"/>
  <c r="CL36" i="25"/>
  <c r="CL38" i="25" s="1"/>
  <c r="CM5" i="25"/>
  <c r="CJ36" i="25"/>
  <c r="CK36" i="25"/>
  <c r="CK38" i="25" s="1"/>
  <c r="CK11" i="28"/>
  <c r="DK20" i="23"/>
  <c r="DK72" i="23" s="1"/>
  <c r="DK98" i="23" s="1"/>
  <c r="AI10" i="28"/>
  <c r="AI69" i="27" s="1"/>
  <c r="AI46" i="27" s="1"/>
  <c r="AI15" i="24"/>
  <c r="AI11" i="24"/>
  <c r="AI17" i="24"/>
  <c r="AI8" i="24"/>
  <c r="BH134" i="24"/>
  <c r="AG29" i="23"/>
  <c r="AG81" i="23" s="1"/>
  <c r="AG107" i="23" s="1"/>
  <c r="BF134" i="24"/>
  <c r="AG26" i="23"/>
  <c r="AG78" i="23" s="1"/>
  <c r="AG104" i="23" s="1"/>
  <c r="BE134" i="24"/>
  <c r="CX82" i="23"/>
  <c r="CX92" i="28" s="1"/>
  <c r="CF82" i="23"/>
  <c r="CF92" i="28" s="1"/>
  <c r="CF108" i="23"/>
  <c r="CF114" i="28" s="1"/>
  <c r="AG20" i="23"/>
  <c r="AG72" i="23" s="1"/>
  <c r="AG98" i="23" s="1"/>
  <c r="AG27" i="23"/>
  <c r="AG79" i="23" s="1"/>
  <c r="AG105" i="23" s="1"/>
  <c r="AG22" i="23"/>
  <c r="AG74" i="23" s="1"/>
  <c r="AG100" i="23" s="1"/>
  <c r="AG21" i="23"/>
  <c r="AG73" i="23" s="1"/>
  <c r="AG99" i="23" s="1"/>
  <c r="BE108" i="23"/>
  <c r="BE114" i="28" s="1"/>
  <c r="AG24" i="23"/>
  <c r="AG76" i="23" s="1"/>
  <c r="AG102" i="23" s="1"/>
  <c r="AG23" i="23"/>
  <c r="AG75" i="23" s="1"/>
  <c r="AG101" i="23" s="1"/>
  <c r="AG25" i="23"/>
  <c r="AG77" i="23" s="1"/>
  <c r="AG103" i="23" s="1"/>
  <c r="BE82" i="23"/>
  <c r="BE92" i="28" s="1"/>
  <c r="U5" i="28"/>
  <c r="U6" i="28" s="1"/>
  <c r="BB108" i="23"/>
  <c r="BB114" i="28" s="1"/>
  <c r="V12" i="25"/>
  <c r="V6" i="26" s="1"/>
  <c r="V7" i="28" s="1"/>
  <c r="V17" i="28" s="1"/>
  <c r="V6" i="28"/>
  <c r="T5" i="28"/>
  <c r="R5" i="28" s="1"/>
  <c r="R6" i="28" s="1"/>
  <c r="EB134" i="24"/>
  <c r="EB135" i="24" s="1"/>
  <c r="ED134" i="24"/>
  <c r="ED135" i="24" s="1"/>
  <c r="DX134" i="24"/>
  <c r="DX135" i="24" s="1"/>
  <c r="BB82" i="23"/>
  <c r="BB92" i="28" s="1"/>
  <c r="DY134" i="24"/>
  <c r="DY135" i="24" s="1"/>
  <c r="DU135" i="24"/>
  <c r="EA134" i="24"/>
  <c r="EA135" i="24" s="1"/>
  <c r="DZ134" i="24"/>
  <c r="DZ135" i="24" s="1"/>
  <c r="AF114" i="28"/>
  <c r="DW17" i="28"/>
  <c r="AG75" i="32"/>
  <c r="AF92" i="28"/>
  <c r="DK28" i="23"/>
  <c r="DK80" i="23" s="1"/>
  <c r="DR69" i="27"/>
  <c r="DR46" i="27" s="1"/>
  <c r="DF10" i="28"/>
  <c r="DF3" i="24" s="1"/>
  <c r="DR70" i="27"/>
  <c r="DR47" i="27" s="1"/>
  <c r="CI82" i="23"/>
  <c r="CI92" i="28" s="1"/>
  <c r="AL135" i="24"/>
  <c r="CI108" i="23"/>
  <c r="CI114" i="28" s="1"/>
  <c r="AL137" i="24"/>
  <c r="BA108" i="23"/>
  <c r="BA114" i="28" s="1"/>
  <c r="BA82" i="23"/>
  <c r="BA92" i="28" s="1"/>
  <c r="CM29" i="23"/>
  <c r="CM81" i="23" s="1"/>
  <c r="CM107" i="23" s="1"/>
  <c r="CM24" i="23"/>
  <c r="CM76" i="23" s="1"/>
  <c r="CM102" i="23" s="1"/>
  <c r="CM25" i="23"/>
  <c r="CM77" i="23" s="1"/>
  <c r="CM103" i="23" s="1"/>
  <c r="CM21" i="23"/>
  <c r="CM73" i="23" s="1"/>
  <c r="CM99" i="23" s="1"/>
  <c r="CM26" i="23"/>
  <c r="CM78" i="23" s="1"/>
  <c r="CM104" i="23" s="1"/>
  <c r="CM20" i="23"/>
  <c r="CM72" i="23" s="1"/>
  <c r="CM23" i="23"/>
  <c r="CM75" i="23" s="1"/>
  <c r="CM101" i="23" s="1"/>
  <c r="CM22" i="23"/>
  <c r="CM74" i="23" s="1"/>
  <c r="CM100" i="23" s="1"/>
  <c r="CM27" i="23"/>
  <c r="CM79" i="23" s="1"/>
  <c r="CM105" i="23" s="1"/>
  <c r="CM28" i="23"/>
  <c r="CM80" i="23" s="1"/>
  <c r="D69" i="27"/>
  <c r="W69" i="27"/>
  <c r="W46" i="27" s="1"/>
  <c r="W70" i="27"/>
  <c r="W47" i="27" s="1"/>
  <c r="AF70" i="27"/>
  <c r="AF47" i="27" s="1"/>
  <c r="AF69" i="27"/>
  <c r="AF46" i="27" s="1"/>
  <c r="M73" i="32"/>
  <c r="C111" i="32" s="1"/>
  <c r="C12" i="37" s="1"/>
  <c r="AN70" i="27"/>
  <c r="AN47" i="27" s="1"/>
  <c r="AN69" i="27"/>
  <c r="AN46" i="27" s="1"/>
  <c r="DB12" i="25"/>
  <c r="DB6" i="26" s="1"/>
  <c r="DB7" i="28" s="1"/>
  <c r="DB132" i="24"/>
  <c r="CI12" i="25"/>
  <c r="CI132" i="24"/>
  <c r="CI135" i="24" s="1"/>
  <c r="DC12" i="25"/>
  <c r="DC6" i="26" s="1"/>
  <c r="DC132" i="24"/>
  <c r="CZ12" i="25"/>
  <c r="CZ132" i="24"/>
  <c r="CZ137" i="24" s="1"/>
  <c r="CL12" i="25"/>
  <c r="CL132" i="24"/>
  <c r="DA12" i="25"/>
  <c r="DA6" i="26" s="1"/>
  <c r="DA7" i="28" s="1"/>
  <c r="DA132" i="24"/>
  <c r="DA137" i="24" s="1"/>
  <c r="CY12" i="25"/>
  <c r="CY132" i="24"/>
  <c r="CY137" i="24" s="1"/>
  <c r="CK12" i="25"/>
  <c r="CK132" i="24"/>
  <c r="DW10" i="28"/>
  <c r="DW18" i="24"/>
  <c r="DW15" i="24"/>
  <c r="DW11" i="24"/>
  <c r="DW17" i="24"/>
  <c r="DW13" i="24"/>
  <c r="DW14" i="24"/>
  <c r="DE23" i="23"/>
  <c r="DE75" i="23" s="1"/>
  <c r="DE101" i="23" s="1"/>
  <c r="DE21" i="23"/>
  <c r="DE73" i="23" s="1"/>
  <c r="DE99" i="23" s="1"/>
  <c r="DE27" i="23"/>
  <c r="DE79" i="23" s="1"/>
  <c r="DE105" i="23" s="1"/>
  <c r="DE20" i="23"/>
  <c r="DE72" i="23" s="1"/>
  <c r="DE26" i="23"/>
  <c r="DE78" i="23" s="1"/>
  <c r="DE104" i="23" s="1"/>
  <c r="DE22" i="23"/>
  <c r="DE74" i="23" s="1"/>
  <c r="DE100" i="23" s="1"/>
  <c r="DE25" i="23"/>
  <c r="DE77" i="23" s="1"/>
  <c r="DE103" i="23" s="1"/>
  <c r="DE29" i="23"/>
  <c r="DE81" i="23" s="1"/>
  <c r="DE107" i="23" s="1"/>
  <c r="DE24" i="23"/>
  <c r="DE76" i="23" s="1"/>
  <c r="DE102" i="23" s="1"/>
  <c r="DE28" i="23"/>
  <c r="DE80" i="23" s="1"/>
  <c r="Q9" i="14"/>
  <c r="O24" i="14"/>
  <c r="DJ6" i="26"/>
  <c r="DJ134" i="24"/>
  <c r="DE22" i="28"/>
  <c r="DE17" i="28"/>
  <c r="DH22" i="28"/>
  <c r="DH17" i="28"/>
  <c r="DM8" i="24"/>
  <c r="DM19" i="24" s="1"/>
  <c r="DJ136" i="24"/>
  <c r="DI136" i="24"/>
  <c r="DF17" i="28"/>
  <c r="DF22" i="28"/>
  <c r="BT11" i="28"/>
  <c r="CC11" i="28" s="1"/>
  <c r="CG5" i="25"/>
  <c r="DD8" i="25"/>
  <c r="DD12" i="25" s="1"/>
  <c r="DD6" i="26" s="1"/>
  <c r="DN7" i="28"/>
  <c r="DN22" i="28" s="1"/>
  <c r="DM17" i="28"/>
  <c r="DM22" i="28"/>
  <c r="CJ22" i="28"/>
  <c r="CJ17" i="28"/>
  <c r="CF12" i="25"/>
  <c r="CF6" i="26" s="1"/>
  <c r="CF7" i="28" s="1"/>
  <c r="CF22" i="28" s="1"/>
  <c r="CH22" i="28"/>
  <c r="CH17" i="28"/>
  <c r="CL7" i="28"/>
  <c r="U72" i="32" s="1"/>
  <c r="CM7" i="28"/>
  <c r="V72" i="32" s="1"/>
  <c r="K58" i="38"/>
  <c r="AG102" i="28"/>
  <c r="F58" i="32" s="1"/>
  <c r="CZ11" i="28"/>
  <c r="CU11" i="28"/>
  <c r="J58" i="39"/>
  <c r="CV11" i="28"/>
  <c r="CW11" i="28" s="1"/>
  <c r="DB11" i="28"/>
  <c r="DA20" i="28"/>
  <c r="CZ7" i="26"/>
  <c r="CZ10" i="26" s="1"/>
  <c r="CX132" i="24"/>
  <c r="CX135" i="24" s="1"/>
  <c r="CS12" i="25"/>
  <c r="CS6" i="26" s="1"/>
  <c r="CS7" i="28" s="1"/>
  <c r="K58" i="39"/>
  <c r="F58" i="38"/>
  <c r="AG87" i="28"/>
  <c r="AY17" i="28"/>
  <c r="AY22" i="28"/>
  <c r="DL7" i="28"/>
  <c r="DK7" i="28"/>
  <c r="H72" i="32"/>
  <c r="AI22" i="28"/>
  <c r="AI17" i="28"/>
  <c r="Q72" i="32"/>
  <c r="AX22" i="28"/>
  <c r="AX17" i="28"/>
  <c r="M72" i="32"/>
  <c r="AN22" i="28"/>
  <c r="AN17" i="28"/>
  <c r="P72" i="32"/>
  <c r="AQ17" i="28"/>
  <c r="AQ22" i="28"/>
  <c r="BB17" i="28"/>
  <c r="BB22" i="28"/>
  <c r="DO22" i="28"/>
  <c r="DO17" i="28"/>
  <c r="AZ17" i="28"/>
  <c r="AZ22" i="28"/>
  <c r="DT22" i="28"/>
  <c r="DT17" i="28"/>
  <c r="L72" i="32"/>
  <c r="AM22" i="28"/>
  <c r="AM87" i="28" s="1"/>
  <c r="AM17" i="28"/>
  <c r="AD72" i="32"/>
  <c r="DR22" i="28"/>
  <c r="DR17" i="28"/>
  <c r="DP7" i="28"/>
  <c r="BV17" i="28"/>
  <c r="BP22" i="28"/>
  <c r="BP17" i="28"/>
  <c r="BV22" i="28"/>
  <c r="BD17" i="28"/>
  <c r="BD22" i="28"/>
  <c r="BQ22" i="28"/>
  <c r="BQ17" i="28"/>
  <c r="BE22" i="28"/>
  <c r="BE17" i="28"/>
  <c r="BU22" i="28"/>
  <c r="BU17" i="28"/>
  <c r="BO22" i="28"/>
  <c r="BO17" i="28"/>
  <c r="BW17" i="28"/>
  <c r="BC17" i="28"/>
  <c r="BC22" i="28"/>
  <c r="BW22" i="28"/>
  <c r="J58" i="38"/>
  <c r="R72" i="32"/>
  <c r="AA29" i="8"/>
  <c r="ED8" i="24" s="1"/>
  <c r="DY8" i="24" s="1"/>
  <c r="DX11" i="24"/>
  <c r="DY11" i="24"/>
  <c r="DZ11" i="24"/>
  <c r="EB11" i="24"/>
  <c r="EA11" i="24"/>
  <c r="EC11" i="24"/>
  <c r="DP17" i="24"/>
  <c r="DO17" i="24"/>
  <c r="DN17" i="24"/>
  <c r="DL17" i="24"/>
  <c r="DK17" i="24"/>
  <c r="DO8" i="24"/>
  <c r="DN8" i="24"/>
  <c r="DL8" i="24"/>
  <c r="DK8" i="24"/>
  <c r="DP8" i="24"/>
  <c r="CW132" i="24"/>
  <c r="DO15" i="24"/>
  <c r="DN15" i="24"/>
  <c r="DL15" i="24"/>
  <c r="DK15" i="24"/>
  <c r="DP15" i="24"/>
  <c r="DN12" i="24"/>
  <c r="DL12" i="24"/>
  <c r="DK12" i="24"/>
  <c r="DP12" i="24"/>
  <c r="DO12" i="24"/>
  <c r="DK14" i="24"/>
  <c r="DP14" i="24"/>
  <c r="DO14" i="24"/>
  <c r="DN14" i="24"/>
  <c r="DL14" i="24"/>
  <c r="DL18" i="24"/>
  <c r="DK18" i="24"/>
  <c r="DP18" i="24"/>
  <c r="DO18" i="24"/>
  <c r="DN18" i="24"/>
  <c r="DP13" i="24"/>
  <c r="DO13" i="24"/>
  <c r="DN13" i="24"/>
  <c r="DL13" i="24"/>
  <c r="DK13" i="24"/>
  <c r="CR108" i="23"/>
  <c r="CR114" i="28" s="1"/>
  <c r="CR107" i="28" s="1"/>
  <c r="CR100" i="28" s="1"/>
  <c r="CU12" i="25"/>
  <c r="CU6" i="26" s="1"/>
  <c r="CU7" i="28" s="1"/>
  <c r="CR82" i="23"/>
  <c r="CR92" i="28" s="1"/>
  <c r="CR85" i="28" s="1"/>
  <c r="CR78" i="28" s="1"/>
  <c r="CV12" i="25"/>
  <c r="CV6" i="26" s="1"/>
  <c r="CV7" i="28" s="1"/>
  <c r="CT12" i="25"/>
  <c r="CT6" i="26" s="1"/>
  <c r="CT7" i="28" s="1"/>
  <c r="CW6" i="26"/>
  <c r="CC132" i="24"/>
  <c r="CX6" i="26"/>
  <c r="CE20" i="23"/>
  <c r="CE72" i="23" s="1"/>
  <c r="CE98" i="23" s="1"/>
  <c r="CE26" i="23"/>
  <c r="CE78" i="23" s="1"/>
  <c r="CE104" i="23" s="1"/>
  <c r="CE25" i="23"/>
  <c r="CE77" i="23" s="1"/>
  <c r="CE103" i="23" s="1"/>
  <c r="CE23" i="23"/>
  <c r="CE75" i="23" s="1"/>
  <c r="CE101" i="23" s="1"/>
  <c r="BX36" i="25"/>
  <c r="BX38" i="25" s="1"/>
  <c r="BY36" i="25"/>
  <c r="BY38" i="25" s="1"/>
  <c r="S31" i="24"/>
  <c r="S75" i="24"/>
  <c r="S123" i="24"/>
  <c r="S122" i="24"/>
  <c r="CE22" i="23"/>
  <c r="CE74" i="23" s="1"/>
  <c r="CE100" i="23" s="1"/>
  <c r="CE29" i="23"/>
  <c r="CE81" i="23" s="1"/>
  <c r="CE107" i="23" s="1"/>
  <c r="CE27" i="23"/>
  <c r="CE79" i="23" s="1"/>
  <c r="CE105" i="23" s="1"/>
  <c r="CE28" i="23"/>
  <c r="CE80" i="23" s="1"/>
  <c r="CE21" i="23"/>
  <c r="CE73" i="23" s="1"/>
  <c r="CE99" i="23" s="1"/>
  <c r="BI92" i="28"/>
  <c r="BI114" i="28"/>
  <c r="BH6" i="26"/>
  <c r="BZ7" i="28" s="1"/>
  <c r="BD92" i="28"/>
  <c r="BJ92" i="28"/>
  <c r="BF6" i="26"/>
  <c r="BX7" i="28" s="1"/>
  <c r="BD114" i="28"/>
  <c r="BG6" i="26"/>
  <c r="BY7" i="28" s="1"/>
  <c r="BJ114" i="28"/>
  <c r="BC92" i="28"/>
  <c r="BL6" i="26"/>
  <c r="BL7" i="28" s="1"/>
  <c r="BC114" i="28"/>
  <c r="AF3" i="24"/>
  <c r="AF69" i="24" s="1"/>
  <c r="AF81" i="24" s="1"/>
  <c r="Q10" i="28"/>
  <c r="R10" i="28"/>
  <c r="R123" i="24"/>
  <c r="R31" i="24"/>
  <c r="R75" i="24"/>
  <c r="R74" i="24"/>
  <c r="R122" i="24"/>
  <c r="O114" i="28"/>
  <c r="O92" i="28"/>
  <c r="CD82" i="23"/>
  <c r="CD92" i="28" s="1"/>
  <c r="Q31" i="24"/>
  <c r="Q123" i="24"/>
  <c r="Q122" i="24"/>
  <c r="Q75" i="24"/>
  <c r="CD108" i="23"/>
  <c r="CD114" i="28" s="1"/>
  <c r="CD8" i="25"/>
  <c r="CE8" i="25"/>
  <c r="P114" i="28"/>
  <c r="P92" i="28"/>
  <c r="BA7" i="28"/>
  <c r="BD132" i="24"/>
  <c r="BD135" i="24" s="1"/>
  <c r="BC132" i="24"/>
  <c r="BE132" i="24"/>
  <c r="BH132" i="24"/>
  <c r="BG132" i="24"/>
  <c r="BF132" i="24"/>
  <c r="BF36" i="25"/>
  <c r="BF38" i="25" s="1"/>
  <c r="BH36" i="25"/>
  <c r="BH38" i="25" s="1"/>
  <c r="BL4" i="25"/>
  <c r="BL36" i="25" s="1"/>
  <c r="BL38" i="25" s="1"/>
  <c r="BG36" i="25"/>
  <c r="BG38" i="25" s="1"/>
  <c r="BM4" i="25"/>
  <c r="BM36" i="25" s="1"/>
  <c r="BM38" i="25" s="1"/>
  <c r="BI6" i="26"/>
  <c r="CA7" i="28" s="1"/>
  <c r="BQ4" i="25"/>
  <c r="BQ36" i="25" s="1"/>
  <c r="BP4" i="25"/>
  <c r="BP36" i="25" s="1"/>
  <c r="BN4" i="25"/>
  <c r="BN36" i="25" s="1"/>
  <c r="BN38" i="25" s="1"/>
  <c r="BO4" i="25"/>
  <c r="BO36" i="25" s="1"/>
  <c r="BR4" i="25"/>
  <c r="BR36" i="25" s="1"/>
  <c r="BS4" i="25"/>
  <c r="BS36" i="25" s="1"/>
  <c r="AN3" i="24"/>
  <c r="AN137" i="24" s="1"/>
  <c r="DW137" i="24"/>
  <c r="AS4" i="25"/>
  <c r="AS36" i="25" s="1"/>
  <c r="AS38" i="25" s="1"/>
  <c r="CN92" i="28"/>
  <c r="CN85" i="28" s="1"/>
  <c r="CN78" i="28" s="1"/>
  <c r="CG92" i="28"/>
  <c r="CO92" i="28"/>
  <c r="CO85" i="28" s="1"/>
  <c r="CO78" i="28" s="1"/>
  <c r="CN114" i="28"/>
  <c r="CN107" i="28" s="1"/>
  <c r="CN100" i="28" s="1"/>
  <c r="CO114" i="28"/>
  <c r="CO107" i="28" s="1"/>
  <c r="CO100" i="28" s="1"/>
  <c r="CG114" i="28"/>
  <c r="AT4" i="25"/>
  <c r="AT36" i="25" s="1"/>
  <c r="AU4" i="25"/>
  <c r="AU36" i="25" s="1"/>
  <c r="AU38" i="25" s="1"/>
  <c r="AV4" i="25"/>
  <c r="AV36" i="25" s="1"/>
  <c r="AV38" i="25" s="1"/>
  <c r="AW4" i="25"/>
  <c r="N24" i="13"/>
  <c r="AQ92" i="28"/>
  <c r="AQ114" i="28"/>
  <c r="F27" i="13"/>
  <c r="AJ3" i="23" s="1"/>
  <c r="Z3" i="23" s="1"/>
  <c r="AH3" i="23"/>
  <c r="AH21" i="23" s="1"/>
  <c r="AH73" i="23" s="1"/>
  <c r="AH99" i="23" s="1"/>
  <c r="AN15" i="26"/>
  <c r="AN94" i="28" s="1"/>
  <c r="DR19" i="24"/>
  <c r="CR5" i="25"/>
  <c r="CR37" i="25" s="1"/>
  <c r="CQ11" i="28"/>
  <c r="CQ36" i="25"/>
  <c r="CQ38" i="25" s="1"/>
  <c r="EM5" i="26"/>
  <c r="BB5" i="25"/>
  <c r="R81" i="32" s="1"/>
  <c r="R83" i="32" s="1"/>
  <c r="E117" i="32" s="1"/>
  <c r="E18" i="37" s="1"/>
  <c r="AX36" i="25"/>
  <c r="AX38" i="25" s="1"/>
  <c r="AX11" i="28"/>
  <c r="AR11" i="28" s="1"/>
  <c r="AR4" i="24" s="1"/>
  <c r="EQ5" i="26"/>
  <c r="BT36" i="25"/>
  <c r="BT38" i="25" s="1"/>
  <c r="CU36" i="25"/>
  <c r="BK36" i="25"/>
  <c r="EP5" i="26"/>
  <c r="J114" i="28"/>
  <c r="AQ36" i="25"/>
  <c r="AQ38" i="25" s="1"/>
  <c r="EL5" i="26"/>
  <c r="CV36" i="25"/>
  <c r="CV38" i="25" s="1"/>
  <c r="CX5" i="25"/>
  <c r="J92" i="28"/>
  <c r="ET5" i="26"/>
  <c r="CP11" i="28"/>
  <c r="CP4" i="24" s="1"/>
  <c r="CP3" i="23" s="1"/>
  <c r="CP36" i="25"/>
  <c r="CP38" i="25" s="1"/>
  <c r="AK17" i="25"/>
  <c r="AH74" i="24"/>
  <c r="AI121" i="24"/>
  <c r="AI124" i="24" s="1"/>
  <c r="AI112" i="24"/>
  <c r="AM98" i="23"/>
  <c r="AM108" i="23" s="1"/>
  <c r="AM114" i="28" s="1"/>
  <c r="AM82" i="23"/>
  <c r="AM92" i="28" s="1"/>
  <c r="CS135" i="24"/>
  <c r="CS137" i="24"/>
  <c r="CG12" i="25"/>
  <c r="CG132" i="24"/>
  <c r="AI56" i="24"/>
  <c r="AI55" i="24"/>
  <c r="DQ3" i="24"/>
  <c r="AC73" i="32"/>
  <c r="AK5" i="24"/>
  <c r="AK61" i="24" s="1"/>
  <c r="AJ24" i="25"/>
  <c r="AJ25" i="25"/>
  <c r="AJ23" i="25"/>
  <c r="AJ21" i="25"/>
  <c r="AJ22" i="25"/>
  <c r="AJ20" i="25"/>
  <c r="CT135" i="24"/>
  <c r="CT137" i="24"/>
  <c r="AH7" i="28"/>
  <c r="AH15" i="26"/>
  <c r="AH94" i="28" s="1"/>
  <c r="AH17" i="26"/>
  <c r="AH116" i="28" s="1"/>
  <c r="AJ37" i="24"/>
  <c r="AJ59" i="24"/>
  <c r="AJ54" i="24"/>
  <c r="AJ107" i="24"/>
  <c r="AJ102" i="24"/>
  <c r="AJ85" i="24"/>
  <c r="DR3" i="24"/>
  <c r="AD73" i="32"/>
  <c r="C118" i="32" s="1"/>
  <c r="C19" i="37" s="1"/>
  <c r="BI137" i="24"/>
  <c r="BI135" i="24"/>
  <c r="AI98" i="24"/>
  <c r="AI94" i="24"/>
  <c r="AI97" i="24"/>
  <c r="AI96" i="24"/>
  <c r="AI99" i="24"/>
  <c r="AI95" i="24"/>
  <c r="DQ19" i="24"/>
  <c r="CU135" i="24"/>
  <c r="CU137" i="24"/>
  <c r="AI47" i="24"/>
  <c r="AI49" i="24"/>
  <c r="AI46" i="24"/>
  <c r="AI50" i="24"/>
  <c r="AI48" i="24"/>
  <c r="M3" i="26"/>
  <c r="M12" i="26" s="1"/>
  <c r="K19" i="28"/>
  <c r="K3" i="26" s="1"/>
  <c r="K12" i="26" s="1"/>
  <c r="I69" i="32"/>
  <c r="AJ8" i="25"/>
  <c r="AJ12" i="25" s="1"/>
  <c r="AJ6" i="26" s="1"/>
  <c r="AJ7" i="28" s="1"/>
  <c r="BT12" i="25"/>
  <c r="BT132" i="24"/>
  <c r="BK12" i="25"/>
  <c r="BK132" i="24"/>
  <c r="CV137" i="24"/>
  <c r="CV135" i="24"/>
  <c r="AI73" i="24"/>
  <c r="AI76" i="24" s="1"/>
  <c r="AI64" i="24"/>
  <c r="BJ12" i="25"/>
  <c r="AA33" i="8"/>
  <c r="ED14" i="24" s="1"/>
  <c r="AA32" i="8"/>
  <c r="ED17" i="24" s="1"/>
  <c r="AA36" i="8"/>
  <c r="AA31" i="8"/>
  <c r="ED15" i="24" s="1"/>
  <c r="AA35" i="8"/>
  <c r="AI104" i="24"/>
  <c r="AI103" i="24"/>
  <c r="C73" i="32"/>
  <c r="AH15" i="24"/>
  <c r="AH17" i="24"/>
  <c r="AH12" i="24"/>
  <c r="AH11" i="24"/>
  <c r="AH8" i="24"/>
  <c r="AH10" i="28"/>
  <c r="AH13" i="24"/>
  <c r="W3" i="24"/>
  <c r="F73" i="32"/>
  <c r="S10" i="28"/>
  <c r="V10" i="28"/>
  <c r="D19" i="24"/>
  <c r="W8" i="24"/>
  <c r="L27" i="13"/>
  <c r="AF11" i="24"/>
  <c r="V11" i="24"/>
  <c r="AF13" i="24"/>
  <c r="V13" i="24"/>
  <c r="AF18" i="24"/>
  <c r="V18" i="24"/>
  <c r="V12" i="24"/>
  <c r="AF12" i="24"/>
  <c r="V17" i="24"/>
  <c r="AF17" i="24"/>
  <c r="AI29" i="23"/>
  <c r="AI81" i="23" s="1"/>
  <c r="AI107" i="23" s="1"/>
  <c r="AI26" i="23"/>
  <c r="AI78" i="23" s="1"/>
  <c r="AI104" i="23" s="1"/>
  <c r="AI21" i="23"/>
  <c r="AI73" i="23" s="1"/>
  <c r="AI99" i="23" s="1"/>
  <c r="AI27" i="23"/>
  <c r="AI79" i="23" s="1"/>
  <c r="AI105" i="23" s="1"/>
  <c r="AI24" i="23"/>
  <c r="AI76" i="23" s="1"/>
  <c r="AI102" i="23" s="1"/>
  <c r="AI25" i="23"/>
  <c r="AI77" i="23" s="1"/>
  <c r="AI103" i="23" s="1"/>
  <c r="AI22" i="23"/>
  <c r="AI74" i="23" s="1"/>
  <c r="AI100" i="23" s="1"/>
  <c r="AI20" i="23"/>
  <c r="AI72" i="23" s="1"/>
  <c r="AI28" i="23"/>
  <c r="AI80" i="23" s="1"/>
  <c r="AI23" i="23"/>
  <c r="AI75" i="23" s="1"/>
  <c r="AI101" i="23" s="1"/>
  <c r="AL24" i="23"/>
  <c r="AL76" i="23" s="1"/>
  <c r="AL102" i="23" s="1"/>
  <c r="AL28" i="23"/>
  <c r="AL80" i="23" s="1"/>
  <c r="AL21" i="23"/>
  <c r="AL73" i="23" s="1"/>
  <c r="AL99" i="23" s="1"/>
  <c r="AL27" i="23"/>
  <c r="AL79" i="23" s="1"/>
  <c r="AL105" i="23" s="1"/>
  <c r="AL23" i="23"/>
  <c r="AL75" i="23" s="1"/>
  <c r="AL101" i="23" s="1"/>
  <c r="AL26" i="23"/>
  <c r="AL78" i="23" s="1"/>
  <c r="AL104" i="23" s="1"/>
  <c r="AL29" i="23"/>
  <c r="AL81" i="23" s="1"/>
  <c r="AL107" i="23" s="1"/>
  <c r="AL25" i="23"/>
  <c r="AL77" i="23" s="1"/>
  <c r="AL103" i="23" s="1"/>
  <c r="AL20" i="23"/>
  <c r="AL72" i="23" s="1"/>
  <c r="AL22" i="23"/>
  <c r="AL74" i="23" s="1"/>
  <c r="AL100" i="23" s="1"/>
  <c r="AI15" i="26"/>
  <c r="AI94" i="28" s="1"/>
  <c r="P31" i="24"/>
  <c r="P75" i="24"/>
  <c r="P123" i="24"/>
  <c r="P122" i="24"/>
  <c r="P74" i="24"/>
  <c r="N8" i="26"/>
  <c r="L21" i="28"/>
  <c r="J21" i="28"/>
  <c r="J8" i="26" s="1"/>
  <c r="N4" i="24"/>
  <c r="L11" i="28"/>
  <c r="J11" i="28"/>
  <c r="J4" i="24" s="1"/>
  <c r="M21" i="28"/>
  <c r="I21" i="28" s="1"/>
  <c r="I8" i="26" s="1"/>
  <c r="O4" i="24"/>
  <c r="M11" i="28"/>
  <c r="I11" i="28" s="1"/>
  <c r="I4" i="24" s="1"/>
  <c r="AB81" i="32" l="1"/>
  <c r="AB83" i="32" s="1"/>
  <c r="DD5" i="25"/>
  <c r="DV3" i="23"/>
  <c r="DV68" i="24"/>
  <c r="DV80" i="24" s="1"/>
  <c r="DV117" i="24"/>
  <c r="DV129" i="24" s="1"/>
  <c r="DV116" i="24"/>
  <c r="DV128" i="24" s="1"/>
  <c r="DV69" i="24"/>
  <c r="DV81" i="24" s="1"/>
  <c r="CM37" i="25"/>
  <c r="V81" i="32"/>
  <c r="V83" i="32" s="1"/>
  <c r="DS98" i="23"/>
  <c r="DS108" i="23" s="1"/>
  <c r="DS114" i="28" s="1"/>
  <c r="DS107" i="28" s="1"/>
  <c r="DS100" i="28" s="1"/>
  <c r="DS82" i="23"/>
  <c r="DS92" i="28" s="1"/>
  <c r="DS85" i="28" s="1"/>
  <c r="DS78" i="28" s="1"/>
  <c r="Y83" i="32"/>
  <c r="P9" i="14"/>
  <c r="DW8" i="24" s="1"/>
  <c r="DW19" i="24" s="1"/>
  <c r="C11" i="37"/>
  <c r="D96" i="32"/>
  <c r="I32" i="37" s="1"/>
  <c r="D95" i="32"/>
  <c r="I31" i="37" s="1"/>
  <c r="Z12" i="25"/>
  <c r="Z6" i="26" s="1"/>
  <c r="Z7" i="28" s="1"/>
  <c r="AC11" i="25"/>
  <c r="AC5" i="26" s="1"/>
  <c r="AC10" i="26" s="1"/>
  <c r="H6" i="28"/>
  <c r="C69" i="32"/>
  <c r="C92" i="32" s="1"/>
  <c r="H28" i="37" s="1"/>
  <c r="G9" i="25"/>
  <c r="G11" i="25" s="1"/>
  <c r="G5" i="26" s="1"/>
  <c r="G10" i="26" s="1"/>
  <c r="AE11" i="25"/>
  <c r="AE5" i="26" s="1"/>
  <c r="AE10" i="26" s="1"/>
  <c r="B55" i="70" s="1"/>
  <c r="AD12" i="25"/>
  <c r="F5" i="28"/>
  <c r="F9" i="25" s="1"/>
  <c r="F12" i="25" s="1"/>
  <c r="F6" i="26" s="1"/>
  <c r="F7" i="28" s="1"/>
  <c r="E5" i="28"/>
  <c r="E6" i="28" s="1"/>
  <c r="AB12" i="25"/>
  <c r="W12" i="25"/>
  <c r="W6" i="26" s="1"/>
  <c r="W15" i="26" s="1"/>
  <c r="W94" i="28" s="1"/>
  <c r="H12" i="25"/>
  <c r="H6" i="26" s="1"/>
  <c r="H7" i="28" s="1"/>
  <c r="H17" i="28" s="1"/>
  <c r="Y3" i="23"/>
  <c r="AJ8" i="24"/>
  <c r="Y6" i="26"/>
  <c r="Y7" i="28" s="1"/>
  <c r="X12" i="26"/>
  <c r="X6" i="26"/>
  <c r="X7" i="28" s="1"/>
  <c r="X5" i="26"/>
  <c r="X10" i="26" s="1"/>
  <c r="X3" i="23"/>
  <c r="Z27" i="23"/>
  <c r="Z79" i="23" s="1"/>
  <c r="Z105" i="23" s="1"/>
  <c r="Z21" i="23"/>
  <c r="Z73" i="23" s="1"/>
  <c r="Z99" i="23" s="1"/>
  <c r="Z29" i="23"/>
  <c r="Z81" i="23" s="1"/>
  <c r="Z107" i="23" s="1"/>
  <c r="Z22" i="23"/>
  <c r="Z74" i="23" s="1"/>
  <c r="Z100" i="23" s="1"/>
  <c r="Z20" i="23"/>
  <c r="Z72" i="23" s="1"/>
  <c r="Z23" i="23"/>
  <c r="Z75" i="23" s="1"/>
  <c r="Z101" i="23" s="1"/>
  <c r="Z25" i="23"/>
  <c r="Z77" i="23" s="1"/>
  <c r="Z103" i="23" s="1"/>
  <c r="Z24" i="23"/>
  <c r="Z76" i="23" s="1"/>
  <c r="Z102" i="23" s="1"/>
  <c r="Z28" i="23"/>
  <c r="Z80" i="23" s="1"/>
  <c r="Z26" i="23"/>
  <c r="Z78" i="23" s="1"/>
  <c r="Z104" i="23" s="1"/>
  <c r="DL108" i="23"/>
  <c r="DL114" i="28" s="1"/>
  <c r="AD3" i="23"/>
  <c r="DL82" i="23"/>
  <c r="DL92" i="28" s="1"/>
  <c r="AB12" i="26"/>
  <c r="AC12" i="26"/>
  <c r="AC6" i="26"/>
  <c r="AC7" i="28" s="1"/>
  <c r="AA11" i="25"/>
  <c r="AA5" i="26" s="1"/>
  <c r="AA10" i="26" s="1"/>
  <c r="AA12" i="25"/>
  <c r="AJ17" i="24"/>
  <c r="AJ11" i="24"/>
  <c r="AJ10" i="28"/>
  <c r="AJ70" i="27" s="1"/>
  <c r="AJ47" i="27" s="1"/>
  <c r="N27" i="13"/>
  <c r="AJ12" i="24"/>
  <c r="AJ13" i="24"/>
  <c r="AJ18" i="24"/>
  <c r="AG117" i="24"/>
  <c r="AG129" i="24" s="1"/>
  <c r="AG137" i="24"/>
  <c r="AG116" i="24"/>
  <c r="AG128" i="24" s="1"/>
  <c r="AG69" i="24"/>
  <c r="AG81" i="24" s="1"/>
  <c r="AG135" i="24"/>
  <c r="AG68" i="24"/>
  <c r="AG80" i="24" s="1"/>
  <c r="AJ20" i="23"/>
  <c r="AJ72" i="23" s="1"/>
  <c r="AJ98" i="23" s="1"/>
  <c r="AB3" i="23"/>
  <c r="AC3" i="23"/>
  <c r="AZ108" i="23"/>
  <c r="AZ114" i="28" s="1"/>
  <c r="AZ107" i="28" s="1"/>
  <c r="AZ100" i="28" s="1"/>
  <c r="CV4" i="24"/>
  <c r="CV3" i="23" s="1"/>
  <c r="DN108" i="23"/>
  <c r="DN114" i="28" s="1"/>
  <c r="DN107" i="28" s="1"/>
  <c r="I12" i="26"/>
  <c r="DP108" i="23"/>
  <c r="DP114" i="28" s="1"/>
  <c r="AZ82" i="23"/>
  <c r="AZ92" i="28" s="1"/>
  <c r="AZ85" i="28" s="1"/>
  <c r="AZ78" i="28" s="1"/>
  <c r="I31" i="24"/>
  <c r="I74" i="24"/>
  <c r="I122" i="24"/>
  <c r="I123" i="24"/>
  <c r="I75" i="24"/>
  <c r="DP82" i="23"/>
  <c r="DP92" i="28" s="1"/>
  <c r="DO108" i="23"/>
  <c r="DO114" i="28" s="1"/>
  <c r="DO107" i="28" s="1"/>
  <c r="DO100" i="28" s="1"/>
  <c r="DM108" i="23"/>
  <c r="DM114" i="28" s="1"/>
  <c r="DM107" i="28" s="1"/>
  <c r="DM100" i="28" s="1"/>
  <c r="AE3" i="23"/>
  <c r="AE29" i="23" s="1"/>
  <c r="AE81" i="23" s="1"/>
  <c r="AE107" i="23" s="1"/>
  <c r="DM82" i="23"/>
  <c r="DM92" i="28" s="1"/>
  <c r="DM85" i="28" s="1"/>
  <c r="DM78" i="28" s="1"/>
  <c r="AA3" i="23"/>
  <c r="AA28" i="23" s="1"/>
  <c r="AA80" i="23" s="1"/>
  <c r="DO82" i="23"/>
  <c r="DO92" i="28" s="1"/>
  <c r="DO85" i="28" s="1"/>
  <c r="DO78" i="28" s="1"/>
  <c r="AI3" i="24"/>
  <c r="AI135" i="24" s="1"/>
  <c r="AF17" i="28"/>
  <c r="AF99" i="28" s="1"/>
  <c r="AF87" i="28"/>
  <c r="AF85" i="28"/>
  <c r="H73" i="32"/>
  <c r="AF107" i="28"/>
  <c r="DK108" i="23"/>
  <c r="DK114" i="28" s="1"/>
  <c r="DN82" i="23"/>
  <c r="DN92" i="28" s="1"/>
  <c r="DN85" i="28" s="1"/>
  <c r="T74" i="32"/>
  <c r="CK4" i="24"/>
  <c r="CL11" i="28"/>
  <c r="C105" i="32"/>
  <c r="C6" i="37" s="1"/>
  <c r="CJ38" i="25"/>
  <c r="DK82" i="23"/>
  <c r="DK92" i="28" s="1"/>
  <c r="AI70" i="27"/>
  <c r="AI47" i="27" s="1"/>
  <c r="AI19" i="24"/>
  <c r="V15" i="26"/>
  <c r="V94" i="28" s="1"/>
  <c r="AG82" i="23"/>
  <c r="AG92" i="28" s="1"/>
  <c r="AG85" i="28" s="1"/>
  <c r="AG78" i="28" s="1"/>
  <c r="AG108" i="23"/>
  <c r="AG114" i="28" s="1"/>
  <c r="AG107" i="28" s="1"/>
  <c r="AG100" i="28" s="1"/>
  <c r="V22" i="28"/>
  <c r="V107" i="28" s="1"/>
  <c r="V100" i="28" s="1"/>
  <c r="S5" i="28"/>
  <c r="Q5" i="28" s="1"/>
  <c r="Q6" i="28" s="1"/>
  <c r="U9" i="25"/>
  <c r="U11" i="25" s="1"/>
  <c r="U5" i="26" s="1"/>
  <c r="U10" i="26" s="1"/>
  <c r="P5" i="28"/>
  <c r="P6" i="28" s="1"/>
  <c r="T9" i="25"/>
  <c r="T11" i="25" s="1"/>
  <c r="T5" i="26" s="1"/>
  <c r="T10" i="26" s="1"/>
  <c r="T6" i="28"/>
  <c r="R9" i="25"/>
  <c r="R11" i="25" s="1"/>
  <c r="R5" i="26" s="1"/>
  <c r="R10" i="26" s="1"/>
  <c r="AE6" i="26"/>
  <c r="D17" i="26"/>
  <c r="D116" i="28" s="1"/>
  <c r="D15" i="26"/>
  <c r="D94" i="28" s="1"/>
  <c r="D7" i="28"/>
  <c r="DF69" i="27"/>
  <c r="DF46" i="27" s="1"/>
  <c r="DF70" i="27"/>
  <c r="DF47" i="27" s="1"/>
  <c r="AH70" i="27"/>
  <c r="AH47" i="27" s="1"/>
  <c r="AH69" i="27"/>
  <c r="AH46" i="27" s="1"/>
  <c r="CM98" i="23"/>
  <c r="CM108" i="23" s="1"/>
  <c r="CM114" i="28" s="1"/>
  <c r="CM82" i="23"/>
  <c r="CM92" i="28" s="1"/>
  <c r="R70" i="27"/>
  <c r="R47" i="27" s="1"/>
  <c r="R69" i="27"/>
  <c r="R46" i="27" s="1"/>
  <c r="D46" i="27"/>
  <c r="Q69" i="27"/>
  <c r="Q46" i="27" s="1"/>
  <c r="Q70" i="27"/>
  <c r="Q47" i="27" s="1"/>
  <c r="S70" i="27"/>
  <c r="S47" i="27" s="1"/>
  <c r="S69" i="27"/>
  <c r="S46" i="27" s="1"/>
  <c r="V69" i="27"/>
  <c r="V46" i="27" s="1"/>
  <c r="V70" i="27"/>
  <c r="V47" i="27" s="1"/>
  <c r="CY135" i="24"/>
  <c r="DW69" i="27"/>
  <c r="DW46" i="27" s="1"/>
  <c r="DW70" i="27"/>
  <c r="DW47" i="27" s="1"/>
  <c r="CZ6" i="26"/>
  <c r="CZ7" i="28" s="1"/>
  <c r="CZ22" i="28" s="1"/>
  <c r="CZ135" i="24"/>
  <c r="AG73" i="32"/>
  <c r="C120" i="32" s="1"/>
  <c r="C21" i="37" s="1"/>
  <c r="DJ10" i="28"/>
  <c r="CY6" i="26"/>
  <c r="CY7" i="28" s="1"/>
  <c r="CI6" i="26"/>
  <c r="CI7" i="28" s="1"/>
  <c r="CK6" i="26"/>
  <c r="CK7" i="28" s="1"/>
  <c r="CL6" i="26"/>
  <c r="DW3" i="24"/>
  <c r="DE98" i="23"/>
  <c r="DE108" i="23" s="1"/>
  <c r="DE114" i="28" s="1"/>
  <c r="DE107" i="28" s="1"/>
  <c r="DE100" i="28" s="1"/>
  <c r="DE82" i="23"/>
  <c r="DE92" i="28" s="1"/>
  <c r="DE85" i="28" s="1"/>
  <c r="DE78" i="28" s="1"/>
  <c r="DF12" i="24"/>
  <c r="DF15" i="24"/>
  <c r="DF14" i="24"/>
  <c r="DF9" i="24"/>
  <c r="DF8" i="24"/>
  <c r="DF16" i="24"/>
  <c r="DF11" i="24"/>
  <c r="DF18" i="24"/>
  <c r="DF10" i="24"/>
  <c r="DF13" i="24"/>
  <c r="DF17" i="24"/>
  <c r="DN17" i="28"/>
  <c r="DQ3" i="23"/>
  <c r="DE9" i="24"/>
  <c r="DE17" i="24"/>
  <c r="DE14" i="24"/>
  <c r="DE16" i="24"/>
  <c r="DE10" i="24"/>
  <c r="DE13" i="24"/>
  <c r="DE8" i="24"/>
  <c r="DE11" i="24"/>
  <c r="DE15" i="24"/>
  <c r="DE12" i="24"/>
  <c r="DE18" i="24"/>
  <c r="DF135" i="24"/>
  <c r="DF137" i="24"/>
  <c r="DJ7" i="28"/>
  <c r="DI7" i="28"/>
  <c r="DA135" i="24"/>
  <c r="DE135" i="24"/>
  <c r="DE137" i="24"/>
  <c r="DD11" i="28"/>
  <c r="DD4" i="24" s="1"/>
  <c r="AM85" i="28"/>
  <c r="AM78" i="28" s="1"/>
  <c r="AM107" i="28"/>
  <c r="AM100" i="28" s="1"/>
  <c r="CX137" i="24"/>
  <c r="DM137" i="24"/>
  <c r="CM132" i="24"/>
  <c r="CK135" i="24"/>
  <c r="CK137" i="24"/>
  <c r="CA132" i="24"/>
  <c r="CE12" i="25"/>
  <c r="CE6" i="26" s="1"/>
  <c r="CE7" i="28" s="1"/>
  <c r="CE22" i="28" s="1"/>
  <c r="CM22" i="28"/>
  <c r="CM17" i="28"/>
  <c r="CD12" i="25"/>
  <c r="CD6" i="26" s="1"/>
  <c r="CD7" i="28" s="1"/>
  <c r="CD17" i="28" s="1"/>
  <c r="CF17" i="28"/>
  <c r="CL22" i="28"/>
  <c r="CL17" i="28"/>
  <c r="CH107" i="28"/>
  <c r="CH100" i="28" s="1"/>
  <c r="CH85" i="28"/>
  <c r="CH78" i="28" s="1"/>
  <c r="CJ107" i="28"/>
  <c r="CJ100" i="28" s="1"/>
  <c r="CJ85" i="28"/>
  <c r="CJ78" i="28" s="1"/>
  <c r="AQ85" i="28"/>
  <c r="AQ78" i="28" s="1"/>
  <c r="CZ4" i="24"/>
  <c r="DB135" i="24"/>
  <c r="DB137" i="24"/>
  <c r="DD132" i="24"/>
  <c r="DA11" i="28"/>
  <c r="DB36" i="25"/>
  <c r="AM80" i="28"/>
  <c r="L58" i="36" s="1"/>
  <c r="AN87" i="28"/>
  <c r="AN80" i="28" s="1"/>
  <c r="M58" i="36" s="1"/>
  <c r="DB20" i="28"/>
  <c r="DA7" i="26"/>
  <c r="DA10" i="26" s="1"/>
  <c r="DA22" i="28"/>
  <c r="DA17" i="28"/>
  <c r="AI87" i="28"/>
  <c r="AI80" i="28" s="1"/>
  <c r="G58" i="36" s="1"/>
  <c r="DB4" i="24"/>
  <c r="DC11" i="28"/>
  <c r="DC4" i="24" s="1"/>
  <c r="CX37" i="25"/>
  <c r="DC7" i="28"/>
  <c r="DD7" i="28"/>
  <c r="BB85" i="28"/>
  <c r="BB78" i="28" s="1"/>
  <c r="BB107" i="28"/>
  <c r="BB100" i="28" s="1"/>
  <c r="AG80" i="28"/>
  <c r="F58" i="36" s="1"/>
  <c r="F58" i="39"/>
  <c r="AQ107" i="28"/>
  <c r="AQ100" i="28" s="1"/>
  <c r="BA17" i="28"/>
  <c r="BA22" i="28"/>
  <c r="BA85" i="28" s="1"/>
  <c r="CW135" i="24"/>
  <c r="I72" i="32"/>
  <c r="AJ17" i="28"/>
  <c r="AJ22" i="28"/>
  <c r="DK22" i="28"/>
  <c r="DK17" i="28"/>
  <c r="E72" i="32"/>
  <c r="AH17" i="28"/>
  <c r="AH22" i="28"/>
  <c r="AH109" i="28" s="1"/>
  <c r="H58" i="38" s="1"/>
  <c r="AM109" i="28"/>
  <c r="DL22" i="28"/>
  <c r="DL17" i="28"/>
  <c r="DP22" i="28"/>
  <c r="DP17" i="28"/>
  <c r="CU22" i="28"/>
  <c r="CU17" i="28"/>
  <c r="CF107" i="28"/>
  <c r="CF85" i="28"/>
  <c r="BD107" i="28"/>
  <c r="BD100" i="28" s="1"/>
  <c r="BD85" i="28"/>
  <c r="BD78" i="28" s="1"/>
  <c r="BX22" i="28"/>
  <c r="BX17" i="28"/>
  <c r="BY22" i="28"/>
  <c r="BY17" i="28"/>
  <c r="BC107" i="28"/>
  <c r="BC100" i="28" s="1"/>
  <c r="BC85" i="28"/>
  <c r="BC78" i="28" s="1"/>
  <c r="BL22" i="28"/>
  <c r="BL17" i="28"/>
  <c r="CS22" i="28"/>
  <c r="CS17" i="28"/>
  <c r="CT22" i="28"/>
  <c r="CT17" i="28"/>
  <c r="BZ22" i="28"/>
  <c r="BZ17" i="28"/>
  <c r="CV22" i="28"/>
  <c r="CV17" i="28"/>
  <c r="BE85" i="28"/>
  <c r="BE78" i="28" s="1"/>
  <c r="BE107" i="28"/>
  <c r="BE100" i="28" s="1"/>
  <c r="L58" i="39"/>
  <c r="EA8" i="24"/>
  <c r="DZ8" i="24"/>
  <c r="DX8" i="24"/>
  <c r="EC8" i="24"/>
  <c r="EB8" i="24"/>
  <c r="ED18" i="24"/>
  <c r="ED19" i="24" s="1"/>
  <c r="EB15" i="24"/>
  <c r="EC15" i="24"/>
  <c r="EA15" i="24"/>
  <c r="DZ15" i="24"/>
  <c r="DX15" i="24"/>
  <c r="DY15" i="24"/>
  <c r="EC17" i="24"/>
  <c r="DX17" i="24"/>
  <c r="DZ17" i="24"/>
  <c r="EB17" i="24"/>
  <c r="DY17" i="24"/>
  <c r="EA17" i="24"/>
  <c r="DZ14" i="24"/>
  <c r="DY14" i="24"/>
  <c r="EA14" i="24"/>
  <c r="EC14" i="24"/>
  <c r="EB14" i="24"/>
  <c r="DX14" i="24"/>
  <c r="CW137" i="24"/>
  <c r="DL19" i="24"/>
  <c r="DN19" i="24"/>
  <c r="DO19" i="24"/>
  <c r="DP19" i="24"/>
  <c r="DK19" i="24"/>
  <c r="CW4" i="24"/>
  <c r="CQ4" i="24"/>
  <c r="CQ31" i="24" s="1"/>
  <c r="CU4" i="24"/>
  <c r="AF68" i="24"/>
  <c r="AF80" i="24" s="1"/>
  <c r="AF117" i="24"/>
  <c r="AF129" i="24" s="1"/>
  <c r="DR3" i="23"/>
  <c r="CC137" i="24"/>
  <c r="BW132" i="24"/>
  <c r="BU132" i="24"/>
  <c r="BY132" i="24"/>
  <c r="CB132" i="24"/>
  <c r="BZ132" i="24"/>
  <c r="BX132" i="24"/>
  <c r="BV132" i="24"/>
  <c r="CC135" i="24"/>
  <c r="CX7" i="28"/>
  <c r="CW7" i="28"/>
  <c r="CC4" i="24"/>
  <c r="CC31" i="24" s="1"/>
  <c r="AA74" i="32"/>
  <c r="CB11" i="28"/>
  <c r="CB2" i="24" s="1"/>
  <c r="CB2" i="28" s="1"/>
  <c r="CB19" i="28" s="1"/>
  <c r="BW11" i="28"/>
  <c r="BW4" i="24" s="1"/>
  <c r="BV11" i="28"/>
  <c r="BV4" i="24" s="1"/>
  <c r="BU11" i="28"/>
  <c r="BU4" i="24" s="1"/>
  <c r="BY11" i="28"/>
  <c r="BY4" i="24" s="1"/>
  <c r="BX11" i="28"/>
  <c r="BX4" i="24" s="1"/>
  <c r="BZ11" i="28"/>
  <c r="BZ4" i="24" s="1"/>
  <c r="BZ3" i="23" s="1"/>
  <c r="CA11" i="28"/>
  <c r="CA2" i="24" s="1"/>
  <c r="CE108" i="23"/>
  <c r="CE114" i="28" s="1"/>
  <c r="CE82" i="23"/>
  <c r="CE92" i="28" s="1"/>
  <c r="AF135" i="24"/>
  <c r="AF137" i="24"/>
  <c r="AF116" i="24"/>
  <c r="AF128" i="24" s="1"/>
  <c r="R3" i="24"/>
  <c r="R116" i="24" s="1"/>
  <c r="R128" i="24" s="1"/>
  <c r="BG7" i="28"/>
  <c r="BF7" i="28"/>
  <c r="BI7" i="28"/>
  <c r="BM6" i="26"/>
  <c r="BM7" i="28" s="1"/>
  <c r="BH7" i="28"/>
  <c r="AR31" i="24"/>
  <c r="AR3" i="23"/>
  <c r="CG37" i="25"/>
  <c r="CF5" i="25"/>
  <c r="CF37" i="25" s="1"/>
  <c r="CE5" i="25"/>
  <c r="CE37" i="25" s="1"/>
  <c r="CD5" i="25"/>
  <c r="CD37" i="25" s="1"/>
  <c r="BD137" i="24"/>
  <c r="AN3" i="23"/>
  <c r="AN20" i="23" s="1"/>
  <c r="AN72" i="23" s="1"/>
  <c r="AN135" i="24"/>
  <c r="BC135" i="24"/>
  <c r="BC137" i="24"/>
  <c r="BE135" i="24"/>
  <c r="BE137" i="24"/>
  <c r="BG4" i="24"/>
  <c r="BL11" i="28"/>
  <c r="BL4" i="24" s="1"/>
  <c r="BH4" i="24"/>
  <c r="BF4" i="24"/>
  <c r="BL132" i="24"/>
  <c r="BM11" i="28"/>
  <c r="BM4" i="24" s="1"/>
  <c r="BT135" i="24"/>
  <c r="BM132" i="24"/>
  <c r="BJ6" i="26"/>
  <c r="CB7" i="28" s="1"/>
  <c r="BK6" i="26"/>
  <c r="CC7" i="28" s="1"/>
  <c r="BN6" i="26"/>
  <c r="BN7" i="28" s="1"/>
  <c r="BQ132" i="24"/>
  <c r="BP132" i="24"/>
  <c r="BO132" i="24"/>
  <c r="BR132" i="24"/>
  <c r="BS132" i="24"/>
  <c r="BN132" i="24"/>
  <c r="BN11" i="28"/>
  <c r="BN4" i="24" s="1"/>
  <c r="BQ11" i="28"/>
  <c r="BP11" i="28"/>
  <c r="BP4" i="24" s="1"/>
  <c r="BO11" i="28"/>
  <c r="BO4" i="24" s="1"/>
  <c r="CG6" i="26"/>
  <c r="BR38" i="25"/>
  <c r="BO38" i="25"/>
  <c r="AS11" i="28"/>
  <c r="AS4" i="24" s="1"/>
  <c r="AS31" i="24" s="1"/>
  <c r="BT6" i="26"/>
  <c r="BQ38" i="25"/>
  <c r="BP38" i="25"/>
  <c r="BS38" i="25"/>
  <c r="BS11" i="28"/>
  <c r="BR11" i="28"/>
  <c r="BB37" i="25"/>
  <c r="AY5" i="25"/>
  <c r="AY37" i="25" s="1"/>
  <c r="BA5" i="25"/>
  <c r="BA37" i="25" s="1"/>
  <c r="AZ5" i="25"/>
  <c r="AZ37" i="25" s="1"/>
  <c r="AW36" i="25"/>
  <c r="AW38" i="25" s="1"/>
  <c r="AH26" i="23"/>
  <c r="AH78" i="23" s="1"/>
  <c r="AH104" i="23" s="1"/>
  <c r="AH29" i="23"/>
  <c r="AH81" i="23" s="1"/>
  <c r="AH107" i="23" s="1"/>
  <c r="AU11" i="28"/>
  <c r="AU4" i="24" s="1"/>
  <c r="AT11" i="28"/>
  <c r="AT4" i="24" s="1"/>
  <c r="AT3" i="23" s="1"/>
  <c r="AJ25" i="23"/>
  <c r="AJ77" i="23" s="1"/>
  <c r="AJ103" i="23" s="1"/>
  <c r="AT38" i="25"/>
  <c r="AJ24" i="23"/>
  <c r="AJ76" i="23" s="1"/>
  <c r="AJ102" i="23" s="1"/>
  <c r="AJ21" i="23"/>
  <c r="AJ73" i="23" s="1"/>
  <c r="AJ99" i="23" s="1"/>
  <c r="AJ22" i="23"/>
  <c r="AJ74" i="23" s="1"/>
  <c r="AJ100" i="23" s="1"/>
  <c r="AW11" i="28"/>
  <c r="AW2" i="24" s="1"/>
  <c r="AV11" i="28"/>
  <c r="AH20" i="23"/>
  <c r="AH72" i="23" s="1"/>
  <c r="AH98" i="23" s="1"/>
  <c r="AH23" i="23"/>
  <c r="AH75" i="23" s="1"/>
  <c r="AH101" i="23" s="1"/>
  <c r="AH22" i="23"/>
  <c r="AH74" i="23" s="1"/>
  <c r="AH100" i="23" s="1"/>
  <c r="AH28" i="23"/>
  <c r="AH80" i="23" s="1"/>
  <c r="AJ26" i="23"/>
  <c r="AJ78" i="23" s="1"/>
  <c r="AJ104" i="23" s="1"/>
  <c r="AH25" i="23"/>
  <c r="AH77" i="23" s="1"/>
  <c r="AH103" i="23" s="1"/>
  <c r="AJ29" i="23"/>
  <c r="AJ81" i="23" s="1"/>
  <c r="AJ107" i="23" s="1"/>
  <c r="AH19" i="24"/>
  <c r="AJ27" i="23"/>
  <c r="AJ79" i="23" s="1"/>
  <c r="AJ105" i="23" s="1"/>
  <c r="AH24" i="23"/>
  <c r="AH76" i="23" s="1"/>
  <c r="AH102" i="23" s="1"/>
  <c r="AJ23" i="23"/>
  <c r="AJ75" i="23" s="1"/>
  <c r="AJ101" i="23" s="1"/>
  <c r="AH27" i="23"/>
  <c r="AH79" i="23" s="1"/>
  <c r="AH105" i="23" s="1"/>
  <c r="AJ28" i="23"/>
  <c r="AJ80" i="23" s="1"/>
  <c r="CP31" i="24"/>
  <c r="BT4" i="24"/>
  <c r="BT3" i="23" s="1"/>
  <c r="Z74" i="32"/>
  <c r="D116" i="32" s="1"/>
  <c r="D17" i="37" s="1"/>
  <c r="EL9" i="26"/>
  <c r="BK38" i="25"/>
  <c r="Q74" i="32"/>
  <c r="D115" i="32" s="1"/>
  <c r="D16" i="37" s="1"/>
  <c r="AX4" i="24"/>
  <c r="AJ95" i="24"/>
  <c r="AJ98" i="24"/>
  <c r="AJ96" i="24"/>
  <c r="AJ94" i="24"/>
  <c r="AJ97" i="24"/>
  <c r="AJ99" i="24"/>
  <c r="AK107" i="24"/>
  <c r="AK109" i="24" s="1"/>
  <c r="AK85" i="24"/>
  <c r="AK59" i="24"/>
  <c r="AK54" i="24"/>
  <c r="AK102" i="24"/>
  <c r="AK37" i="24"/>
  <c r="AJ104" i="24"/>
  <c r="AJ103" i="24"/>
  <c r="AL5" i="24"/>
  <c r="CG135" i="24"/>
  <c r="CG137" i="24"/>
  <c r="AJ110" i="24"/>
  <c r="AJ122" i="24" s="1"/>
  <c r="AJ111" i="24"/>
  <c r="AJ123" i="24" s="1"/>
  <c r="BK137" i="24"/>
  <c r="BK135" i="24"/>
  <c r="AL17" i="25"/>
  <c r="AA37" i="8"/>
  <c r="AJ56" i="24"/>
  <c r="AJ55" i="24"/>
  <c r="BJ137" i="24"/>
  <c r="BJ135" i="24"/>
  <c r="BT137" i="24"/>
  <c r="AJ63" i="24"/>
  <c r="AJ75" i="24" s="1"/>
  <c r="AJ62" i="24"/>
  <c r="AJ74" i="24" s="1"/>
  <c r="AK25" i="25"/>
  <c r="AK23" i="25"/>
  <c r="AK24" i="25"/>
  <c r="AK22" i="25"/>
  <c r="AK20" i="25"/>
  <c r="AK21" i="25"/>
  <c r="AJ46" i="24"/>
  <c r="AJ47" i="24"/>
  <c r="AJ49" i="24"/>
  <c r="AJ50" i="24"/>
  <c r="AJ48" i="24"/>
  <c r="AJ15" i="26"/>
  <c r="AJ94" i="28" s="1"/>
  <c r="U17" i="24"/>
  <c r="S17" i="24" s="1"/>
  <c r="T17" i="24"/>
  <c r="T11" i="24"/>
  <c r="U11" i="24"/>
  <c r="S11" i="24" s="1"/>
  <c r="V3" i="24"/>
  <c r="U10" i="28"/>
  <c r="T10" i="28"/>
  <c r="D135" i="24"/>
  <c r="D137" i="24"/>
  <c r="D68" i="24"/>
  <c r="D80" i="24" s="1"/>
  <c r="D117" i="24"/>
  <c r="D129" i="24" s="1"/>
  <c r="D116" i="24"/>
  <c r="D128" i="24" s="1"/>
  <c r="D69" i="24"/>
  <c r="D81" i="24" s="1"/>
  <c r="S3" i="24"/>
  <c r="E10" i="28"/>
  <c r="T18" i="24"/>
  <c r="U18" i="24"/>
  <c r="S18" i="24" s="1"/>
  <c r="W137" i="24"/>
  <c r="W135" i="24"/>
  <c r="W68" i="24"/>
  <c r="W80" i="24" s="1"/>
  <c r="W116" i="24"/>
  <c r="W128" i="24" s="1"/>
  <c r="W69" i="24"/>
  <c r="W81" i="24" s="1"/>
  <c r="W117" i="24"/>
  <c r="W129" i="24" s="1"/>
  <c r="T12" i="24"/>
  <c r="U12" i="24"/>
  <c r="S12" i="24" s="1"/>
  <c r="T13" i="24"/>
  <c r="U13" i="24"/>
  <c r="S13" i="24" s="1"/>
  <c r="W19" i="24"/>
  <c r="AF8" i="24"/>
  <c r="V8" i="24"/>
  <c r="AH3" i="24"/>
  <c r="E73" i="32"/>
  <c r="C107" i="32" s="1"/>
  <c r="C8" i="37" s="1"/>
  <c r="AL98" i="23"/>
  <c r="AL108" i="23" s="1"/>
  <c r="AL114" i="28" s="1"/>
  <c r="AL107" i="28" s="1"/>
  <c r="AL100" i="28" s="1"/>
  <c r="AL82" i="23"/>
  <c r="AL92" i="28" s="1"/>
  <c r="AL85" i="28" s="1"/>
  <c r="AL78" i="28" s="1"/>
  <c r="AI82" i="23"/>
  <c r="AI92" i="28" s="1"/>
  <c r="AI85" i="28" s="1"/>
  <c r="AI78" i="28" s="1"/>
  <c r="AI98" i="23"/>
  <c r="AI108" i="23" s="1"/>
  <c r="AI114" i="28" s="1"/>
  <c r="AI107" i="28" s="1"/>
  <c r="AI100" i="28" s="1"/>
  <c r="O31" i="24"/>
  <c r="O122" i="24"/>
  <c r="O74" i="24"/>
  <c r="O75" i="24"/>
  <c r="O123" i="24"/>
  <c r="L8" i="26"/>
  <c r="E21" i="28"/>
  <c r="E8" i="26" s="1"/>
  <c r="J31" i="24"/>
  <c r="J123" i="24"/>
  <c r="J75" i="24"/>
  <c r="J122" i="24"/>
  <c r="J74" i="24"/>
  <c r="M4" i="24"/>
  <c r="K11" i="28"/>
  <c r="K4" i="24" s="1"/>
  <c r="F11" i="28"/>
  <c r="F4" i="24" s="1"/>
  <c r="H11" i="28"/>
  <c r="H4" i="24" s="1"/>
  <c r="M8" i="26"/>
  <c r="H21" i="28"/>
  <c r="H8" i="26" s="1"/>
  <c r="H10" i="26" s="1"/>
  <c r="L4" i="24"/>
  <c r="G11" i="28"/>
  <c r="G4" i="24" s="1"/>
  <c r="E11" i="28"/>
  <c r="E4" i="24" s="1"/>
  <c r="N31" i="24"/>
  <c r="N122" i="24"/>
  <c r="N75" i="24"/>
  <c r="N74" i="24"/>
  <c r="N123" i="24"/>
  <c r="DV27" i="23" l="1"/>
  <c r="DV79" i="23" s="1"/>
  <c r="DV105" i="23" s="1"/>
  <c r="DV29" i="23"/>
  <c r="DV81" i="23" s="1"/>
  <c r="DV107" i="23" s="1"/>
  <c r="DV22" i="23"/>
  <c r="DV74" i="23" s="1"/>
  <c r="DV100" i="23" s="1"/>
  <c r="DV23" i="23"/>
  <c r="DV75" i="23" s="1"/>
  <c r="DV101" i="23" s="1"/>
  <c r="DV24" i="23"/>
  <c r="DV76" i="23" s="1"/>
  <c r="DV102" i="23" s="1"/>
  <c r="DV25" i="23"/>
  <c r="DV77" i="23" s="1"/>
  <c r="DV103" i="23" s="1"/>
  <c r="DV26" i="23"/>
  <c r="DV78" i="23" s="1"/>
  <c r="DV104" i="23" s="1"/>
  <c r="DV20" i="23"/>
  <c r="DV72" i="23" s="1"/>
  <c r="DV21" i="23"/>
  <c r="DV73" i="23" s="1"/>
  <c r="DV99" i="23" s="1"/>
  <c r="DV28" i="23"/>
  <c r="DV80" i="23" s="1"/>
  <c r="CU31" i="24"/>
  <c r="CU6" i="25"/>
  <c r="EP9" i="26" s="1"/>
  <c r="DL107" i="28"/>
  <c r="DL100" i="28" s="1"/>
  <c r="G12" i="25"/>
  <c r="G6" i="26" s="1"/>
  <c r="G7" i="28" s="1"/>
  <c r="G17" i="28" s="1"/>
  <c r="F11" i="25"/>
  <c r="F5" i="26" s="1"/>
  <c r="F10" i="26" s="1"/>
  <c r="AD6" i="26"/>
  <c r="AD15" i="26" s="1"/>
  <c r="AD94" i="28" s="1"/>
  <c r="F6" i="28"/>
  <c r="E9" i="25"/>
  <c r="E12" i="25" s="1"/>
  <c r="E6" i="26" s="1"/>
  <c r="E7" i="28" s="1"/>
  <c r="E22" i="28" s="1"/>
  <c r="AB6" i="26"/>
  <c r="AB7" i="28" s="1"/>
  <c r="AB22" i="28" s="1"/>
  <c r="Y15" i="26"/>
  <c r="Y94" i="28" s="1"/>
  <c r="W7" i="28"/>
  <c r="W17" i="28" s="1"/>
  <c r="H15" i="26"/>
  <c r="H94" i="28" s="1"/>
  <c r="X15" i="26"/>
  <c r="X94" i="28" s="1"/>
  <c r="Z22" i="28"/>
  <c r="Z17" i="28"/>
  <c r="Y17" i="28"/>
  <c r="Y22" i="28"/>
  <c r="Y27" i="23"/>
  <c r="Y79" i="23" s="1"/>
  <c r="Y105" i="23" s="1"/>
  <c r="Y20" i="23"/>
  <c r="Y72" i="23" s="1"/>
  <c r="Y23" i="23"/>
  <c r="Y75" i="23" s="1"/>
  <c r="Y101" i="23" s="1"/>
  <c r="Y25" i="23"/>
  <c r="Y77" i="23" s="1"/>
  <c r="Y103" i="23" s="1"/>
  <c r="Y21" i="23"/>
  <c r="Y73" i="23" s="1"/>
  <c r="Y99" i="23" s="1"/>
  <c r="Y26" i="23"/>
  <c r="Y78" i="23" s="1"/>
  <c r="Y104" i="23" s="1"/>
  <c r="Y29" i="23"/>
  <c r="Y81" i="23" s="1"/>
  <c r="Y107" i="23" s="1"/>
  <c r="Y28" i="23"/>
  <c r="Y80" i="23" s="1"/>
  <c r="Y24" i="23"/>
  <c r="Y76" i="23" s="1"/>
  <c r="Y102" i="23" s="1"/>
  <c r="Y22" i="23"/>
  <c r="Y74" i="23" s="1"/>
  <c r="Y100" i="23" s="1"/>
  <c r="Z15" i="26"/>
  <c r="Z94" i="28" s="1"/>
  <c r="X22" i="23"/>
  <c r="X74" i="23" s="1"/>
  <c r="X100" i="23" s="1"/>
  <c r="X23" i="23"/>
  <c r="X75" i="23" s="1"/>
  <c r="X101" i="23" s="1"/>
  <c r="X24" i="23"/>
  <c r="X76" i="23" s="1"/>
  <c r="X102" i="23" s="1"/>
  <c r="X25" i="23"/>
  <c r="X77" i="23" s="1"/>
  <c r="X103" i="23" s="1"/>
  <c r="X27" i="23"/>
  <c r="X79" i="23" s="1"/>
  <c r="X105" i="23" s="1"/>
  <c r="X28" i="23"/>
  <c r="X80" i="23" s="1"/>
  <c r="X26" i="23"/>
  <c r="X78" i="23" s="1"/>
  <c r="X104" i="23" s="1"/>
  <c r="X20" i="23"/>
  <c r="X72" i="23" s="1"/>
  <c r="X21" i="23"/>
  <c r="X73" i="23" s="1"/>
  <c r="X99" i="23" s="1"/>
  <c r="X29" i="23"/>
  <c r="X81" i="23" s="1"/>
  <c r="X107" i="23" s="1"/>
  <c r="X17" i="28"/>
  <c r="X22" i="28"/>
  <c r="Z98" i="23"/>
  <c r="Z108" i="23" s="1"/>
  <c r="Z114" i="28" s="1"/>
  <c r="Z82" i="23"/>
  <c r="Z92" i="28" s="1"/>
  <c r="AD27" i="23"/>
  <c r="AD79" i="23" s="1"/>
  <c r="AD105" i="23" s="1"/>
  <c r="AD26" i="23"/>
  <c r="AD78" i="23" s="1"/>
  <c r="AD104" i="23" s="1"/>
  <c r="AD21" i="23"/>
  <c r="AD73" i="23" s="1"/>
  <c r="AD99" i="23" s="1"/>
  <c r="AD20" i="23"/>
  <c r="AD72" i="23" s="1"/>
  <c r="AD23" i="23"/>
  <c r="AD75" i="23" s="1"/>
  <c r="AD101" i="23" s="1"/>
  <c r="AD24" i="23"/>
  <c r="AD76" i="23" s="1"/>
  <c r="AD102" i="23" s="1"/>
  <c r="AD28" i="23"/>
  <c r="AD80" i="23" s="1"/>
  <c r="AD29" i="23"/>
  <c r="AD81" i="23" s="1"/>
  <c r="AD107" i="23" s="1"/>
  <c r="AD25" i="23"/>
  <c r="AD77" i="23" s="1"/>
  <c r="AD103" i="23" s="1"/>
  <c r="AD22" i="23"/>
  <c r="AD74" i="23" s="1"/>
  <c r="AD100" i="23" s="1"/>
  <c r="AE7" i="28"/>
  <c r="G72" i="32" s="1"/>
  <c r="AC15" i="26"/>
  <c r="AC94" i="28" s="1"/>
  <c r="AJ69" i="27"/>
  <c r="AJ46" i="27" s="1"/>
  <c r="AA6" i="26"/>
  <c r="AA7" i="28" s="1"/>
  <c r="AC22" i="28"/>
  <c r="AC17" i="28"/>
  <c r="I73" i="32"/>
  <c r="C108" i="32" s="1"/>
  <c r="C9" i="37" s="1"/>
  <c r="AJ19" i="24"/>
  <c r="AJ3" i="24"/>
  <c r="AJ137" i="24" s="1"/>
  <c r="AC20" i="23"/>
  <c r="AC72" i="23" s="1"/>
  <c r="AC21" i="23"/>
  <c r="AC73" i="23" s="1"/>
  <c r="AC99" i="23" s="1"/>
  <c r="AC27" i="23"/>
  <c r="AC79" i="23" s="1"/>
  <c r="AC105" i="23" s="1"/>
  <c r="AC24" i="23"/>
  <c r="AC76" i="23" s="1"/>
  <c r="AC102" i="23" s="1"/>
  <c r="AC22" i="23"/>
  <c r="AC74" i="23" s="1"/>
  <c r="AC100" i="23" s="1"/>
  <c r="AC25" i="23"/>
  <c r="AC77" i="23" s="1"/>
  <c r="AC103" i="23" s="1"/>
  <c r="AC23" i="23"/>
  <c r="AC75" i="23" s="1"/>
  <c r="AC101" i="23" s="1"/>
  <c r="AC29" i="23"/>
  <c r="AC81" i="23" s="1"/>
  <c r="AC107" i="23" s="1"/>
  <c r="AC26" i="23"/>
  <c r="AC78" i="23" s="1"/>
  <c r="AC104" i="23" s="1"/>
  <c r="AC28" i="23"/>
  <c r="AC80" i="23" s="1"/>
  <c r="AB25" i="23"/>
  <c r="AB77" i="23" s="1"/>
  <c r="AB103" i="23" s="1"/>
  <c r="AB28" i="23"/>
  <c r="AB80" i="23" s="1"/>
  <c r="AB22" i="23"/>
  <c r="AB74" i="23" s="1"/>
  <c r="AB100" i="23" s="1"/>
  <c r="AB24" i="23"/>
  <c r="AB76" i="23" s="1"/>
  <c r="AB102" i="23" s="1"/>
  <c r="AB21" i="23"/>
  <c r="AB73" i="23" s="1"/>
  <c r="AB99" i="23" s="1"/>
  <c r="AB26" i="23"/>
  <c r="AB78" i="23" s="1"/>
  <c r="AB104" i="23" s="1"/>
  <c r="AB20" i="23"/>
  <c r="AB72" i="23" s="1"/>
  <c r="AB29" i="23"/>
  <c r="AB81" i="23" s="1"/>
  <c r="AB107" i="23" s="1"/>
  <c r="AB27" i="23"/>
  <c r="AB79" i="23" s="1"/>
  <c r="AB105" i="23" s="1"/>
  <c r="AB23" i="23"/>
  <c r="AB75" i="23" s="1"/>
  <c r="AB101" i="23" s="1"/>
  <c r="DP107" i="28"/>
  <c r="DP100" i="28" s="1"/>
  <c r="CV31" i="24"/>
  <c r="H22" i="28"/>
  <c r="H85" i="28" s="1"/>
  <c r="H78" i="28" s="1"/>
  <c r="AE28" i="23"/>
  <c r="AE80" i="23" s="1"/>
  <c r="AE24" i="23"/>
  <c r="AE76" i="23" s="1"/>
  <c r="AE102" i="23" s="1"/>
  <c r="AE27" i="23"/>
  <c r="AE79" i="23" s="1"/>
  <c r="AE105" i="23" s="1"/>
  <c r="AE22" i="23"/>
  <c r="AE74" i="23" s="1"/>
  <c r="AE100" i="23" s="1"/>
  <c r="AE23" i="23"/>
  <c r="AE75" i="23" s="1"/>
  <c r="AE101" i="23" s="1"/>
  <c r="AA22" i="23"/>
  <c r="AA74" i="23" s="1"/>
  <c r="AA100" i="23" s="1"/>
  <c r="AA20" i="23"/>
  <c r="AA72" i="23" s="1"/>
  <c r="AA98" i="23" s="1"/>
  <c r="AA24" i="23"/>
  <c r="AA76" i="23" s="1"/>
  <c r="AA102" i="23" s="1"/>
  <c r="AA26" i="23"/>
  <c r="AA78" i="23" s="1"/>
  <c r="AA104" i="23" s="1"/>
  <c r="AA25" i="23"/>
  <c r="AA77" i="23" s="1"/>
  <c r="AA103" i="23" s="1"/>
  <c r="AA27" i="23"/>
  <c r="AA79" i="23" s="1"/>
  <c r="AA105" i="23" s="1"/>
  <c r="AA23" i="23"/>
  <c r="AA75" i="23" s="1"/>
  <c r="AA101" i="23" s="1"/>
  <c r="AE20" i="23"/>
  <c r="AE72" i="23" s="1"/>
  <c r="AE98" i="23" s="1"/>
  <c r="AE26" i="23"/>
  <c r="AE78" i="23" s="1"/>
  <c r="AE104" i="23" s="1"/>
  <c r="AI137" i="24"/>
  <c r="AE21" i="23"/>
  <c r="AE73" i="23" s="1"/>
  <c r="AE99" i="23" s="1"/>
  <c r="AA21" i="23"/>
  <c r="AA73" i="23" s="1"/>
  <c r="AA99" i="23" s="1"/>
  <c r="AE25" i="23"/>
  <c r="AE77" i="23" s="1"/>
  <c r="AE103" i="23" s="1"/>
  <c r="AA29" i="23"/>
  <c r="AA81" i="23" s="1"/>
  <c r="AA107" i="23" s="1"/>
  <c r="AI116" i="24"/>
  <c r="AI128" i="24" s="1"/>
  <c r="AI117" i="24"/>
  <c r="AI129" i="24" s="1"/>
  <c r="AF100" i="28"/>
  <c r="AI69" i="24"/>
  <c r="AI81" i="24" s="1"/>
  <c r="AF78" i="28"/>
  <c r="AI68" i="24"/>
  <c r="AI80" i="24" s="1"/>
  <c r="AF80" i="28"/>
  <c r="DK85" i="28"/>
  <c r="DK78" i="28" s="1"/>
  <c r="CL4" i="24"/>
  <c r="U74" i="32"/>
  <c r="CK31" i="24"/>
  <c r="CK3" i="23"/>
  <c r="AJ87" i="28"/>
  <c r="AJ80" i="28" s="1"/>
  <c r="I58" i="36" s="1"/>
  <c r="U12" i="25"/>
  <c r="U6" i="26" s="1"/>
  <c r="U7" i="28" s="1"/>
  <c r="U22" i="28" s="1"/>
  <c r="N5" i="28"/>
  <c r="J5" i="28" s="1"/>
  <c r="O5" i="28"/>
  <c r="M5" i="28" s="1"/>
  <c r="I5" i="28" s="1"/>
  <c r="P9" i="25"/>
  <c r="P11" i="25" s="1"/>
  <c r="P5" i="26" s="1"/>
  <c r="P10" i="26" s="1"/>
  <c r="Q9" i="25"/>
  <c r="Q11" i="25" s="1"/>
  <c r="Q5" i="26" s="1"/>
  <c r="Q10" i="26" s="1"/>
  <c r="S9" i="25"/>
  <c r="S12" i="25" s="1"/>
  <c r="S6" i="26" s="1"/>
  <c r="S7" i="28" s="1"/>
  <c r="R12" i="25"/>
  <c r="R6" i="26" s="1"/>
  <c r="R7" i="28" s="1"/>
  <c r="R17" i="28" s="1"/>
  <c r="V87" i="28"/>
  <c r="V80" i="28" s="1"/>
  <c r="F56" i="42" s="1"/>
  <c r="S6" i="28"/>
  <c r="V85" i="28"/>
  <c r="V78" i="28" s="1"/>
  <c r="T12" i="25"/>
  <c r="T6" i="26" s="1"/>
  <c r="AE15" i="26"/>
  <c r="D22" i="28"/>
  <c r="D87" i="28" s="1"/>
  <c r="C72" i="32"/>
  <c r="D17" i="28"/>
  <c r="CZ17" i="28"/>
  <c r="F22" i="28"/>
  <c r="F17" i="28"/>
  <c r="E3" i="24"/>
  <c r="E116" i="24" s="1"/>
  <c r="E69" i="27"/>
  <c r="E46" i="27" s="1"/>
  <c r="E70" i="27"/>
  <c r="E47" i="27" s="1"/>
  <c r="T70" i="27"/>
  <c r="T47" i="27" s="1"/>
  <c r="T69" i="27"/>
  <c r="T46" i="27" s="1"/>
  <c r="U70" i="27"/>
  <c r="U47" i="27" s="1"/>
  <c r="U69" i="27"/>
  <c r="U46" i="27" s="1"/>
  <c r="DJ3" i="24"/>
  <c r="DJ15" i="24" s="1"/>
  <c r="DJ70" i="27"/>
  <c r="DJ47" i="27" s="1"/>
  <c r="DJ69" i="27"/>
  <c r="DJ46" i="27" s="1"/>
  <c r="S72" i="32"/>
  <c r="CI22" i="28"/>
  <c r="CI17" i="28"/>
  <c r="T72" i="32"/>
  <c r="CK22" i="28"/>
  <c r="CK17" i="28"/>
  <c r="DW3" i="23"/>
  <c r="DN78" i="28"/>
  <c r="DN100" i="28"/>
  <c r="DF19" i="24"/>
  <c r="DE19" i="24"/>
  <c r="DM135" i="24"/>
  <c r="DI17" i="28"/>
  <c r="DI22" i="28"/>
  <c r="DH135" i="24"/>
  <c r="DH137" i="24"/>
  <c r="DJ22" i="28"/>
  <c r="DJ17" i="28"/>
  <c r="DJ132" i="24"/>
  <c r="DD37" i="25"/>
  <c r="CD22" i="28"/>
  <c r="CD85" i="28" s="1"/>
  <c r="CD78" i="28" s="1"/>
  <c r="DO137" i="24"/>
  <c r="DP137" i="24"/>
  <c r="DK137" i="24"/>
  <c r="CE17" i="28"/>
  <c r="DL135" i="24"/>
  <c r="DP135" i="24"/>
  <c r="DN135" i="24"/>
  <c r="CI137" i="24"/>
  <c r="CF100" i="28"/>
  <c r="CM85" i="28"/>
  <c r="CM78" i="28" s="1"/>
  <c r="CM107" i="28"/>
  <c r="CM100" i="28" s="1"/>
  <c r="CJ135" i="24"/>
  <c r="CJ137" i="24"/>
  <c r="CH135" i="24"/>
  <c r="CH137" i="24"/>
  <c r="CL135" i="24"/>
  <c r="CL137" i="24"/>
  <c r="CM137" i="24"/>
  <c r="CM135" i="24"/>
  <c r="CF78" i="28"/>
  <c r="DC135" i="24"/>
  <c r="DC137" i="24"/>
  <c r="DB3" i="23"/>
  <c r="DB31" i="24"/>
  <c r="DC20" i="28"/>
  <c r="DC22" i="28" s="1"/>
  <c r="DB7" i="26"/>
  <c r="DB10" i="26" s="1"/>
  <c r="DB22" i="28"/>
  <c r="DB17" i="28"/>
  <c r="AV2" i="24"/>
  <c r="AV2" i="28" s="1"/>
  <c r="G58" i="39"/>
  <c r="BA107" i="28"/>
  <c r="BA100" i="28" s="1"/>
  <c r="DD135" i="24"/>
  <c r="DD137" i="24"/>
  <c r="DB38" i="25"/>
  <c r="CZ3" i="23"/>
  <c r="CZ31" i="24"/>
  <c r="DC31" i="24"/>
  <c r="DC3" i="23"/>
  <c r="M58" i="39"/>
  <c r="DD3" i="23"/>
  <c r="DD31" i="24"/>
  <c r="AH87" i="28"/>
  <c r="H58" i="39" s="1"/>
  <c r="BA78" i="28"/>
  <c r="AM102" i="28"/>
  <c r="L58" i="32" s="1"/>
  <c r="L58" i="38"/>
  <c r="DP85" i="28"/>
  <c r="DP78" i="28" s="1"/>
  <c r="AH102" i="28"/>
  <c r="H58" i="32" s="1"/>
  <c r="DK107" i="28"/>
  <c r="DK100" i="28" s="1"/>
  <c r="BQ4" i="24"/>
  <c r="BQ3" i="23" s="1"/>
  <c r="BQ21" i="23" s="1"/>
  <c r="BQ73" i="23" s="1"/>
  <c r="BQ99" i="23" s="1"/>
  <c r="EA18" i="24"/>
  <c r="EA19" i="24" s="1"/>
  <c r="DL85" i="28"/>
  <c r="DL78" i="28" s="1"/>
  <c r="BH22" i="28"/>
  <c r="BH17" i="28"/>
  <c r="BM22" i="28"/>
  <c r="BM17" i="28"/>
  <c r="CX22" i="28"/>
  <c r="CX17" i="28"/>
  <c r="BN22" i="28"/>
  <c r="BN17" i="28"/>
  <c r="BI17" i="28"/>
  <c r="BI22" i="28"/>
  <c r="CT85" i="28"/>
  <c r="CT78" i="28" s="1"/>
  <c r="CT107" i="28"/>
  <c r="CT100" i="28" s="1"/>
  <c r="BF17" i="28"/>
  <c r="BF22" i="28"/>
  <c r="CB22" i="28"/>
  <c r="CB17" i="28"/>
  <c r="BG22" i="28"/>
  <c r="BG17" i="28"/>
  <c r="CE85" i="28"/>
  <c r="CE107" i="28"/>
  <c r="AA72" i="32"/>
  <c r="CC22" i="28"/>
  <c r="CC17" i="28"/>
  <c r="CW22" i="28"/>
  <c r="CW17" i="28"/>
  <c r="CS85" i="28"/>
  <c r="CS78" i="28" s="1"/>
  <c r="CS107" i="28"/>
  <c r="CS100" i="28" s="1"/>
  <c r="DZ18" i="24"/>
  <c r="DZ19" i="24" s="1"/>
  <c r="DY18" i="24"/>
  <c r="DY19" i="24" s="1"/>
  <c r="DX18" i="24"/>
  <c r="DX19" i="24" s="1"/>
  <c r="EC18" i="24"/>
  <c r="EC19" i="24" s="1"/>
  <c r="EB18" i="24"/>
  <c r="EB19" i="24" s="1"/>
  <c r="CC3" i="23"/>
  <c r="CC28" i="23" s="1"/>
  <c r="CC80" i="23" s="1"/>
  <c r="CQ3" i="23"/>
  <c r="CQ26" i="23" s="1"/>
  <c r="CQ78" i="23" s="1"/>
  <c r="CQ104" i="23" s="1"/>
  <c r="CU3" i="23"/>
  <c r="CU27" i="23" s="1"/>
  <c r="CU79" i="23" s="1"/>
  <c r="CU105" i="23" s="1"/>
  <c r="CW3" i="23"/>
  <c r="CW31" i="24"/>
  <c r="A48" i="48"/>
  <c r="A48" i="51"/>
  <c r="CB2" i="25"/>
  <c r="CB2" i="23"/>
  <c r="CB4" i="24"/>
  <c r="CB31" i="24" s="1"/>
  <c r="BW31" i="24"/>
  <c r="BW3" i="23"/>
  <c r="BY31" i="24"/>
  <c r="BY3" i="23"/>
  <c r="BY26" i="23" s="1"/>
  <c r="BY78" i="23" s="1"/>
  <c r="BY104" i="23" s="1"/>
  <c r="BV31" i="24"/>
  <c r="BV3" i="23"/>
  <c r="CA2" i="28"/>
  <c r="CA19" i="28" s="1"/>
  <c r="CA2" i="23"/>
  <c r="CA2" i="25"/>
  <c r="BX31" i="24"/>
  <c r="BX3" i="23"/>
  <c r="BX20" i="23" s="1"/>
  <c r="BX72" i="23" s="1"/>
  <c r="W72" i="32"/>
  <c r="CA4" i="24"/>
  <c r="BU31" i="24"/>
  <c r="BU3" i="23"/>
  <c r="BR2" i="24"/>
  <c r="BR2" i="28" s="1"/>
  <c r="BS2" i="24"/>
  <c r="BS2" i="28" s="1"/>
  <c r="BS19" i="28" s="1"/>
  <c r="CA135" i="24"/>
  <c r="CA137" i="24"/>
  <c r="BV135" i="24"/>
  <c r="BV137" i="24"/>
  <c r="CB135" i="24"/>
  <c r="CB137" i="24"/>
  <c r="BU135" i="24"/>
  <c r="BU137" i="24"/>
  <c r="BW135" i="24"/>
  <c r="BW137" i="24"/>
  <c r="BZ27" i="23"/>
  <c r="BZ79" i="23" s="1"/>
  <c r="BZ105" i="23" s="1"/>
  <c r="BZ26" i="23"/>
  <c r="BZ78" i="23" s="1"/>
  <c r="BZ104" i="23" s="1"/>
  <c r="BZ25" i="23"/>
  <c r="BZ77" i="23" s="1"/>
  <c r="BZ103" i="23" s="1"/>
  <c r="BZ24" i="23"/>
  <c r="BZ76" i="23" s="1"/>
  <c r="BZ102" i="23" s="1"/>
  <c r="BZ23" i="23"/>
  <c r="BZ75" i="23" s="1"/>
  <c r="BZ101" i="23" s="1"/>
  <c r="BZ22" i="23"/>
  <c r="BZ74" i="23" s="1"/>
  <c r="BZ100" i="23" s="1"/>
  <c r="BZ20" i="23"/>
  <c r="BZ72" i="23" s="1"/>
  <c r="BZ21" i="23"/>
  <c r="BZ73" i="23" s="1"/>
  <c r="BZ99" i="23" s="1"/>
  <c r="BZ28" i="23"/>
  <c r="BZ80" i="23" s="1"/>
  <c r="BZ29" i="23"/>
  <c r="BZ81" i="23" s="1"/>
  <c r="BZ107" i="23" s="1"/>
  <c r="BX135" i="24"/>
  <c r="BX137" i="24"/>
  <c r="BZ31" i="24"/>
  <c r="BZ74" i="24"/>
  <c r="BZ80" i="24" s="1"/>
  <c r="BZ122" i="24"/>
  <c r="BZ128" i="24" s="1"/>
  <c r="BZ123" i="24"/>
  <c r="BZ129" i="24" s="1"/>
  <c r="BZ75" i="24"/>
  <c r="BZ81" i="24" s="1"/>
  <c r="BY135" i="24"/>
  <c r="BY137" i="24"/>
  <c r="BZ135" i="24"/>
  <c r="BZ137" i="24"/>
  <c r="R117" i="24"/>
  <c r="R129" i="24" s="1"/>
  <c r="R69" i="24"/>
  <c r="R81" i="24" s="1"/>
  <c r="R68" i="24"/>
  <c r="R80" i="24" s="1"/>
  <c r="R135" i="24"/>
  <c r="R137" i="24"/>
  <c r="AW2" i="28"/>
  <c r="AR27" i="23"/>
  <c r="AR79" i="23" s="1"/>
  <c r="AR105" i="23" s="1"/>
  <c r="AR20" i="23"/>
  <c r="AR72" i="23" s="1"/>
  <c r="AR23" i="23"/>
  <c r="AR75" i="23" s="1"/>
  <c r="AR101" i="23" s="1"/>
  <c r="AR29" i="23"/>
  <c r="AR81" i="23" s="1"/>
  <c r="AR107" i="23" s="1"/>
  <c r="AR28" i="23"/>
  <c r="AR80" i="23" s="1"/>
  <c r="AR22" i="23"/>
  <c r="AR74" i="23" s="1"/>
  <c r="AR100" i="23" s="1"/>
  <c r="AR21" i="23"/>
  <c r="AR73" i="23" s="1"/>
  <c r="AR99" i="23" s="1"/>
  <c r="AR24" i="23"/>
  <c r="AR76" i="23" s="1"/>
  <c r="AR102" i="23" s="1"/>
  <c r="AR25" i="23"/>
  <c r="AR77" i="23" s="1"/>
  <c r="AR103" i="23" s="1"/>
  <c r="AR26" i="23"/>
  <c r="AR78" i="23" s="1"/>
  <c r="AR104" i="23" s="1"/>
  <c r="BJ7" i="28"/>
  <c r="BF3" i="23"/>
  <c r="AN24" i="23"/>
  <c r="AN76" i="23" s="1"/>
  <c r="AN102" i="23" s="1"/>
  <c r="O11" i="24"/>
  <c r="M11" i="24" s="1"/>
  <c r="K11" i="24" s="1"/>
  <c r="I11" i="24" s="1"/>
  <c r="Q11" i="24"/>
  <c r="O18" i="24"/>
  <c r="M18" i="24" s="1"/>
  <c r="K18" i="24" s="1"/>
  <c r="I18" i="24" s="1"/>
  <c r="Q18" i="24"/>
  <c r="AN28" i="23"/>
  <c r="AN80" i="23" s="1"/>
  <c r="AN25" i="23"/>
  <c r="AN77" i="23" s="1"/>
  <c r="AN103" i="23" s="1"/>
  <c r="O17" i="24"/>
  <c r="M17" i="24" s="1"/>
  <c r="K17" i="24" s="1"/>
  <c r="I17" i="24" s="1"/>
  <c r="Q17" i="24"/>
  <c r="O13" i="24"/>
  <c r="M13" i="24" s="1"/>
  <c r="K13" i="24" s="1"/>
  <c r="I13" i="24" s="1"/>
  <c r="Q13" i="24"/>
  <c r="U3" i="24"/>
  <c r="U116" i="24" s="1"/>
  <c r="U128" i="24" s="1"/>
  <c r="Q3" i="24"/>
  <c r="Q135" i="24" s="1"/>
  <c r="O12" i="24"/>
  <c r="M12" i="24" s="1"/>
  <c r="K12" i="24" s="1"/>
  <c r="I12" i="24" s="1"/>
  <c r="Q12" i="24"/>
  <c r="P12" i="24"/>
  <c r="N12" i="24" s="1"/>
  <c r="L12" i="24" s="1"/>
  <c r="J12" i="24" s="1"/>
  <c r="G12" i="24" s="1"/>
  <c r="E12" i="24" s="1"/>
  <c r="R12" i="24"/>
  <c r="P18" i="24"/>
  <c r="N18" i="24" s="1"/>
  <c r="L18" i="24" s="1"/>
  <c r="J18" i="24" s="1"/>
  <c r="G18" i="24" s="1"/>
  <c r="E18" i="24" s="1"/>
  <c r="R18" i="24"/>
  <c r="AN23" i="23"/>
  <c r="AN75" i="23" s="1"/>
  <c r="AN101" i="23" s="1"/>
  <c r="AN29" i="23"/>
  <c r="AN81" i="23" s="1"/>
  <c r="AN107" i="23" s="1"/>
  <c r="AN26" i="23"/>
  <c r="AN78" i="23" s="1"/>
  <c r="AN104" i="23" s="1"/>
  <c r="AN22" i="23"/>
  <c r="AN74" i="23" s="1"/>
  <c r="AN100" i="23" s="1"/>
  <c r="P17" i="24"/>
  <c r="N17" i="24" s="1"/>
  <c r="L17" i="24" s="1"/>
  <c r="J17" i="24" s="1"/>
  <c r="G17" i="24" s="1"/>
  <c r="E17" i="24" s="1"/>
  <c r="R17" i="24"/>
  <c r="AN27" i="23"/>
  <c r="AN79" i="23" s="1"/>
  <c r="AN105" i="23" s="1"/>
  <c r="P11" i="24"/>
  <c r="N11" i="24" s="1"/>
  <c r="L11" i="24" s="1"/>
  <c r="J11" i="24" s="1"/>
  <c r="G11" i="24" s="1"/>
  <c r="E11" i="24" s="1"/>
  <c r="R11" i="24"/>
  <c r="AN21" i="23"/>
  <c r="AN73" i="23" s="1"/>
  <c r="AN99" i="23" s="1"/>
  <c r="P13" i="24"/>
  <c r="N13" i="24" s="1"/>
  <c r="L13" i="24" s="1"/>
  <c r="J13" i="24" s="1"/>
  <c r="G13" i="24" s="1"/>
  <c r="E13" i="24" s="1"/>
  <c r="R13" i="24"/>
  <c r="BT7" i="28"/>
  <c r="CG7" i="28"/>
  <c r="BG31" i="24"/>
  <c r="BG3" i="23"/>
  <c r="BF31" i="24"/>
  <c r="BH31" i="24"/>
  <c r="BH3" i="23"/>
  <c r="BF135" i="24"/>
  <c r="BF137" i="24"/>
  <c r="BL135" i="24"/>
  <c r="BL137" i="24"/>
  <c r="BG135" i="24"/>
  <c r="BG137" i="24"/>
  <c r="BH135" i="24"/>
  <c r="BH137" i="24"/>
  <c r="BL3" i="23"/>
  <c r="BL31" i="24"/>
  <c r="BM31" i="24"/>
  <c r="BM3" i="23"/>
  <c r="BK7" i="28"/>
  <c r="BN31" i="24"/>
  <c r="BN3" i="23"/>
  <c r="BN137" i="24"/>
  <c r="BN135" i="24"/>
  <c r="BO31" i="24"/>
  <c r="BO3" i="23"/>
  <c r="BS135" i="24"/>
  <c r="BS137" i="24"/>
  <c r="BP31" i="24"/>
  <c r="BP3" i="23"/>
  <c r="BR135" i="24"/>
  <c r="BR137" i="24"/>
  <c r="BO135" i="24"/>
  <c r="BO137" i="24"/>
  <c r="BP135" i="24"/>
  <c r="BP137" i="24"/>
  <c r="BM135" i="24"/>
  <c r="BM137" i="24"/>
  <c r="BQ135" i="24"/>
  <c r="BQ137" i="24"/>
  <c r="AS3" i="23"/>
  <c r="AS21" i="23" s="1"/>
  <c r="AS73" i="23" s="1"/>
  <c r="AS99" i="23" s="1"/>
  <c r="BR4" i="24"/>
  <c r="BT31" i="24"/>
  <c r="BS4" i="24"/>
  <c r="BS3" i="23" s="1"/>
  <c r="AY29" i="23"/>
  <c r="AY81" i="23" s="1"/>
  <c r="AY107" i="23" s="1"/>
  <c r="AY21" i="23"/>
  <c r="AY73" i="23" s="1"/>
  <c r="AY99" i="23" s="1"/>
  <c r="AY25" i="23"/>
  <c r="AY77" i="23" s="1"/>
  <c r="AY103" i="23" s="1"/>
  <c r="AY28" i="23"/>
  <c r="AY80" i="23" s="1"/>
  <c r="AY20" i="23"/>
  <c r="AY72" i="23" s="1"/>
  <c r="AY24" i="23"/>
  <c r="AY76" i="23" s="1"/>
  <c r="AY102" i="23" s="1"/>
  <c r="AY27" i="23"/>
  <c r="AY79" i="23" s="1"/>
  <c r="AY105" i="23" s="1"/>
  <c r="AY26" i="23"/>
  <c r="AY78" i="23" s="1"/>
  <c r="AY104" i="23" s="1"/>
  <c r="AY23" i="23"/>
  <c r="AY75" i="23" s="1"/>
  <c r="AY101" i="23" s="1"/>
  <c r="AY22" i="23"/>
  <c r="AY74" i="23" s="1"/>
  <c r="AY100" i="23" s="1"/>
  <c r="AT26" i="23"/>
  <c r="AT78" i="23" s="1"/>
  <c r="AT104" i="23" s="1"/>
  <c r="AT22" i="23"/>
  <c r="AT74" i="23" s="1"/>
  <c r="AT100" i="23" s="1"/>
  <c r="AT24" i="23"/>
  <c r="AT76" i="23" s="1"/>
  <c r="AT102" i="23" s="1"/>
  <c r="AT29" i="23"/>
  <c r="AT81" i="23" s="1"/>
  <c r="AT107" i="23" s="1"/>
  <c r="AT23" i="23"/>
  <c r="AT75" i="23" s="1"/>
  <c r="AT101" i="23" s="1"/>
  <c r="AT21" i="23"/>
  <c r="AT73" i="23" s="1"/>
  <c r="AT99" i="23" s="1"/>
  <c r="AT28" i="23"/>
  <c r="AT80" i="23" s="1"/>
  <c r="AT20" i="23"/>
  <c r="AT72" i="23" s="1"/>
  <c r="AT27" i="23"/>
  <c r="AT79" i="23" s="1"/>
  <c r="AT105" i="23" s="1"/>
  <c r="AT25" i="23"/>
  <c r="AT77" i="23" s="1"/>
  <c r="AT103" i="23" s="1"/>
  <c r="AU31" i="24"/>
  <c r="AU3" i="23"/>
  <c r="AT31" i="24"/>
  <c r="AJ108" i="23"/>
  <c r="AJ114" i="28" s="1"/>
  <c r="AJ107" i="28" s="1"/>
  <c r="AJ100" i="28" s="1"/>
  <c r="AJ82" i="23"/>
  <c r="AJ92" i="28" s="1"/>
  <c r="AJ85" i="28" s="1"/>
  <c r="AJ78" i="28" s="1"/>
  <c r="AW4" i="24"/>
  <c r="AV4" i="24"/>
  <c r="AW2" i="25"/>
  <c r="AW2" i="23"/>
  <c r="AW2" i="26"/>
  <c r="AW2" i="27"/>
  <c r="AH108" i="23"/>
  <c r="AH114" i="28" s="1"/>
  <c r="AH107" i="28" s="1"/>
  <c r="AH100" i="28" s="1"/>
  <c r="AH82" i="23"/>
  <c r="AH92" i="28" s="1"/>
  <c r="AH85" i="28" s="1"/>
  <c r="AH78" i="28" s="1"/>
  <c r="BT24" i="23"/>
  <c r="BT76" i="23" s="1"/>
  <c r="BT102" i="23" s="1"/>
  <c r="BT21" i="23"/>
  <c r="BT73" i="23" s="1"/>
  <c r="BT99" i="23" s="1"/>
  <c r="BT26" i="23"/>
  <c r="BT78" i="23" s="1"/>
  <c r="BT104" i="23" s="1"/>
  <c r="BT23" i="23"/>
  <c r="BT75" i="23" s="1"/>
  <c r="BT101" i="23" s="1"/>
  <c r="BT29" i="23"/>
  <c r="BT81" i="23" s="1"/>
  <c r="BT107" i="23" s="1"/>
  <c r="BT22" i="23"/>
  <c r="BT74" i="23" s="1"/>
  <c r="BT100" i="23" s="1"/>
  <c r="BT20" i="23"/>
  <c r="BT72" i="23" s="1"/>
  <c r="BT28" i="23"/>
  <c r="BT80" i="23" s="1"/>
  <c r="BT25" i="23"/>
  <c r="BT77" i="23" s="1"/>
  <c r="BT103" i="23" s="1"/>
  <c r="BT27" i="23"/>
  <c r="BT79" i="23" s="1"/>
  <c r="BT105" i="23" s="1"/>
  <c r="AX3" i="23"/>
  <c r="AX31" i="24"/>
  <c r="C116" i="32"/>
  <c r="C17" i="37" s="1"/>
  <c r="C115" i="32"/>
  <c r="C16" i="37" s="1"/>
  <c r="CP23" i="23"/>
  <c r="CP75" i="23" s="1"/>
  <c r="CP101" i="23" s="1"/>
  <c r="CP28" i="23"/>
  <c r="CP80" i="23" s="1"/>
  <c r="CP29" i="23"/>
  <c r="CP81" i="23" s="1"/>
  <c r="CP107" i="23" s="1"/>
  <c r="CP21" i="23"/>
  <c r="CP73" i="23" s="1"/>
  <c r="CP99" i="23" s="1"/>
  <c r="CP27" i="23"/>
  <c r="CP79" i="23" s="1"/>
  <c r="CP105" i="23" s="1"/>
  <c r="CP22" i="23"/>
  <c r="CP74" i="23" s="1"/>
  <c r="CP100" i="23" s="1"/>
  <c r="CP25" i="23"/>
  <c r="CP77" i="23" s="1"/>
  <c r="CP103" i="23" s="1"/>
  <c r="CP26" i="23"/>
  <c r="CP78" i="23" s="1"/>
  <c r="CP104" i="23" s="1"/>
  <c r="CP20" i="23"/>
  <c r="CP72" i="23" s="1"/>
  <c r="CP24" i="23"/>
  <c r="CP76" i="23" s="1"/>
  <c r="CP102" i="23" s="1"/>
  <c r="CV26" i="23"/>
  <c r="CV78" i="23" s="1"/>
  <c r="CV104" i="23" s="1"/>
  <c r="CV28" i="23"/>
  <c r="CV80" i="23" s="1"/>
  <c r="CV27" i="23"/>
  <c r="CV79" i="23" s="1"/>
  <c r="CV105" i="23" s="1"/>
  <c r="CV21" i="23"/>
  <c r="CV73" i="23" s="1"/>
  <c r="CV99" i="23" s="1"/>
  <c r="CV24" i="23"/>
  <c r="CV76" i="23" s="1"/>
  <c r="CV102" i="23" s="1"/>
  <c r="CV22" i="23"/>
  <c r="CV74" i="23" s="1"/>
  <c r="CV100" i="23" s="1"/>
  <c r="CV29" i="23"/>
  <c r="CV81" i="23" s="1"/>
  <c r="CV107" i="23" s="1"/>
  <c r="CV20" i="23"/>
  <c r="CV72" i="23" s="1"/>
  <c r="CV25" i="23"/>
  <c r="CV77" i="23" s="1"/>
  <c r="CV103" i="23" s="1"/>
  <c r="CV23" i="23"/>
  <c r="CV75" i="23" s="1"/>
  <c r="CV101" i="23" s="1"/>
  <c r="BK24" i="23"/>
  <c r="BK76" i="23" s="1"/>
  <c r="BK102" i="23" s="1"/>
  <c r="BK26" i="23"/>
  <c r="BK78" i="23" s="1"/>
  <c r="BK104" i="23" s="1"/>
  <c r="BK20" i="23"/>
  <c r="BK72" i="23" s="1"/>
  <c r="BK21" i="23"/>
  <c r="BK73" i="23" s="1"/>
  <c r="BK99" i="23" s="1"/>
  <c r="BK28" i="23"/>
  <c r="BK80" i="23" s="1"/>
  <c r="BK27" i="23"/>
  <c r="BK79" i="23" s="1"/>
  <c r="BK105" i="23" s="1"/>
  <c r="BK29" i="23"/>
  <c r="BK81" i="23" s="1"/>
  <c r="BK107" i="23" s="1"/>
  <c r="BK23" i="23"/>
  <c r="BK75" i="23" s="1"/>
  <c r="BK101" i="23" s="1"/>
  <c r="BK22" i="23"/>
  <c r="BK74" i="23" s="1"/>
  <c r="BK100" i="23" s="1"/>
  <c r="BK25" i="23"/>
  <c r="BK77" i="23" s="1"/>
  <c r="BK103" i="23" s="1"/>
  <c r="DQ20" i="23"/>
  <c r="DQ72" i="23" s="1"/>
  <c r="DQ23" i="23"/>
  <c r="DQ75" i="23" s="1"/>
  <c r="DQ101" i="23" s="1"/>
  <c r="DQ27" i="23"/>
  <c r="DQ79" i="23" s="1"/>
  <c r="DQ105" i="23" s="1"/>
  <c r="DQ28" i="23"/>
  <c r="DQ80" i="23" s="1"/>
  <c r="DQ21" i="23"/>
  <c r="DQ73" i="23" s="1"/>
  <c r="DQ99" i="23" s="1"/>
  <c r="DQ22" i="23"/>
  <c r="DQ74" i="23" s="1"/>
  <c r="DQ100" i="23" s="1"/>
  <c r="DQ25" i="23"/>
  <c r="DQ77" i="23" s="1"/>
  <c r="DQ103" i="23" s="1"/>
  <c r="DQ24" i="23"/>
  <c r="DQ76" i="23" s="1"/>
  <c r="DQ102" i="23" s="1"/>
  <c r="DQ29" i="23"/>
  <c r="DQ81" i="23" s="1"/>
  <c r="DQ107" i="23" s="1"/>
  <c r="DQ26" i="23"/>
  <c r="DQ78" i="23" s="1"/>
  <c r="DQ104" i="23" s="1"/>
  <c r="AL102" i="24"/>
  <c r="AL85" i="24"/>
  <c r="AL107" i="24"/>
  <c r="AL37" i="24"/>
  <c r="AL54" i="24"/>
  <c r="AL59" i="24"/>
  <c r="AK121" i="24"/>
  <c r="AK124" i="24" s="1"/>
  <c r="AK112" i="24"/>
  <c r="AM5" i="24"/>
  <c r="AM61" i="24" s="1"/>
  <c r="AU5" i="24"/>
  <c r="AK73" i="24"/>
  <c r="AK76" i="24" s="1"/>
  <c r="AK64" i="24"/>
  <c r="AM17" i="25"/>
  <c r="AK49" i="24"/>
  <c r="AK47" i="24"/>
  <c r="AK46" i="24"/>
  <c r="AK50" i="24"/>
  <c r="AK48" i="24"/>
  <c r="AK104" i="24"/>
  <c r="AK117" i="24" s="1"/>
  <c r="AK129" i="24" s="1"/>
  <c r="AK103" i="24"/>
  <c r="AK116" i="24" s="1"/>
  <c r="AK128" i="24" s="1"/>
  <c r="DR26" i="23"/>
  <c r="DR78" i="23" s="1"/>
  <c r="DR104" i="23" s="1"/>
  <c r="DR20" i="23"/>
  <c r="DR72" i="23" s="1"/>
  <c r="DR28" i="23"/>
  <c r="DR80" i="23" s="1"/>
  <c r="DR23" i="23"/>
  <c r="DR75" i="23" s="1"/>
  <c r="DR101" i="23" s="1"/>
  <c r="DR22" i="23"/>
  <c r="DR74" i="23" s="1"/>
  <c r="DR100" i="23" s="1"/>
  <c r="DR25" i="23"/>
  <c r="DR77" i="23" s="1"/>
  <c r="DR103" i="23" s="1"/>
  <c r="DR21" i="23"/>
  <c r="DR73" i="23" s="1"/>
  <c r="DR99" i="23" s="1"/>
  <c r="DR24" i="23"/>
  <c r="DR76" i="23" s="1"/>
  <c r="DR102" i="23" s="1"/>
  <c r="DR29" i="23"/>
  <c r="DR81" i="23" s="1"/>
  <c r="DR107" i="23" s="1"/>
  <c r="DR27" i="23"/>
  <c r="DR79" i="23" s="1"/>
  <c r="DR105" i="23" s="1"/>
  <c r="AL23" i="25"/>
  <c r="AL21" i="25"/>
  <c r="AL22" i="25"/>
  <c r="AL20" i="25"/>
  <c r="AL24" i="25"/>
  <c r="AL25" i="25"/>
  <c r="AK56" i="24"/>
  <c r="AK69" i="24" s="1"/>
  <c r="AK81" i="24" s="1"/>
  <c r="AK55" i="24"/>
  <c r="AK68" i="24" s="1"/>
  <c r="AK80" i="24" s="1"/>
  <c r="AK96" i="24"/>
  <c r="AK99" i="24"/>
  <c r="AK97" i="24"/>
  <c r="AK98" i="24"/>
  <c r="AK95" i="24"/>
  <c r="AK94" i="24"/>
  <c r="AH135" i="24"/>
  <c r="AH137" i="24"/>
  <c r="AH117" i="24"/>
  <c r="AH129" i="24" s="1"/>
  <c r="AH69" i="24"/>
  <c r="AH81" i="24" s="1"/>
  <c r="AH116" i="24"/>
  <c r="AH128" i="24" s="1"/>
  <c r="AH68" i="24"/>
  <c r="AH80" i="24" s="1"/>
  <c r="AF19" i="24"/>
  <c r="S137" i="24"/>
  <c r="S135" i="24"/>
  <c r="S117" i="24"/>
  <c r="S129" i="24" s="1"/>
  <c r="S68" i="24"/>
  <c r="S80" i="24" s="1"/>
  <c r="S69" i="24"/>
  <c r="S81" i="24" s="1"/>
  <c r="S116" i="24"/>
  <c r="S128" i="24" s="1"/>
  <c r="V135" i="24"/>
  <c r="V117" i="24"/>
  <c r="V129" i="24" s="1"/>
  <c r="V69" i="24"/>
  <c r="V81" i="24" s="1"/>
  <c r="V68" i="24"/>
  <c r="V80" i="24" s="1"/>
  <c r="V137" i="24"/>
  <c r="V116" i="24"/>
  <c r="V128" i="24" s="1"/>
  <c r="U8" i="24"/>
  <c r="T8" i="24"/>
  <c r="R8" i="24" s="1"/>
  <c r="V19" i="24"/>
  <c r="T3" i="24"/>
  <c r="P10" i="28"/>
  <c r="AN98" i="23"/>
  <c r="G31" i="24"/>
  <c r="G123" i="24"/>
  <c r="G122" i="24"/>
  <c r="G75" i="24"/>
  <c r="G74" i="24"/>
  <c r="L31" i="24"/>
  <c r="L123" i="24"/>
  <c r="L122" i="24"/>
  <c r="L74" i="24"/>
  <c r="L75" i="24"/>
  <c r="H31" i="24"/>
  <c r="H122" i="24"/>
  <c r="H74" i="24"/>
  <c r="H123" i="24"/>
  <c r="H75" i="24"/>
  <c r="K31" i="24"/>
  <c r="K123" i="24"/>
  <c r="K74" i="24"/>
  <c r="K75" i="24"/>
  <c r="K122" i="24"/>
  <c r="M31" i="24"/>
  <c r="M123" i="24"/>
  <c r="M75" i="24"/>
  <c r="M74" i="24"/>
  <c r="M122" i="24"/>
  <c r="E31" i="24"/>
  <c r="E122" i="24"/>
  <c r="E74" i="24"/>
  <c r="E123" i="24"/>
  <c r="E75" i="24"/>
  <c r="F31" i="24"/>
  <c r="F122" i="24"/>
  <c r="F75" i="24"/>
  <c r="F74" i="24"/>
  <c r="F123" i="24"/>
  <c r="G59" i="22"/>
  <c r="AD7" i="28" l="1"/>
  <c r="DV82" i="23"/>
  <c r="DV92" i="28" s="1"/>
  <c r="DV85" i="28" s="1"/>
  <c r="DV78" i="28" s="1"/>
  <c r="DV98" i="23"/>
  <c r="DV108" i="23" s="1"/>
  <c r="DV114" i="28" s="1"/>
  <c r="DV107" i="28" s="1"/>
  <c r="DV100" i="28" s="1"/>
  <c r="BR19" i="28"/>
  <c r="G22" i="28"/>
  <c r="G107" i="28" s="1"/>
  <c r="G100" i="28" s="1"/>
  <c r="G15" i="26"/>
  <c r="G94" i="28" s="1"/>
  <c r="F72" i="32"/>
  <c r="AB17" i="28"/>
  <c r="E17" i="28"/>
  <c r="AB15" i="26"/>
  <c r="AB94" i="28" s="1"/>
  <c r="AB87" i="28" s="1"/>
  <c r="E11" i="25"/>
  <c r="E5" i="26" s="1"/>
  <c r="E10" i="26" s="1"/>
  <c r="E15" i="26" s="1"/>
  <c r="E94" i="28" s="1"/>
  <c r="E87" i="28" s="1"/>
  <c r="W22" i="28"/>
  <c r="W85" i="28" s="1"/>
  <c r="W78" i="28" s="1"/>
  <c r="Y98" i="23"/>
  <c r="Y108" i="23" s="1"/>
  <c r="Y114" i="28" s="1"/>
  <c r="Y82" i="23"/>
  <c r="Y92" i="28" s="1"/>
  <c r="AD22" i="28"/>
  <c r="AD87" i="28" s="1"/>
  <c r="AD17" i="28"/>
  <c r="Z107" i="28"/>
  <c r="Z100" i="28" s="1"/>
  <c r="Z85" i="28"/>
  <c r="Z78" i="28" s="1"/>
  <c r="Z87" i="28"/>
  <c r="Z80" i="28" s="1"/>
  <c r="Y87" i="28"/>
  <c r="Y80" i="28" s="1"/>
  <c r="X98" i="23"/>
  <c r="X108" i="23" s="1"/>
  <c r="X114" i="28" s="1"/>
  <c r="X107" i="28" s="1"/>
  <c r="X100" i="28" s="1"/>
  <c r="X82" i="23"/>
  <c r="X92" i="28" s="1"/>
  <c r="X85" i="28" s="1"/>
  <c r="X78" i="28" s="1"/>
  <c r="AE17" i="28"/>
  <c r="X87" i="28"/>
  <c r="X80" i="28" s="1"/>
  <c r="AE22" i="28"/>
  <c r="AD98" i="23"/>
  <c r="AD108" i="23" s="1"/>
  <c r="AD114" i="28" s="1"/>
  <c r="AD82" i="23"/>
  <c r="AD92" i="28" s="1"/>
  <c r="AE94" i="28"/>
  <c r="AC87" i="28"/>
  <c r="AC80" i="28" s="1"/>
  <c r="AA22" i="28"/>
  <c r="AA17" i="28"/>
  <c r="AJ117" i="24"/>
  <c r="AJ129" i="24" s="1"/>
  <c r="AJ116" i="24"/>
  <c r="AJ128" i="24" s="1"/>
  <c r="AJ69" i="24"/>
  <c r="AJ81" i="24" s="1"/>
  <c r="AJ68" i="24"/>
  <c r="AJ80" i="24" s="1"/>
  <c r="AJ135" i="24"/>
  <c r="AB82" i="23"/>
  <c r="AB92" i="28" s="1"/>
  <c r="AB98" i="23"/>
  <c r="AB108" i="23" s="1"/>
  <c r="AB114" i="28" s="1"/>
  <c r="AC82" i="23"/>
  <c r="AC92" i="28" s="1"/>
  <c r="AC98" i="23"/>
  <c r="AC108" i="23" s="1"/>
  <c r="AC114" i="28" s="1"/>
  <c r="H107" i="28"/>
  <c r="H100" i="28" s="1"/>
  <c r="H87" i="28"/>
  <c r="H80" i="28" s="1"/>
  <c r="F48" i="42" s="1"/>
  <c r="BQ122" i="24"/>
  <c r="BQ128" i="24" s="1"/>
  <c r="I6" i="28"/>
  <c r="I9" i="25"/>
  <c r="H12" i="24"/>
  <c r="F12" i="24" s="1"/>
  <c r="AE82" i="23"/>
  <c r="H18" i="24"/>
  <c r="F18" i="24" s="1"/>
  <c r="AE108" i="23"/>
  <c r="H13" i="24"/>
  <c r="F13" i="24" s="1"/>
  <c r="H11" i="24"/>
  <c r="F11" i="24" s="1"/>
  <c r="AA82" i="23"/>
  <c r="AA92" i="28" s="1"/>
  <c r="AA108" i="23"/>
  <c r="AA114" i="28" s="1"/>
  <c r="H17" i="24"/>
  <c r="F17" i="24" s="1"/>
  <c r="AV2" i="26"/>
  <c r="AV2" i="25"/>
  <c r="AV2" i="27"/>
  <c r="BQ74" i="24"/>
  <c r="BQ80" i="24" s="1"/>
  <c r="BQ123" i="24"/>
  <c r="BQ129" i="24" s="1"/>
  <c r="CK24" i="23"/>
  <c r="CK76" i="23" s="1"/>
  <c r="CK102" i="23" s="1"/>
  <c r="CK28" i="23"/>
  <c r="CK80" i="23" s="1"/>
  <c r="CK20" i="23"/>
  <c r="CK72" i="23" s="1"/>
  <c r="CK23" i="23"/>
  <c r="CK75" i="23" s="1"/>
  <c r="CK101" i="23" s="1"/>
  <c r="CK21" i="23"/>
  <c r="CK73" i="23" s="1"/>
  <c r="CK99" i="23" s="1"/>
  <c r="CK29" i="23"/>
  <c r="CK81" i="23" s="1"/>
  <c r="CK107" i="23" s="1"/>
  <c r="CK26" i="23"/>
  <c r="CK78" i="23" s="1"/>
  <c r="CK104" i="23" s="1"/>
  <c r="CK25" i="23"/>
  <c r="CK77" i="23" s="1"/>
  <c r="CK103" i="23" s="1"/>
  <c r="CK22" i="23"/>
  <c r="CK74" i="23" s="1"/>
  <c r="CK100" i="23" s="1"/>
  <c r="CK27" i="23"/>
  <c r="CK79" i="23" s="1"/>
  <c r="CK105" i="23" s="1"/>
  <c r="CL31" i="24"/>
  <c r="CL3" i="23"/>
  <c r="I58" i="39"/>
  <c r="R15" i="26"/>
  <c r="R94" i="28" s="1"/>
  <c r="O6" i="28"/>
  <c r="O9" i="25"/>
  <c r="O11" i="25" s="1"/>
  <c r="O5" i="26" s="1"/>
  <c r="O10" i="26" s="1"/>
  <c r="N6" i="28"/>
  <c r="Q12" i="25"/>
  <c r="Q6" i="26" s="1"/>
  <c r="Q7" i="28" s="1"/>
  <c r="Q17" i="28" s="1"/>
  <c r="N9" i="25"/>
  <c r="N11" i="25" s="1"/>
  <c r="N5" i="26" s="1"/>
  <c r="N10" i="26" s="1"/>
  <c r="L5" i="28"/>
  <c r="L6" i="28" s="1"/>
  <c r="U17" i="28"/>
  <c r="U15" i="26"/>
  <c r="U94" i="28" s="1"/>
  <c r="U87" i="28" s="1"/>
  <c r="P12" i="25"/>
  <c r="P6" i="26" s="1"/>
  <c r="P7" i="28" s="1"/>
  <c r="P17" i="28" s="1"/>
  <c r="R22" i="28"/>
  <c r="R107" i="28" s="1"/>
  <c r="R100" i="28" s="1"/>
  <c r="S11" i="25"/>
  <c r="S5" i="26" s="1"/>
  <c r="S10" i="26" s="1"/>
  <c r="S15" i="26" s="1"/>
  <c r="S94" i="28" s="1"/>
  <c r="T7" i="28"/>
  <c r="T15" i="26"/>
  <c r="T94" i="28" s="1"/>
  <c r="C58" i="39"/>
  <c r="D80" i="28"/>
  <c r="C58" i="36" s="1"/>
  <c r="D109" i="28"/>
  <c r="D107" i="28"/>
  <c r="D100" i="28" s="1"/>
  <c r="D85" i="28"/>
  <c r="D78" i="28" s="1"/>
  <c r="E69" i="24"/>
  <c r="E81" i="24" s="1"/>
  <c r="E68" i="24"/>
  <c r="E80" i="24" s="1"/>
  <c r="BQ31" i="24"/>
  <c r="BQ75" i="24"/>
  <c r="BQ81" i="24" s="1"/>
  <c r="E135" i="24"/>
  <c r="E137" i="24"/>
  <c r="E117" i="24"/>
  <c r="E129" i="24" s="1"/>
  <c r="BQ27" i="23"/>
  <c r="BQ79" i="23" s="1"/>
  <c r="BQ105" i="23" s="1"/>
  <c r="M9" i="25"/>
  <c r="K5" i="28"/>
  <c r="M6" i="28"/>
  <c r="J6" i="28"/>
  <c r="J9" i="25"/>
  <c r="F107" i="28"/>
  <c r="F100" i="28" s="1"/>
  <c r="F85" i="28"/>
  <c r="F78" i="28" s="1"/>
  <c r="U85" i="28"/>
  <c r="U107" i="28"/>
  <c r="E85" i="28"/>
  <c r="E107" i="28"/>
  <c r="BQ24" i="23"/>
  <c r="BQ76" i="23" s="1"/>
  <c r="BQ102" i="23" s="1"/>
  <c r="BQ20" i="23"/>
  <c r="BQ72" i="23" s="1"/>
  <c r="BQ98" i="23" s="1"/>
  <c r="DJ13" i="24"/>
  <c r="DJ9" i="24"/>
  <c r="BQ28" i="23"/>
  <c r="BQ80" i="23" s="1"/>
  <c r="BQ29" i="23"/>
  <c r="BQ81" i="23" s="1"/>
  <c r="BQ107" i="23" s="1"/>
  <c r="BQ26" i="23"/>
  <c r="BQ78" i="23" s="1"/>
  <c r="BQ104" i="23" s="1"/>
  <c r="DJ16" i="24"/>
  <c r="DJ18" i="24"/>
  <c r="BQ22" i="23"/>
  <c r="BQ74" i="23" s="1"/>
  <c r="BQ100" i="23" s="1"/>
  <c r="DJ10" i="24"/>
  <c r="BQ23" i="23"/>
  <c r="BQ75" i="23" s="1"/>
  <c r="BQ101" i="23" s="1"/>
  <c r="DJ8" i="24"/>
  <c r="BQ25" i="23"/>
  <c r="BQ77" i="23" s="1"/>
  <c r="BQ103" i="23" s="1"/>
  <c r="DJ11" i="24"/>
  <c r="DJ14" i="24"/>
  <c r="DJ17" i="24"/>
  <c r="DJ12" i="24"/>
  <c r="P70" i="27"/>
  <c r="P47" i="27" s="1"/>
  <c r="P69" i="27"/>
  <c r="P46" i="27" s="1"/>
  <c r="CI85" i="28"/>
  <c r="CI78" i="28" s="1"/>
  <c r="CI107" i="28"/>
  <c r="CI100" i="28" s="1"/>
  <c r="DW22" i="23"/>
  <c r="DW74" i="23" s="1"/>
  <c r="DW100" i="23" s="1"/>
  <c r="DW29" i="23"/>
  <c r="DW81" i="23" s="1"/>
  <c r="DW107" i="23" s="1"/>
  <c r="DW27" i="23"/>
  <c r="DW79" i="23" s="1"/>
  <c r="DW105" i="23" s="1"/>
  <c r="DW26" i="23"/>
  <c r="DW78" i="23" s="1"/>
  <c r="DW104" i="23" s="1"/>
  <c r="DW24" i="23"/>
  <c r="DW76" i="23" s="1"/>
  <c r="DW102" i="23" s="1"/>
  <c r="DW23" i="23"/>
  <c r="DW75" i="23" s="1"/>
  <c r="DW101" i="23" s="1"/>
  <c r="DW21" i="23"/>
  <c r="DW73" i="23" s="1"/>
  <c r="DW99" i="23" s="1"/>
  <c r="DW20" i="23"/>
  <c r="DW72" i="23" s="1"/>
  <c r="DW25" i="23"/>
  <c r="DW77" i="23" s="1"/>
  <c r="DW103" i="23" s="1"/>
  <c r="DW28" i="23"/>
  <c r="DW80" i="23" s="1"/>
  <c r="DO135" i="24"/>
  <c r="DN137" i="24"/>
  <c r="DL137" i="24"/>
  <c r="CE78" i="28"/>
  <c r="CE100" i="28"/>
  <c r="CD107" i="28"/>
  <c r="CD100" i="28" s="1"/>
  <c r="DK135" i="24"/>
  <c r="DJ135" i="24"/>
  <c r="DJ137" i="24"/>
  <c r="DI135" i="24"/>
  <c r="DI137" i="24"/>
  <c r="DC17" i="28"/>
  <c r="AV2" i="23"/>
  <c r="AV22" i="28"/>
  <c r="AV17" i="28"/>
  <c r="A46" i="47"/>
  <c r="A46" i="43"/>
  <c r="CZ27" i="23"/>
  <c r="CZ79" i="23" s="1"/>
  <c r="CZ105" i="23" s="1"/>
  <c r="CZ24" i="23"/>
  <c r="CZ76" i="23" s="1"/>
  <c r="CZ102" i="23" s="1"/>
  <c r="CZ25" i="23"/>
  <c r="CZ77" i="23" s="1"/>
  <c r="CZ103" i="23" s="1"/>
  <c r="CZ29" i="23"/>
  <c r="CZ81" i="23" s="1"/>
  <c r="CZ107" i="23" s="1"/>
  <c r="CZ28" i="23"/>
  <c r="CZ80" i="23" s="1"/>
  <c r="CZ23" i="23"/>
  <c r="CZ75" i="23" s="1"/>
  <c r="CZ101" i="23" s="1"/>
  <c r="CZ21" i="23"/>
  <c r="CZ73" i="23" s="1"/>
  <c r="CZ99" i="23" s="1"/>
  <c r="CZ22" i="23"/>
  <c r="CZ74" i="23" s="1"/>
  <c r="CZ100" i="23" s="1"/>
  <c r="CZ20" i="23"/>
  <c r="CZ72" i="23" s="1"/>
  <c r="CZ26" i="23"/>
  <c r="CZ78" i="23" s="1"/>
  <c r="CZ104" i="23" s="1"/>
  <c r="DD25" i="23"/>
  <c r="DD77" i="23" s="1"/>
  <c r="DD103" i="23" s="1"/>
  <c r="DD26" i="23"/>
  <c r="DD78" i="23" s="1"/>
  <c r="DD104" i="23" s="1"/>
  <c r="DD21" i="23"/>
  <c r="DD73" i="23" s="1"/>
  <c r="DD99" i="23" s="1"/>
  <c r="DD22" i="23"/>
  <c r="DD74" i="23" s="1"/>
  <c r="DD100" i="23" s="1"/>
  <c r="DD27" i="23"/>
  <c r="DD79" i="23" s="1"/>
  <c r="DD105" i="23" s="1"/>
  <c r="DD28" i="23"/>
  <c r="DD80" i="23" s="1"/>
  <c r="DD24" i="23"/>
  <c r="DD76" i="23" s="1"/>
  <c r="DD102" i="23" s="1"/>
  <c r="DD29" i="23"/>
  <c r="DD81" i="23" s="1"/>
  <c r="DD107" i="23" s="1"/>
  <c r="DD20" i="23"/>
  <c r="DD72" i="23" s="1"/>
  <c r="DD23" i="23"/>
  <c r="DD75" i="23" s="1"/>
  <c r="DD101" i="23" s="1"/>
  <c r="DD20" i="28"/>
  <c r="DC7" i="26"/>
  <c r="DC10" i="26" s="1"/>
  <c r="AH80" i="28"/>
  <c r="H58" i="36" s="1"/>
  <c r="DB29" i="23"/>
  <c r="DB81" i="23" s="1"/>
  <c r="DB107" i="23" s="1"/>
  <c r="DB24" i="23"/>
  <c r="DB76" i="23" s="1"/>
  <c r="DB102" i="23" s="1"/>
  <c r="DB26" i="23"/>
  <c r="DB78" i="23" s="1"/>
  <c r="DB104" i="23" s="1"/>
  <c r="DB20" i="23"/>
  <c r="DB72" i="23" s="1"/>
  <c r="DB25" i="23"/>
  <c r="DB77" i="23" s="1"/>
  <c r="DB103" i="23" s="1"/>
  <c r="DB22" i="23"/>
  <c r="DB74" i="23" s="1"/>
  <c r="DB100" i="23" s="1"/>
  <c r="DB28" i="23"/>
  <c r="DB80" i="23" s="1"/>
  <c r="DB21" i="23"/>
  <c r="DB73" i="23" s="1"/>
  <c r="DB99" i="23" s="1"/>
  <c r="DB23" i="23"/>
  <c r="DB75" i="23" s="1"/>
  <c r="DB101" i="23" s="1"/>
  <c r="DB27" i="23"/>
  <c r="DB79" i="23" s="1"/>
  <c r="DB105" i="23" s="1"/>
  <c r="DC23" i="23"/>
  <c r="DC75" i="23" s="1"/>
  <c r="DC101" i="23" s="1"/>
  <c r="DC25" i="23"/>
  <c r="DC77" i="23" s="1"/>
  <c r="DC103" i="23" s="1"/>
  <c r="DC24" i="23"/>
  <c r="DC76" i="23" s="1"/>
  <c r="DC102" i="23" s="1"/>
  <c r="DC20" i="23"/>
  <c r="DC72" i="23" s="1"/>
  <c r="DC21" i="23"/>
  <c r="DC73" i="23" s="1"/>
  <c r="DC99" i="23" s="1"/>
  <c r="DC29" i="23"/>
  <c r="DC81" i="23" s="1"/>
  <c r="DC107" i="23" s="1"/>
  <c r="DC28" i="23"/>
  <c r="DC80" i="23" s="1"/>
  <c r="DC27" i="23"/>
  <c r="DC79" i="23" s="1"/>
  <c r="DC105" i="23" s="1"/>
  <c r="DC26" i="23"/>
  <c r="DC78" i="23" s="1"/>
  <c r="DC104" i="23" s="1"/>
  <c r="DC22" i="23"/>
  <c r="DC74" i="23" s="1"/>
  <c r="DC100" i="23" s="1"/>
  <c r="S17" i="28"/>
  <c r="S22" i="28"/>
  <c r="BS22" i="28"/>
  <c r="BS17" i="28"/>
  <c r="AW17" i="28"/>
  <c r="AW22" i="28"/>
  <c r="BR22" i="28"/>
  <c r="BR17" i="28"/>
  <c r="CA22" i="28"/>
  <c r="CA17" i="28"/>
  <c r="BJ22" i="28"/>
  <c r="BJ17" i="28"/>
  <c r="CX85" i="28"/>
  <c r="CX78" i="28" s="1"/>
  <c r="CX107" i="28"/>
  <c r="CX100" i="28" s="1"/>
  <c r="BI85" i="28"/>
  <c r="BI78" i="28" s="1"/>
  <c r="BI107" i="28"/>
  <c r="BI100" i="28" s="1"/>
  <c r="BK22" i="28"/>
  <c r="BK17" i="28"/>
  <c r="CG22" i="28"/>
  <c r="CG17" i="28"/>
  <c r="Z72" i="32"/>
  <c r="BT22" i="28"/>
  <c r="BT17" i="28"/>
  <c r="CQ25" i="23"/>
  <c r="CQ77" i="23" s="1"/>
  <c r="CQ103" i="23" s="1"/>
  <c r="Y72" i="32"/>
  <c r="AB72" i="32"/>
  <c r="CU38" i="25"/>
  <c r="CQ21" i="23"/>
  <c r="CQ73" i="23" s="1"/>
  <c r="CQ99" i="23" s="1"/>
  <c r="CQ29" i="23"/>
  <c r="CQ81" i="23" s="1"/>
  <c r="CQ107" i="23" s="1"/>
  <c r="CC21" i="23"/>
  <c r="CC73" i="23" s="1"/>
  <c r="CC99" i="23" s="1"/>
  <c r="CU24" i="23"/>
  <c r="CU76" i="23" s="1"/>
  <c r="CU102" i="23" s="1"/>
  <c r="CC23" i="23"/>
  <c r="CC75" i="23" s="1"/>
  <c r="CC101" i="23" s="1"/>
  <c r="CC29" i="23"/>
  <c r="CC81" i="23" s="1"/>
  <c r="CC107" i="23" s="1"/>
  <c r="CC26" i="23"/>
  <c r="CC78" i="23" s="1"/>
  <c r="CC104" i="23" s="1"/>
  <c r="CC24" i="23"/>
  <c r="CC76" i="23" s="1"/>
  <c r="CC102" i="23" s="1"/>
  <c r="CC27" i="23"/>
  <c r="CC79" i="23" s="1"/>
  <c r="CC105" i="23" s="1"/>
  <c r="CC20" i="23"/>
  <c r="CC72" i="23" s="1"/>
  <c r="CC98" i="23" s="1"/>
  <c r="CC22" i="23"/>
  <c r="CC74" i="23" s="1"/>
  <c r="CC100" i="23" s="1"/>
  <c r="CC25" i="23"/>
  <c r="CC77" i="23" s="1"/>
  <c r="CC103" i="23" s="1"/>
  <c r="CU21" i="23"/>
  <c r="CU73" i="23" s="1"/>
  <c r="CU99" i="23" s="1"/>
  <c r="CU20" i="23"/>
  <c r="CU72" i="23" s="1"/>
  <c r="CU98" i="23" s="1"/>
  <c r="CQ23" i="23"/>
  <c r="CQ75" i="23" s="1"/>
  <c r="CQ101" i="23" s="1"/>
  <c r="CU26" i="23"/>
  <c r="CU78" i="23" s="1"/>
  <c r="CU104" i="23" s="1"/>
  <c r="CU22" i="23"/>
  <c r="CU74" i="23" s="1"/>
  <c r="CU100" i="23" s="1"/>
  <c r="CQ28" i="23"/>
  <c r="CQ80" i="23" s="1"/>
  <c r="CU23" i="23"/>
  <c r="CU75" i="23" s="1"/>
  <c r="CU101" i="23" s="1"/>
  <c r="CU25" i="23"/>
  <c r="CU77" i="23" s="1"/>
  <c r="CU103" i="23" s="1"/>
  <c r="CQ27" i="23"/>
  <c r="CQ79" i="23" s="1"/>
  <c r="CQ105" i="23" s="1"/>
  <c r="CU29" i="23"/>
  <c r="CU81" i="23" s="1"/>
  <c r="CU107" i="23" s="1"/>
  <c r="CQ24" i="23"/>
  <c r="CQ76" i="23" s="1"/>
  <c r="CQ102" i="23" s="1"/>
  <c r="CU28" i="23"/>
  <c r="CU80" i="23" s="1"/>
  <c r="CQ20" i="23"/>
  <c r="CQ72" i="23" s="1"/>
  <c r="CQ98" i="23" s="1"/>
  <c r="CQ22" i="23"/>
  <c r="CQ74" i="23" s="1"/>
  <c r="CQ100" i="23" s="1"/>
  <c r="CW21" i="23"/>
  <c r="CW73" i="23" s="1"/>
  <c r="CW99" i="23" s="1"/>
  <c r="CW22" i="23"/>
  <c r="CW74" i="23" s="1"/>
  <c r="CW100" i="23" s="1"/>
  <c r="CW25" i="23"/>
  <c r="CW77" i="23" s="1"/>
  <c r="CW103" i="23" s="1"/>
  <c r="CW20" i="23"/>
  <c r="CW72" i="23" s="1"/>
  <c r="CW23" i="23"/>
  <c r="CW75" i="23" s="1"/>
  <c r="CW101" i="23" s="1"/>
  <c r="CW29" i="23"/>
  <c r="CW81" i="23" s="1"/>
  <c r="CW107" i="23" s="1"/>
  <c r="CW24" i="23"/>
  <c r="CW76" i="23" s="1"/>
  <c r="CW102" i="23" s="1"/>
  <c r="CW26" i="23"/>
  <c r="CW78" i="23" s="1"/>
  <c r="CW104" i="23" s="1"/>
  <c r="CW27" i="23"/>
  <c r="CW79" i="23" s="1"/>
  <c r="CW105" i="23" s="1"/>
  <c r="CW28" i="23"/>
  <c r="CW80" i="23" s="1"/>
  <c r="A46" i="48"/>
  <c r="A46" i="51"/>
  <c r="CB3" i="23"/>
  <c r="CB24" i="23" s="1"/>
  <c r="CB76" i="23" s="1"/>
  <c r="CB102" i="23" s="1"/>
  <c r="BX23" i="23"/>
  <c r="BX75" i="23" s="1"/>
  <c r="BX101" i="23" s="1"/>
  <c r="A48" i="47"/>
  <c r="U135" i="24"/>
  <c r="U69" i="24"/>
  <c r="U81" i="24" s="1"/>
  <c r="BY29" i="23"/>
  <c r="BY81" i="23" s="1"/>
  <c r="BY107" i="23" s="1"/>
  <c r="BY23" i="23"/>
  <c r="BY75" i="23" s="1"/>
  <c r="BY101" i="23" s="1"/>
  <c r="BX22" i="23"/>
  <c r="BX74" i="23" s="1"/>
  <c r="BX100" i="23" s="1"/>
  <c r="BY27" i="23"/>
  <c r="BY79" i="23" s="1"/>
  <c r="BY105" i="23" s="1"/>
  <c r="BY20" i="23"/>
  <c r="BY72" i="23" s="1"/>
  <c r="BY98" i="23" s="1"/>
  <c r="BX24" i="23"/>
  <c r="BX76" i="23" s="1"/>
  <c r="BX102" i="23" s="1"/>
  <c r="BX25" i="23"/>
  <c r="BX77" i="23" s="1"/>
  <c r="BX103" i="23" s="1"/>
  <c r="BR2" i="25"/>
  <c r="BX26" i="23"/>
  <c r="BX78" i="23" s="1"/>
  <c r="BX104" i="23" s="1"/>
  <c r="BX28" i="23"/>
  <c r="BX80" i="23" s="1"/>
  <c r="BX29" i="23"/>
  <c r="BX81" i="23" s="1"/>
  <c r="BX107" i="23" s="1"/>
  <c r="BY22" i="23"/>
  <c r="BY74" i="23" s="1"/>
  <c r="BY100" i="23" s="1"/>
  <c r="BY28" i="23"/>
  <c r="BY80" i="23" s="1"/>
  <c r="BY21" i="23"/>
  <c r="BY73" i="23" s="1"/>
  <c r="BY99" i="23" s="1"/>
  <c r="BY24" i="23"/>
  <c r="BY76" i="23" s="1"/>
  <c r="BY102" i="23" s="1"/>
  <c r="BX27" i="23"/>
  <c r="BX79" i="23" s="1"/>
  <c r="BX105" i="23" s="1"/>
  <c r="BS2" i="27"/>
  <c r="BY25" i="23"/>
  <c r="BY77" i="23" s="1"/>
  <c r="BY103" i="23" s="1"/>
  <c r="BX21" i="23"/>
  <c r="BX73" i="23" s="1"/>
  <c r="BX99" i="23" s="1"/>
  <c r="BU28" i="23"/>
  <c r="BU80" i="23" s="1"/>
  <c r="BU20" i="23"/>
  <c r="BU72" i="23" s="1"/>
  <c r="BU29" i="23"/>
  <c r="BU81" i="23" s="1"/>
  <c r="BU107" i="23" s="1"/>
  <c r="BU21" i="23"/>
  <c r="BU73" i="23" s="1"/>
  <c r="BU99" i="23" s="1"/>
  <c r="BU27" i="23"/>
  <c r="BU79" i="23" s="1"/>
  <c r="BU105" i="23" s="1"/>
  <c r="BU24" i="23"/>
  <c r="BU76" i="23" s="1"/>
  <c r="BU102" i="23" s="1"/>
  <c r="BU25" i="23"/>
  <c r="BU77" i="23" s="1"/>
  <c r="BU103" i="23" s="1"/>
  <c r="BU23" i="23"/>
  <c r="BU75" i="23" s="1"/>
  <c r="BU101" i="23" s="1"/>
  <c r="BU26" i="23"/>
  <c r="BU78" i="23" s="1"/>
  <c r="BU104" i="23" s="1"/>
  <c r="BU22" i="23"/>
  <c r="BU74" i="23" s="1"/>
  <c r="BU100" i="23" s="1"/>
  <c r="BV23" i="23"/>
  <c r="BV75" i="23" s="1"/>
  <c r="BV101" i="23" s="1"/>
  <c r="BV24" i="23"/>
  <c r="BV76" i="23" s="1"/>
  <c r="BV102" i="23" s="1"/>
  <c r="BV22" i="23"/>
  <c r="BV74" i="23" s="1"/>
  <c r="BV100" i="23" s="1"/>
  <c r="BV25" i="23"/>
  <c r="BV77" i="23" s="1"/>
  <c r="BV103" i="23" s="1"/>
  <c r="BV27" i="23"/>
  <c r="BV79" i="23" s="1"/>
  <c r="BV105" i="23" s="1"/>
  <c r="BV29" i="23"/>
  <c r="BV81" i="23" s="1"/>
  <c r="BV107" i="23" s="1"/>
  <c r="BV21" i="23"/>
  <c r="BV73" i="23" s="1"/>
  <c r="BV99" i="23" s="1"/>
  <c r="BV28" i="23"/>
  <c r="BV80" i="23" s="1"/>
  <c r="BV20" i="23"/>
  <c r="BV72" i="23" s="1"/>
  <c r="BV26" i="23"/>
  <c r="BV78" i="23" s="1"/>
  <c r="BV104" i="23" s="1"/>
  <c r="CA31" i="24"/>
  <c r="CA3" i="23"/>
  <c r="BW28" i="23"/>
  <c r="BW80" i="23" s="1"/>
  <c r="BW20" i="23"/>
  <c r="BW72" i="23" s="1"/>
  <c r="BW29" i="23"/>
  <c r="BW81" i="23" s="1"/>
  <c r="BW107" i="23" s="1"/>
  <c r="BW21" i="23"/>
  <c r="BW73" i="23" s="1"/>
  <c r="BW99" i="23" s="1"/>
  <c r="BW27" i="23"/>
  <c r="BW79" i="23" s="1"/>
  <c r="BW105" i="23" s="1"/>
  <c r="BW26" i="23"/>
  <c r="BW78" i="23" s="1"/>
  <c r="BW104" i="23" s="1"/>
  <c r="BW24" i="23"/>
  <c r="BW76" i="23" s="1"/>
  <c r="BW102" i="23" s="1"/>
  <c r="BW25" i="23"/>
  <c r="BW77" i="23" s="1"/>
  <c r="BW103" i="23" s="1"/>
  <c r="BW22" i="23"/>
  <c r="BW74" i="23" s="1"/>
  <c r="BW100" i="23" s="1"/>
  <c r="BW23" i="23"/>
  <c r="BW75" i="23" s="1"/>
  <c r="BW101" i="23" s="1"/>
  <c r="BR2" i="27"/>
  <c r="BS2" i="26"/>
  <c r="BS2" i="25"/>
  <c r="BS2" i="23"/>
  <c r="BR2" i="26"/>
  <c r="BR2" i="23"/>
  <c r="BX98" i="23"/>
  <c r="BZ98" i="23"/>
  <c r="BZ108" i="23" s="1"/>
  <c r="BZ114" i="28" s="1"/>
  <c r="BZ107" i="28" s="1"/>
  <c r="BZ100" i="28" s="1"/>
  <c r="BZ82" i="23"/>
  <c r="BZ92" i="28" s="1"/>
  <c r="BZ85" i="28" s="1"/>
  <c r="BZ78" i="28" s="1"/>
  <c r="X72" i="32"/>
  <c r="AR98" i="23"/>
  <c r="AR108" i="23" s="1"/>
  <c r="AR114" i="28" s="1"/>
  <c r="AR107" i="28" s="1"/>
  <c r="AR100" i="28" s="1"/>
  <c r="AR82" i="23"/>
  <c r="AR92" i="28" s="1"/>
  <c r="AR85" i="28" s="1"/>
  <c r="AR78" i="28" s="1"/>
  <c r="A48" i="43"/>
  <c r="U68" i="24"/>
  <c r="U80" i="24" s="1"/>
  <c r="U137" i="24"/>
  <c r="U117" i="24"/>
  <c r="U129" i="24" s="1"/>
  <c r="Q69" i="24"/>
  <c r="Q81" i="24" s="1"/>
  <c r="Q137" i="24"/>
  <c r="Q116" i="24"/>
  <c r="Q128" i="24" s="1"/>
  <c r="Q117" i="24"/>
  <c r="Q129" i="24" s="1"/>
  <c r="Q68" i="24"/>
  <c r="Q80" i="24" s="1"/>
  <c r="AN108" i="23"/>
  <c r="AN114" i="28" s="1"/>
  <c r="AN107" i="28" s="1"/>
  <c r="AN100" i="28" s="1"/>
  <c r="R19" i="24"/>
  <c r="AN82" i="23"/>
  <c r="AN92" i="28" s="1"/>
  <c r="AN85" i="28" s="1"/>
  <c r="AN78" i="28" s="1"/>
  <c r="AS25" i="23"/>
  <c r="AS77" i="23" s="1"/>
  <c r="AS103" i="23" s="1"/>
  <c r="AS29" i="23"/>
  <c r="AS81" i="23" s="1"/>
  <c r="AS107" i="23" s="1"/>
  <c r="BF27" i="23"/>
  <c r="BF79" i="23" s="1"/>
  <c r="BF105" i="23" s="1"/>
  <c r="BF24" i="23"/>
  <c r="BF76" i="23" s="1"/>
  <c r="BF102" i="23" s="1"/>
  <c r="BF29" i="23"/>
  <c r="BF81" i="23" s="1"/>
  <c r="BF107" i="23" s="1"/>
  <c r="BF21" i="23"/>
  <c r="BF73" i="23" s="1"/>
  <c r="BF99" i="23" s="1"/>
  <c r="BF28" i="23"/>
  <c r="BF80" i="23" s="1"/>
  <c r="BF26" i="23"/>
  <c r="BF78" i="23" s="1"/>
  <c r="BF104" i="23" s="1"/>
  <c r="BF20" i="23"/>
  <c r="BF72" i="23" s="1"/>
  <c r="BF23" i="23"/>
  <c r="BF75" i="23" s="1"/>
  <c r="BF101" i="23" s="1"/>
  <c r="BF25" i="23"/>
  <c r="BF77" i="23" s="1"/>
  <c r="BF103" i="23" s="1"/>
  <c r="BF22" i="23"/>
  <c r="BF74" i="23" s="1"/>
  <c r="BF100" i="23" s="1"/>
  <c r="BH29" i="23"/>
  <c r="BH81" i="23" s="1"/>
  <c r="BH107" i="23" s="1"/>
  <c r="BH21" i="23"/>
  <c r="BH73" i="23" s="1"/>
  <c r="BH99" i="23" s="1"/>
  <c r="BH26" i="23"/>
  <c r="BH78" i="23" s="1"/>
  <c r="BH104" i="23" s="1"/>
  <c r="BH23" i="23"/>
  <c r="BH75" i="23" s="1"/>
  <c r="BH101" i="23" s="1"/>
  <c r="BH24" i="23"/>
  <c r="BH76" i="23" s="1"/>
  <c r="BH102" i="23" s="1"/>
  <c r="BH28" i="23"/>
  <c r="BH80" i="23" s="1"/>
  <c r="BH22" i="23"/>
  <c r="BH74" i="23" s="1"/>
  <c r="BH100" i="23" s="1"/>
  <c r="BH20" i="23"/>
  <c r="BH72" i="23" s="1"/>
  <c r="BH27" i="23"/>
  <c r="BH79" i="23" s="1"/>
  <c r="BH105" i="23" s="1"/>
  <c r="BH25" i="23"/>
  <c r="BH77" i="23" s="1"/>
  <c r="BH103" i="23" s="1"/>
  <c r="BG25" i="23"/>
  <c r="BG77" i="23" s="1"/>
  <c r="BG103" i="23" s="1"/>
  <c r="BG28" i="23"/>
  <c r="BG80" i="23" s="1"/>
  <c r="BG22" i="23"/>
  <c r="BG74" i="23" s="1"/>
  <c r="BG100" i="23" s="1"/>
  <c r="BG20" i="23"/>
  <c r="BG72" i="23" s="1"/>
  <c r="BG27" i="23"/>
  <c r="BG79" i="23" s="1"/>
  <c r="BG105" i="23" s="1"/>
  <c r="BG24" i="23"/>
  <c r="BG76" i="23" s="1"/>
  <c r="BG102" i="23" s="1"/>
  <c r="BG21" i="23"/>
  <c r="BG73" i="23" s="1"/>
  <c r="BG99" i="23" s="1"/>
  <c r="BG29" i="23"/>
  <c r="BG81" i="23" s="1"/>
  <c r="BG107" i="23" s="1"/>
  <c r="BG26" i="23"/>
  <c r="BG78" i="23" s="1"/>
  <c r="BG104" i="23" s="1"/>
  <c r="BG23" i="23"/>
  <c r="BG75" i="23" s="1"/>
  <c r="BG101" i="23" s="1"/>
  <c r="BL27" i="23"/>
  <c r="BL79" i="23" s="1"/>
  <c r="BL105" i="23" s="1"/>
  <c r="BL21" i="23"/>
  <c r="BL73" i="23" s="1"/>
  <c r="BL99" i="23" s="1"/>
  <c r="BL20" i="23"/>
  <c r="BL72" i="23" s="1"/>
  <c r="BL24" i="23"/>
  <c r="BL76" i="23" s="1"/>
  <c r="BL102" i="23" s="1"/>
  <c r="BL29" i="23"/>
  <c r="BL81" i="23" s="1"/>
  <c r="BL107" i="23" s="1"/>
  <c r="BL28" i="23"/>
  <c r="BL80" i="23" s="1"/>
  <c r="BL23" i="23"/>
  <c r="BL75" i="23" s="1"/>
  <c r="BL101" i="23" s="1"/>
  <c r="BL26" i="23"/>
  <c r="BL78" i="23" s="1"/>
  <c r="BL104" i="23" s="1"/>
  <c r="BL25" i="23"/>
  <c r="BL77" i="23" s="1"/>
  <c r="BL103" i="23" s="1"/>
  <c r="BL22" i="23"/>
  <c r="BL74" i="23" s="1"/>
  <c r="BL100" i="23" s="1"/>
  <c r="AS27" i="23"/>
  <c r="AS79" i="23" s="1"/>
  <c r="AS105" i="23" s="1"/>
  <c r="AS28" i="23"/>
  <c r="AS80" i="23" s="1"/>
  <c r="AS23" i="23"/>
  <c r="AS75" i="23" s="1"/>
  <c r="AS101" i="23" s="1"/>
  <c r="BM25" i="23"/>
  <c r="BM77" i="23" s="1"/>
  <c r="BM103" i="23" s="1"/>
  <c r="BM28" i="23"/>
  <c r="BM80" i="23" s="1"/>
  <c r="BM27" i="23"/>
  <c r="BM79" i="23" s="1"/>
  <c r="BM105" i="23" s="1"/>
  <c r="BM24" i="23"/>
  <c r="BM76" i="23" s="1"/>
  <c r="BM102" i="23" s="1"/>
  <c r="BM29" i="23"/>
  <c r="BM81" i="23" s="1"/>
  <c r="BM107" i="23" s="1"/>
  <c r="BM26" i="23"/>
  <c r="BM78" i="23" s="1"/>
  <c r="BM104" i="23" s="1"/>
  <c r="BM20" i="23"/>
  <c r="BM72" i="23" s="1"/>
  <c r="BM23" i="23"/>
  <c r="BM75" i="23" s="1"/>
  <c r="BM101" i="23" s="1"/>
  <c r="BM21" i="23"/>
  <c r="BM73" i="23" s="1"/>
  <c r="BM99" i="23" s="1"/>
  <c r="BM22" i="23"/>
  <c r="BM74" i="23" s="1"/>
  <c r="BM100" i="23" s="1"/>
  <c r="BR31" i="24"/>
  <c r="BR3" i="23"/>
  <c r="BP21" i="23"/>
  <c r="BP73" i="23" s="1"/>
  <c r="BP99" i="23" s="1"/>
  <c r="BP23" i="23"/>
  <c r="BP75" i="23" s="1"/>
  <c r="BP101" i="23" s="1"/>
  <c r="BP24" i="23"/>
  <c r="BP76" i="23" s="1"/>
  <c r="BP102" i="23" s="1"/>
  <c r="BP27" i="23"/>
  <c r="BP79" i="23" s="1"/>
  <c r="BP105" i="23" s="1"/>
  <c r="BP22" i="23"/>
  <c r="BP74" i="23" s="1"/>
  <c r="BP100" i="23" s="1"/>
  <c r="BP28" i="23"/>
  <c r="BP80" i="23" s="1"/>
  <c r="BP25" i="23"/>
  <c r="BP77" i="23" s="1"/>
  <c r="BP103" i="23" s="1"/>
  <c r="BP26" i="23"/>
  <c r="BP78" i="23" s="1"/>
  <c r="BP104" i="23" s="1"/>
  <c r="BP20" i="23"/>
  <c r="BP72" i="23" s="1"/>
  <c r="BP29" i="23"/>
  <c r="BP81" i="23" s="1"/>
  <c r="BP107" i="23" s="1"/>
  <c r="BS21" i="23"/>
  <c r="BS73" i="23" s="1"/>
  <c r="BS99" i="23" s="1"/>
  <c r="BS24" i="23"/>
  <c r="BS76" i="23" s="1"/>
  <c r="BS102" i="23" s="1"/>
  <c r="BS29" i="23"/>
  <c r="BS81" i="23" s="1"/>
  <c r="BS107" i="23" s="1"/>
  <c r="BS27" i="23"/>
  <c r="BS79" i="23" s="1"/>
  <c r="BS105" i="23" s="1"/>
  <c r="BS23" i="23"/>
  <c r="BS75" i="23" s="1"/>
  <c r="BS101" i="23" s="1"/>
  <c r="BS22" i="23"/>
  <c r="BS74" i="23" s="1"/>
  <c r="BS100" i="23" s="1"/>
  <c r="BS25" i="23"/>
  <c r="BS77" i="23" s="1"/>
  <c r="BS103" i="23" s="1"/>
  <c r="BS28" i="23"/>
  <c r="BS80" i="23" s="1"/>
  <c r="BS20" i="23"/>
  <c r="BS72" i="23" s="1"/>
  <c r="BS26" i="23"/>
  <c r="BS78" i="23" s="1"/>
  <c r="BS104" i="23" s="1"/>
  <c r="AS24" i="23"/>
  <c r="AS76" i="23" s="1"/>
  <c r="AS102" i="23" s="1"/>
  <c r="AS26" i="23"/>
  <c r="AS78" i="23" s="1"/>
  <c r="AS104" i="23" s="1"/>
  <c r="AS20" i="23"/>
  <c r="AS72" i="23" s="1"/>
  <c r="AS98" i="23" s="1"/>
  <c r="AS22" i="23"/>
  <c r="AS74" i="23" s="1"/>
  <c r="AS100" i="23" s="1"/>
  <c r="BS31" i="24"/>
  <c r="BO28" i="23"/>
  <c r="BO80" i="23" s="1"/>
  <c r="BO20" i="23"/>
  <c r="BO72" i="23" s="1"/>
  <c r="BO23" i="23"/>
  <c r="BO75" i="23" s="1"/>
  <c r="BO101" i="23" s="1"/>
  <c r="BO26" i="23"/>
  <c r="BO78" i="23" s="1"/>
  <c r="BO104" i="23" s="1"/>
  <c r="BO29" i="23"/>
  <c r="BO81" i="23" s="1"/>
  <c r="BO107" i="23" s="1"/>
  <c r="BO21" i="23"/>
  <c r="BO73" i="23" s="1"/>
  <c r="BO99" i="23" s="1"/>
  <c r="BO24" i="23"/>
  <c r="BO76" i="23" s="1"/>
  <c r="BO102" i="23" s="1"/>
  <c r="BO22" i="23"/>
  <c r="BO74" i="23" s="1"/>
  <c r="BO100" i="23" s="1"/>
  <c r="BO27" i="23"/>
  <c r="BO79" i="23" s="1"/>
  <c r="BO105" i="23" s="1"/>
  <c r="BO25" i="23"/>
  <c r="BO77" i="23" s="1"/>
  <c r="BO103" i="23" s="1"/>
  <c r="AY98" i="23"/>
  <c r="AY108" i="23" s="1"/>
  <c r="AY114" i="28" s="1"/>
  <c r="AY107" i="28" s="1"/>
  <c r="AY100" i="28" s="1"/>
  <c r="AY82" i="23"/>
  <c r="AY92" i="28" s="1"/>
  <c r="AY85" i="28" s="1"/>
  <c r="AY78" i="28" s="1"/>
  <c r="AT82" i="23"/>
  <c r="AT92" i="28" s="1"/>
  <c r="AT85" i="28" s="1"/>
  <c r="AT78" i="28" s="1"/>
  <c r="AT98" i="23"/>
  <c r="AT108" i="23" s="1"/>
  <c r="AT114" i="28" s="1"/>
  <c r="AT107" i="28" s="1"/>
  <c r="AT100" i="28" s="1"/>
  <c r="AV31" i="24"/>
  <c r="AV3" i="23"/>
  <c r="AW31" i="24"/>
  <c r="AW3" i="23"/>
  <c r="AW28" i="23" s="1"/>
  <c r="AW80" i="23" s="1"/>
  <c r="AU21" i="23"/>
  <c r="AU73" i="23" s="1"/>
  <c r="AU99" i="23" s="1"/>
  <c r="AU23" i="23"/>
  <c r="AU75" i="23" s="1"/>
  <c r="AU101" i="23" s="1"/>
  <c r="AU29" i="23"/>
  <c r="AU81" i="23" s="1"/>
  <c r="AU107" i="23" s="1"/>
  <c r="AU28" i="23"/>
  <c r="AU80" i="23" s="1"/>
  <c r="AU20" i="23"/>
  <c r="AU72" i="23" s="1"/>
  <c r="AU25" i="23"/>
  <c r="AU77" i="23" s="1"/>
  <c r="AU103" i="23" s="1"/>
  <c r="AU27" i="23"/>
  <c r="AU79" i="23" s="1"/>
  <c r="AU105" i="23" s="1"/>
  <c r="AU26" i="23"/>
  <c r="AU78" i="23" s="1"/>
  <c r="AU104" i="23" s="1"/>
  <c r="AU22" i="23"/>
  <c r="AU74" i="23" s="1"/>
  <c r="AU100" i="23" s="1"/>
  <c r="AU24" i="23"/>
  <c r="AU76" i="23" s="1"/>
  <c r="AU102" i="23" s="1"/>
  <c r="AU107" i="24"/>
  <c r="AU85" i="24"/>
  <c r="AU102" i="24"/>
  <c r="AU59" i="24"/>
  <c r="AU54" i="24"/>
  <c r="AU37" i="24"/>
  <c r="CP82" i="23"/>
  <c r="CP98" i="23"/>
  <c r="CP108" i="23" s="1"/>
  <c r="BK82" i="23"/>
  <c r="BK98" i="23"/>
  <c r="BK108" i="23" s="1"/>
  <c r="AX28" i="23"/>
  <c r="AX80" i="23" s="1"/>
  <c r="AX22" i="23"/>
  <c r="AX74" i="23" s="1"/>
  <c r="AX100" i="23" s="1"/>
  <c r="AX23" i="23"/>
  <c r="AX75" i="23" s="1"/>
  <c r="AX101" i="23" s="1"/>
  <c r="AX29" i="23"/>
  <c r="AX81" i="23" s="1"/>
  <c r="AX107" i="23" s="1"/>
  <c r="AX26" i="23"/>
  <c r="AX78" i="23" s="1"/>
  <c r="AX104" i="23" s="1"/>
  <c r="AX24" i="23"/>
  <c r="AX76" i="23" s="1"/>
  <c r="AX102" i="23" s="1"/>
  <c r="AX27" i="23"/>
  <c r="AX79" i="23" s="1"/>
  <c r="AX105" i="23" s="1"/>
  <c r="AX21" i="23"/>
  <c r="AX73" i="23" s="1"/>
  <c r="AX99" i="23" s="1"/>
  <c r="AX25" i="23"/>
  <c r="AX77" i="23" s="1"/>
  <c r="AX103" i="23" s="1"/>
  <c r="AX20" i="23"/>
  <c r="AX72" i="23" s="1"/>
  <c r="CV98" i="23"/>
  <c r="CV108" i="23" s="1"/>
  <c r="CV114" i="28" s="1"/>
  <c r="CV107" i="28" s="1"/>
  <c r="CV100" i="28" s="1"/>
  <c r="CV82" i="23"/>
  <c r="CV92" i="28" s="1"/>
  <c r="CV85" i="28" s="1"/>
  <c r="CV78" i="28" s="1"/>
  <c r="BT82" i="23"/>
  <c r="BT98" i="23"/>
  <c r="BT108" i="23" s="1"/>
  <c r="AN17" i="25"/>
  <c r="AM54" i="24"/>
  <c r="AM107" i="24"/>
  <c r="AM109" i="24" s="1"/>
  <c r="AM102" i="24"/>
  <c r="AM37" i="24"/>
  <c r="AM59" i="24"/>
  <c r="AM85" i="24"/>
  <c r="AL103" i="24"/>
  <c r="AL116" i="24" s="1"/>
  <c r="AL104" i="24"/>
  <c r="AL117" i="24" s="1"/>
  <c r="DR98" i="23"/>
  <c r="DR108" i="23" s="1"/>
  <c r="DR82" i="23"/>
  <c r="AM22" i="25"/>
  <c r="AM21" i="25"/>
  <c r="AM24" i="25"/>
  <c r="AM25" i="25"/>
  <c r="AM23" i="25"/>
  <c r="AM20" i="25"/>
  <c r="AL63" i="24"/>
  <c r="AL75" i="24" s="1"/>
  <c r="AL62" i="24"/>
  <c r="AL74" i="24" s="1"/>
  <c r="AL55" i="24"/>
  <c r="AL68" i="24" s="1"/>
  <c r="AL56" i="24"/>
  <c r="AL69" i="24" s="1"/>
  <c r="DQ98" i="23"/>
  <c r="DQ108" i="23" s="1"/>
  <c r="DQ114" i="28" s="1"/>
  <c r="DQ107" i="28" s="1"/>
  <c r="DQ100" i="28" s="1"/>
  <c r="DQ82" i="23"/>
  <c r="DQ92" i="28" s="1"/>
  <c r="DQ85" i="28" s="1"/>
  <c r="DQ78" i="28" s="1"/>
  <c r="AL47" i="24"/>
  <c r="AL46" i="24"/>
  <c r="AL50" i="24"/>
  <c r="AL48" i="24"/>
  <c r="AL49" i="24"/>
  <c r="AL111" i="24"/>
  <c r="AL123" i="24" s="1"/>
  <c r="AL110" i="24"/>
  <c r="AL122" i="24" s="1"/>
  <c r="AN5" i="24"/>
  <c r="AL94" i="24"/>
  <c r="AL99" i="24"/>
  <c r="AL96" i="24"/>
  <c r="AL97" i="24"/>
  <c r="AL95" i="24"/>
  <c r="AL98" i="24"/>
  <c r="S8" i="24"/>
  <c r="Q8" i="24" s="1"/>
  <c r="Q19" i="24" s="1"/>
  <c r="U19" i="24"/>
  <c r="N10" i="28"/>
  <c r="O10" i="28"/>
  <c r="P3" i="24"/>
  <c r="E128" i="24"/>
  <c r="T68" i="24"/>
  <c r="T80" i="24" s="1"/>
  <c r="T116" i="24"/>
  <c r="T128" i="24" s="1"/>
  <c r="T117" i="24"/>
  <c r="T129" i="24" s="1"/>
  <c r="T135" i="24"/>
  <c r="T69" i="24"/>
  <c r="T81" i="24" s="1"/>
  <c r="T137" i="24"/>
  <c r="P8" i="24"/>
  <c r="G85" i="28" l="1"/>
  <c r="G78" i="28" s="1"/>
  <c r="G87" i="28"/>
  <c r="G80" i="28" s="1"/>
  <c r="F62" i="42" s="1"/>
  <c r="E100" i="28"/>
  <c r="E80" i="28"/>
  <c r="F63" i="42" s="1"/>
  <c r="E78" i="28"/>
  <c r="AB80" i="28"/>
  <c r="W87" i="28"/>
  <c r="W80" i="28" s="1"/>
  <c r="D58" i="36" s="1"/>
  <c r="W107" i="28"/>
  <c r="W100" i="28" s="1"/>
  <c r="AD80" i="28"/>
  <c r="Y85" i="28"/>
  <c r="Y78" i="28" s="1"/>
  <c r="AD85" i="28"/>
  <c r="AD78" i="28" s="1"/>
  <c r="Y107" i="28"/>
  <c r="Y100" i="28" s="1"/>
  <c r="AD107" i="28"/>
  <c r="AD100" i="28" s="1"/>
  <c r="AE87" i="28"/>
  <c r="E58" i="39" s="1"/>
  <c r="AA107" i="28"/>
  <c r="AA100" i="28" s="1"/>
  <c r="AA85" i="28"/>
  <c r="AA78" i="28" s="1"/>
  <c r="AE92" i="28"/>
  <c r="AE85" i="28" s="1"/>
  <c r="AE78" i="28" s="1"/>
  <c r="AE114" i="28"/>
  <c r="AE107" i="28" s="1"/>
  <c r="AE100" i="28" s="1"/>
  <c r="AC107" i="28"/>
  <c r="AC85" i="28"/>
  <c r="AB107" i="28"/>
  <c r="AB85" i="28"/>
  <c r="I12" i="25"/>
  <c r="I11" i="25"/>
  <c r="I5" i="26" s="1"/>
  <c r="I10" i="26" s="1"/>
  <c r="CL23" i="23"/>
  <c r="CL75" i="23" s="1"/>
  <c r="CL101" i="23" s="1"/>
  <c r="CL25" i="23"/>
  <c r="CL77" i="23" s="1"/>
  <c r="CL103" i="23" s="1"/>
  <c r="CL29" i="23"/>
  <c r="CL81" i="23" s="1"/>
  <c r="CL107" i="23" s="1"/>
  <c r="CL22" i="23"/>
  <c r="CL74" i="23" s="1"/>
  <c r="CL100" i="23" s="1"/>
  <c r="CL24" i="23"/>
  <c r="CL76" i="23" s="1"/>
  <c r="CL102" i="23" s="1"/>
  <c r="CL27" i="23"/>
  <c r="CL79" i="23" s="1"/>
  <c r="CL105" i="23" s="1"/>
  <c r="CL28" i="23"/>
  <c r="CL80" i="23" s="1"/>
  <c r="CL21" i="23"/>
  <c r="CL73" i="23" s="1"/>
  <c r="CL99" i="23" s="1"/>
  <c r="CL26" i="23"/>
  <c r="CL78" i="23" s="1"/>
  <c r="CL104" i="23" s="1"/>
  <c r="CL20" i="23"/>
  <c r="CL72" i="23" s="1"/>
  <c r="CK98" i="23"/>
  <c r="CK108" i="23" s="1"/>
  <c r="CK114" i="28" s="1"/>
  <c r="CK107" i="28" s="1"/>
  <c r="CK100" i="28" s="1"/>
  <c r="CK82" i="23"/>
  <c r="CK92" i="28" s="1"/>
  <c r="CK85" i="28" s="1"/>
  <c r="CK78" i="28" s="1"/>
  <c r="O12" i="25"/>
  <c r="O6" i="26" s="1"/>
  <c r="O7" i="28" s="1"/>
  <c r="O22" i="28" s="1"/>
  <c r="Q22" i="28"/>
  <c r="Q107" i="28" s="1"/>
  <c r="Q100" i="28" s="1"/>
  <c r="L9" i="25"/>
  <c r="L11" i="25" s="1"/>
  <c r="L5" i="26" s="1"/>
  <c r="L10" i="26" s="1"/>
  <c r="N12" i="25"/>
  <c r="N6" i="26" s="1"/>
  <c r="N7" i="28" s="1"/>
  <c r="N22" i="28" s="1"/>
  <c r="P22" i="28"/>
  <c r="P107" i="28" s="1"/>
  <c r="P100" i="28" s="1"/>
  <c r="P15" i="26"/>
  <c r="P94" i="28" s="1"/>
  <c r="Q15" i="26"/>
  <c r="Q94" i="28" s="1"/>
  <c r="U80" i="28"/>
  <c r="F57" i="42" s="1"/>
  <c r="U100" i="28"/>
  <c r="U78" i="28"/>
  <c r="R87" i="28"/>
  <c r="R80" i="28" s="1"/>
  <c r="F55" i="42" s="1"/>
  <c r="R85" i="28"/>
  <c r="R78" i="28" s="1"/>
  <c r="T22" i="28"/>
  <c r="T17" i="28"/>
  <c r="D102" i="28"/>
  <c r="C58" i="32" s="1"/>
  <c r="C58" i="38"/>
  <c r="J12" i="25"/>
  <c r="J11" i="25"/>
  <c r="K9" i="25"/>
  <c r="K6" i="28"/>
  <c r="M11" i="25"/>
  <c r="M5" i="26" s="1"/>
  <c r="M10" i="26" s="1"/>
  <c r="M12" i="25"/>
  <c r="M6" i="26" s="1"/>
  <c r="M7" i="28" s="1"/>
  <c r="BQ82" i="23"/>
  <c r="BQ92" i="28" s="1"/>
  <c r="BQ85" i="28" s="1"/>
  <c r="BQ78" i="28" s="1"/>
  <c r="BQ108" i="23"/>
  <c r="BQ114" i="28" s="1"/>
  <c r="BQ107" i="28" s="1"/>
  <c r="BQ100" i="28" s="1"/>
  <c r="DJ19" i="24"/>
  <c r="O70" i="27"/>
  <c r="O47" i="27" s="1"/>
  <c r="O69" i="27"/>
  <c r="O46" i="27" s="1"/>
  <c r="N69" i="27"/>
  <c r="N46" i="27" s="1"/>
  <c r="N70" i="27"/>
  <c r="N47" i="27" s="1"/>
  <c r="DW98" i="23"/>
  <c r="DW108" i="23" s="1"/>
  <c r="DW114" i="28" s="1"/>
  <c r="DW107" i="28" s="1"/>
  <c r="DW100" i="28" s="1"/>
  <c r="DW82" i="23"/>
  <c r="DW92" i="28" s="1"/>
  <c r="DW85" i="28" s="1"/>
  <c r="DW78" i="28" s="1"/>
  <c r="DC98" i="23"/>
  <c r="DC108" i="23" s="1"/>
  <c r="DC114" i="28" s="1"/>
  <c r="DC107" i="28" s="1"/>
  <c r="DC100" i="28" s="1"/>
  <c r="DC82" i="23"/>
  <c r="DC92" i="28" s="1"/>
  <c r="DC85" i="28" s="1"/>
  <c r="DC78" i="28" s="1"/>
  <c r="CZ82" i="23"/>
  <c r="CZ92" i="28" s="1"/>
  <c r="CZ85" i="28" s="1"/>
  <c r="CZ78" i="28" s="1"/>
  <c r="CZ98" i="23"/>
  <c r="CZ108" i="23" s="1"/>
  <c r="CZ114" i="28" s="1"/>
  <c r="CZ107" i="28" s="1"/>
  <c r="CZ100" i="28" s="1"/>
  <c r="DB98" i="23"/>
  <c r="DB108" i="23" s="1"/>
  <c r="DB114" i="28" s="1"/>
  <c r="DB107" i="28" s="1"/>
  <c r="DB100" i="28" s="1"/>
  <c r="DB82" i="23"/>
  <c r="DB92" i="28" s="1"/>
  <c r="DB85" i="28" s="1"/>
  <c r="DB78" i="28" s="1"/>
  <c r="DD7" i="26"/>
  <c r="DD10" i="26" s="1"/>
  <c r="DD22" i="28"/>
  <c r="DD17" i="28"/>
  <c r="DD98" i="23"/>
  <c r="DD108" i="23" s="1"/>
  <c r="DD114" i="28" s="1"/>
  <c r="DD82" i="23"/>
  <c r="DD92" i="28" s="1"/>
  <c r="S85" i="28"/>
  <c r="S78" i="28" s="1"/>
  <c r="S107" i="28"/>
  <c r="S100" i="28" s="1"/>
  <c r="S87" i="28"/>
  <c r="S80" i="28" s="1"/>
  <c r="F58" i="42" s="1"/>
  <c r="BJ85" i="28"/>
  <c r="BJ78" i="28" s="1"/>
  <c r="BJ107" i="28"/>
  <c r="BJ100" i="28" s="1"/>
  <c r="CG85" i="28"/>
  <c r="CG78" i="28" s="1"/>
  <c r="CG107" i="28"/>
  <c r="CG100" i="28" s="1"/>
  <c r="CB29" i="23"/>
  <c r="CB81" i="23" s="1"/>
  <c r="CB107" i="23" s="1"/>
  <c r="CC82" i="23"/>
  <c r="CC92" i="28" s="1"/>
  <c r="CC85" i="28" s="1"/>
  <c r="CC78" i="28" s="1"/>
  <c r="CC108" i="23"/>
  <c r="CC114" i="28" s="1"/>
  <c r="CC107" i="28" s="1"/>
  <c r="CC100" i="28" s="1"/>
  <c r="CU108" i="23"/>
  <c r="CU114" i="28" s="1"/>
  <c r="CU107" i="28" s="1"/>
  <c r="CU100" i="28" s="1"/>
  <c r="CQ82" i="23"/>
  <c r="CQ92" i="28" s="1"/>
  <c r="CQ85" i="28" s="1"/>
  <c r="CQ78" i="28" s="1"/>
  <c r="CU82" i="23"/>
  <c r="CU92" i="28" s="1"/>
  <c r="CU85" i="28" s="1"/>
  <c r="CU78" i="28" s="1"/>
  <c r="CQ108" i="23"/>
  <c r="CQ114" i="28" s="1"/>
  <c r="CQ107" i="28" s="1"/>
  <c r="CQ100" i="28" s="1"/>
  <c r="CB21" i="23"/>
  <c r="CB73" i="23" s="1"/>
  <c r="CB99" i="23" s="1"/>
  <c r="CW98" i="23"/>
  <c r="CW108" i="23" s="1"/>
  <c r="CW114" i="28" s="1"/>
  <c r="CW107" i="28" s="1"/>
  <c r="CW100" i="28" s="1"/>
  <c r="CW82" i="23"/>
  <c r="CW92" i="28" s="1"/>
  <c r="CW85" i="28" s="1"/>
  <c r="CW78" i="28" s="1"/>
  <c r="CB23" i="23"/>
  <c r="CB75" i="23" s="1"/>
  <c r="CB101" i="23" s="1"/>
  <c r="CB22" i="23"/>
  <c r="CB74" i="23" s="1"/>
  <c r="CB100" i="23" s="1"/>
  <c r="CB27" i="23"/>
  <c r="CB79" i="23" s="1"/>
  <c r="CB105" i="23" s="1"/>
  <c r="CB26" i="23"/>
  <c r="CB78" i="23" s="1"/>
  <c r="CB104" i="23" s="1"/>
  <c r="CB25" i="23"/>
  <c r="CB77" i="23" s="1"/>
  <c r="CB103" i="23" s="1"/>
  <c r="CB20" i="23"/>
  <c r="CB72" i="23" s="1"/>
  <c r="CB28" i="23"/>
  <c r="CB80" i="23" s="1"/>
  <c r="DR114" i="28"/>
  <c r="DR107" i="28" s="1"/>
  <c r="DR100" i="28" s="1"/>
  <c r="DR92" i="28"/>
  <c r="DR85" i="28" s="1"/>
  <c r="DR78" i="28" s="1"/>
  <c r="BX108" i="23"/>
  <c r="BX114" i="28" s="1"/>
  <c r="BX107" i="28" s="1"/>
  <c r="BX100" i="28" s="1"/>
  <c r="BY82" i="23"/>
  <c r="BY92" i="28" s="1"/>
  <c r="BY85" i="28" s="1"/>
  <c r="BY78" i="28" s="1"/>
  <c r="BY108" i="23"/>
  <c r="BY114" i="28" s="1"/>
  <c r="BY107" i="28" s="1"/>
  <c r="BY100" i="28" s="1"/>
  <c r="BX82" i="23"/>
  <c r="BX92" i="28" s="1"/>
  <c r="BX85" i="28" s="1"/>
  <c r="BX78" i="28" s="1"/>
  <c r="BW98" i="23"/>
  <c r="BW108" i="23" s="1"/>
  <c r="BW114" i="28" s="1"/>
  <c r="BW107" i="28" s="1"/>
  <c r="BW100" i="28" s="1"/>
  <c r="BW82" i="23"/>
  <c r="BW92" i="28" s="1"/>
  <c r="BW85" i="28" s="1"/>
  <c r="BW78" i="28" s="1"/>
  <c r="CA27" i="23"/>
  <c r="CA79" i="23" s="1"/>
  <c r="CA105" i="23" s="1"/>
  <c r="CA26" i="23"/>
  <c r="CA78" i="23" s="1"/>
  <c r="CA104" i="23" s="1"/>
  <c r="CA28" i="23"/>
  <c r="CA80" i="23" s="1"/>
  <c r="CA25" i="23"/>
  <c r="CA77" i="23" s="1"/>
  <c r="CA103" i="23" s="1"/>
  <c r="CA20" i="23"/>
  <c r="CA72" i="23" s="1"/>
  <c r="CA21" i="23"/>
  <c r="CA73" i="23" s="1"/>
  <c r="CA99" i="23" s="1"/>
  <c r="CA24" i="23"/>
  <c r="CA76" i="23" s="1"/>
  <c r="CA102" i="23" s="1"/>
  <c r="CA23" i="23"/>
  <c r="CA75" i="23" s="1"/>
  <c r="CA101" i="23" s="1"/>
  <c r="CA22" i="23"/>
  <c r="CA74" i="23" s="1"/>
  <c r="CA100" i="23" s="1"/>
  <c r="CA29" i="23"/>
  <c r="CA81" i="23" s="1"/>
  <c r="CA107" i="23" s="1"/>
  <c r="BV98" i="23"/>
  <c r="BV108" i="23" s="1"/>
  <c r="BV114" i="28" s="1"/>
  <c r="BV107" i="28" s="1"/>
  <c r="BV100" i="28" s="1"/>
  <c r="BV82" i="23"/>
  <c r="BV92" i="28" s="1"/>
  <c r="BV85" i="28" s="1"/>
  <c r="BV78" i="28" s="1"/>
  <c r="BU98" i="23"/>
  <c r="BU108" i="23" s="1"/>
  <c r="BU114" i="28" s="1"/>
  <c r="BU107" i="28" s="1"/>
  <c r="BU100" i="28" s="1"/>
  <c r="BU82" i="23"/>
  <c r="BU92" i="28" s="1"/>
  <c r="BU85" i="28" s="1"/>
  <c r="BU78" i="28" s="1"/>
  <c r="BH82" i="23"/>
  <c r="BH98" i="23"/>
  <c r="BH108" i="23" s="1"/>
  <c r="BF98" i="23"/>
  <c r="BF108" i="23" s="1"/>
  <c r="BF82" i="23"/>
  <c r="BG98" i="23"/>
  <c r="BG108" i="23" s="1"/>
  <c r="BG82" i="23"/>
  <c r="BL98" i="23"/>
  <c r="BL108" i="23" s="1"/>
  <c r="BL114" i="28" s="1"/>
  <c r="BL107" i="28" s="1"/>
  <c r="BL100" i="28" s="1"/>
  <c r="BL82" i="23"/>
  <c r="BL92" i="28" s="1"/>
  <c r="BL85" i="28" s="1"/>
  <c r="BL78" i="28" s="1"/>
  <c r="BM98" i="23"/>
  <c r="BM108" i="23" s="1"/>
  <c r="BM114" i="28" s="1"/>
  <c r="BM107" i="28" s="1"/>
  <c r="BM100" i="28" s="1"/>
  <c r="BM82" i="23"/>
  <c r="BM92" i="28" s="1"/>
  <c r="BM85" i="28" s="1"/>
  <c r="BM78" i="28" s="1"/>
  <c r="BS98" i="23"/>
  <c r="BS108" i="23" s="1"/>
  <c r="BS114" i="28" s="1"/>
  <c r="BS107" i="28" s="1"/>
  <c r="BS100" i="28" s="1"/>
  <c r="BS82" i="23"/>
  <c r="BS92" i="28" s="1"/>
  <c r="BS85" i="28" s="1"/>
  <c r="BS78" i="28" s="1"/>
  <c r="AS108" i="23"/>
  <c r="AS114" i="28" s="1"/>
  <c r="AS107" i="28" s="1"/>
  <c r="AS100" i="28" s="1"/>
  <c r="BP82" i="23"/>
  <c r="BP92" i="28" s="1"/>
  <c r="BP85" i="28" s="1"/>
  <c r="BP78" i="28" s="1"/>
  <c r="BP98" i="23"/>
  <c r="BP108" i="23" s="1"/>
  <c r="BP114" i="28" s="1"/>
  <c r="BP107" i="28" s="1"/>
  <c r="BP100" i="28" s="1"/>
  <c r="BR23" i="23"/>
  <c r="BR75" i="23" s="1"/>
  <c r="BR101" i="23" s="1"/>
  <c r="BR24" i="23"/>
  <c r="BR76" i="23" s="1"/>
  <c r="BR102" i="23" s="1"/>
  <c r="BR28" i="23"/>
  <c r="BR80" i="23" s="1"/>
  <c r="BR27" i="23"/>
  <c r="BR79" i="23" s="1"/>
  <c r="BR105" i="23" s="1"/>
  <c r="BR29" i="23"/>
  <c r="BR81" i="23" s="1"/>
  <c r="BR107" i="23" s="1"/>
  <c r="BR20" i="23"/>
  <c r="BR72" i="23" s="1"/>
  <c r="BR21" i="23"/>
  <c r="BR73" i="23" s="1"/>
  <c r="BR99" i="23" s="1"/>
  <c r="BR26" i="23"/>
  <c r="BR78" i="23" s="1"/>
  <c r="BR104" i="23" s="1"/>
  <c r="BR22" i="23"/>
  <c r="BR74" i="23" s="1"/>
  <c r="BR100" i="23" s="1"/>
  <c r="BR25" i="23"/>
  <c r="BR77" i="23" s="1"/>
  <c r="BR103" i="23" s="1"/>
  <c r="BK114" i="28"/>
  <c r="BK107" i="28" s="1"/>
  <c r="BK100" i="28" s="1"/>
  <c r="BK92" i="28"/>
  <c r="BK85" i="28" s="1"/>
  <c r="BK78" i="28" s="1"/>
  <c r="BN22" i="23"/>
  <c r="BN74" i="23" s="1"/>
  <c r="BN100" i="23" s="1"/>
  <c r="BN29" i="23"/>
  <c r="BN81" i="23" s="1"/>
  <c r="BN107" i="23" s="1"/>
  <c r="BN21" i="23"/>
  <c r="BN73" i="23" s="1"/>
  <c r="BN99" i="23" s="1"/>
  <c r="BN28" i="23"/>
  <c r="BN80" i="23" s="1"/>
  <c r="BN20" i="23"/>
  <c r="BN72" i="23" s="1"/>
  <c r="BN23" i="23"/>
  <c r="BN75" i="23" s="1"/>
  <c r="BN101" i="23" s="1"/>
  <c r="BN27" i="23"/>
  <c r="BN79" i="23" s="1"/>
  <c r="BN105" i="23" s="1"/>
  <c r="BN26" i="23"/>
  <c r="BN78" i="23" s="1"/>
  <c r="BN104" i="23" s="1"/>
  <c r="BN25" i="23"/>
  <c r="BN77" i="23" s="1"/>
  <c r="BN103" i="23" s="1"/>
  <c r="BN24" i="23"/>
  <c r="BN76" i="23" s="1"/>
  <c r="BN102" i="23" s="1"/>
  <c r="AS82" i="23"/>
  <c r="AS92" i="28" s="1"/>
  <c r="AS85" i="28" s="1"/>
  <c r="AS78" i="28" s="1"/>
  <c r="BT114" i="28"/>
  <c r="BT107" i="28" s="1"/>
  <c r="BT100" i="28" s="1"/>
  <c r="BT92" i="28"/>
  <c r="BT85" i="28" s="1"/>
  <c r="BT78" i="28" s="1"/>
  <c r="BO82" i="23"/>
  <c r="BO92" i="28" s="1"/>
  <c r="BO85" i="28" s="1"/>
  <c r="BO78" i="28" s="1"/>
  <c r="BO98" i="23"/>
  <c r="BO108" i="23" s="1"/>
  <c r="BO114" i="28" s="1"/>
  <c r="BO107" i="28" s="1"/>
  <c r="BO100" i="28" s="1"/>
  <c r="CP114" i="28"/>
  <c r="CP107" i="28" s="1"/>
  <c r="CP100" i="28" s="1"/>
  <c r="CP92" i="28"/>
  <c r="CP85" i="28" s="1"/>
  <c r="CP78" i="28" s="1"/>
  <c r="AW22" i="23"/>
  <c r="AW74" i="23" s="1"/>
  <c r="AW100" i="23" s="1"/>
  <c r="AW27" i="23"/>
  <c r="AW79" i="23" s="1"/>
  <c r="AW105" i="23" s="1"/>
  <c r="AW21" i="23"/>
  <c r="AW73" i="23" s="1"/>
  <c r="AW99" i="23" s="1"/>
  <c r="AW23" i="23"/>
  <c r="AW75" i="23" s="1"/>
  <c r="AW101" i="23" s="1"/>
  <c r="AW24" i="23"/>
  <c r="AW76" i="23" s="1"/>
  <c r="AW102" i="23" s="1"/>
  <c r="AW29" i="23"/>
  <c r="AW81" i="23" s="1"/>
  <c r="AW107" i="23" s="1"/>
  <c r="AV28" i="23"/>
  <c r="AV80" i="23" s="1"/>
  <c r="AV20" i="23"/>
  <c r="AV72" i="23" s="1"/>
  <c r="AV23" i="23"/>
  <c r="AV75" i="23" s="1"/>
  <c r="AV101" i="23" s="1"/>
  <c r="AV27" i="23"/>
  <c r="AV79" i="23" s="1"/>
  <c r="AV105" i="23" s="1"/>
  <c r="AV26" i="23"/>
  <c r="AV78" i="23" s="1"/>
  <c r="AV104" i="23" s="1"/>
  <c r="AV29" i="23"/>
  <c r="AV81" i="23" s="1"/>
  <c r="AV107" i="23" s="1"/>
  <c r="AV25" i="23"/>
  <c r="AV77" i="23" s="1"/>
  <c r="AV103" i="23" s="1"/>
  <c r="AV24" i="23"/>
  <c r="AV76" i="23" s="1"/>
  <c r="AV102" i="23" s="1"/>
  <c r="AV21" i="23"/>
  <c r="AV73" i="23" s="1"/>
  <c r="AV99" i="23" s="1"/>
  <c r="AV22" i="23"/>
  <c r="AV74" i="23" s="1"/>
  <c r="AV100" i="23" s="1"/>
  <c r="AU98" i="23"/>
  <c r="AU108" i="23" s="1"/>
  <c r="AU114" i="28" s="1"/>
  <c r="AU107" i="28" s="1"/>
  <c r="AU100" i="28" s="1"/>
  <c r="AU82" i="23"/>
  <c r="AU92" i="28" s="1"/>
  <c r="AU85" i="28" s="1"/>
  <c r="AU78" i="28" s="1"/>
  <c r="AW25" i="23"/>
  <c r="AW77" i="23" s="1"/>
  <c r="AW103" i="23" s="1"/>
  <c r="AW20" i="23"/>
  <c r="AW72" i="23" s="1"/>
  <c r="AW98" i="23" s="1"/>
  <c r="AW26" i="23"/>
  <c r="AW78" i="23" s="1"/>
  <c r="AW104" i="23" s="1"/>
  <c r="AU56" i="24"/>
  <c r="AU69" i="24" s="1"/>
  <c r="AU55" i="24"/>
  <c r="AU68" i="24" s="1"/>
  <c r="AU50" i="24"/>
  <c r="AU49" i="24"/>
  <c r="AU48" i="24"/>
  <c r="AU47" i="24"/>
  <c r="AU46" i="24"/>
  <c r="AU63" i="24"/>
  <c r="AU75" i="24" s="1"/>
  <c r="AU62" i="24"/>
  <c r="AU74" i="24" s="1"/>
  <c r="AU104" i="24"/>
  <c r="AU117" i="24" s="1"/>
  <c r="AU103" i="24"/>
  <c r="AU116" i="24" s="1"/>
  <c r="AU95" i="24"/>
  <c r="AU94" i="24"/>
  <c r="AU99" i="24"/>
  <c r="AU98" i="24"/>
  <c r="AU96" i="24"/>
  <c r="AU97" i="24"/>
  <c r="AU111" i="24"/>
  <c r="AU123" i="24" s="1"/>
  <c r="AU110" i="24"/>
  <c r="AU122" i="24" s="1"/>
  <c r="AL81" i="24"/>
  <c r="AL128" i="24"/>
  <c r="AX98" i="23"/>
  <c r="AX108" i="23" s="1"/>
  <c r="AX82" i="23"/>
  <c r="AO5" i="24"/>
  <c r="AO61" i="24" s="1"/>
  <c r="AM73" i="24"/>
  <c r="AM76" i="24" s="1"/>
  <c r="AM64" i="24"/>
  <c r="AM47" i="24"/>
  <c r="AM50" i="24"/>
  <c r="AM48" i="24"/>
  <c r="AM46" i="24"/>
  <c r="AM49" i="24"/>
  <c r="AM104" i="24"/>
  <c r="AM117" i="24" s="1"/>
  <c r="AM129" i="24" s="1"/>
  <c r="AM103" i="24"/>
  <c r="AM116" i="24" s="1"/>
  <c r="AM128" i="24" s="1"/>
  <c r="AM121" i="24"/>
  <c r="AM124" i="24" s="1"/>
  <c r="AM112" i="24"/>
  <c r="AL129" i="24"/>
  <c r="AM56" i="24"/>
  <c r="AM69" i="24" s="1"/>
  <c r="AM81" i="24" s="1"/>
  <c r="AM55" i="24"/>
  <c r="AM68" i="24" s="1"/>
  <c r="AM80" i="24" s="1"/>
  <c r="AN54" i="24"/>
  <c r="AN107" i="24"/>
  <c r="AN102" i="24"/>
  <c r="AN85" i="24"/>
  <c r="AN59" i="24"/>
  <c r="AN37" i="24"/>
  <c r="AL80" i="24"/>
  <c r="AM96" i="24"/>
  <c r="AM94" i="24"/>
  <c r="AM98" i="24"/>
  <c r="AM97" i="24"/>
  <c r="AM99" i="24"/>
  <c r="AM95" i="24"/>
  <c r="AN20" i="25"/>
  <c r="AN24" i="25"/>
  <c r="AN25" i="25"/>
  <c r="AN23" i="25"/>
  <c r="AN21" i="25"/>
  <c r="AN22" i="25"/>
  <c r="O3" i="24"/>
  <c r="M10" i="28"/>
  <c r="I10" i="28" s="1"/>
  <c r="O8" i="24"/>
  <c r="S19" i="24"/>
  <c r="N8" i="24"/>
  <c r="P19" i="24"/>
  <c r="P135" i="24"/>
  <c r="P116" i="24"/>
  <c r="P128" i="24" s="1"/>
  <c r="P117" i="24"/>
  <c r="P129" i="24" s="1"/>
  <c r="P69" i="24"/>
  <c r="P81" i="24" s="1"/>
  <c r="P137" i="24"/>
  <c r="P68" i="24"/>
  <c r="P80" i="24" s="1"/>
  <c r="N3" i="24"/>
  <c r="L10" i="28"/>
  <c r="J10" i="28"/>
  <c r="D58" i="39" l="1"/>
  <c r="AE80" i="28"/>
  <c r="E58" i="36" s="1"/>
  <c r="AB78" i="28"/>
  <c r="AB100" i="28"/>
  <c r="AC78" i="28"/>
  <c r="AC100" i="28"/>
  <c r="I3" i="24"/>
  <c r="I70" i="27"/>
  <c r="I47" i="27" s="1"/>
  <c r="I69" i="27"/>
  <c r="I46" i="27" s="1"/>
  <c r="I6" i="26"/>
  <c r="I7" i="28" s="1"/>
  <c r="O15" i="26"/>
  <c r="O94" i="28" s="1"/>
  <c r="O87" i="28" s="1"/>
  <c r="CL98" i="23"/>
  <c r="CL108" i="23" s="1"/>
  <c r="CL114" i="28" s="1"/>
  <c r="CL107" i="28" s="1"/>
  <c r="CL100" i="28" s="1"/>
  <c r="CL82" i="23"/>
  <c r="CL92" i="28" s="1"/>
  <c r="CL85" i="28" s="1"/>
  <c r="CL78" i="28" s="1"/>
  <c r="O17" i="28"/>
  <c r="Q85" i="28"/>
  <c r="Q78" i="28" s="1"/>
  <c r="Q87" i="28"/>
  <c r="Q80" i="28" s="1"/>
  <c r="F54" i="42" s="1"/>
  <c r="L12" i="25"/>
  <c r="L6" i="26" s="1"/>
  <c r="L7" i="28" s="1"/>
  <c r="L17" i="28" s="1"/>
  <c r="P85" i="28"/>
  <c r="P78" i="28" s="1"/>
  <c r="P87" i="28"/>
  <c r="P80" i="28" s="1"/>
  <c r="F61" i="42" s="1"/>
  <c r="N15" i="26"/>
  <c r="N94" i="28" s="1"/>
  <c r="N87" i="28" s="1"/>
  <c r="N17" i="28"/>
  <c r="T107" i="28"/>
  <c r="T100" i="28" s="1"/>
  <c r="T85" i="28"/>
  <c r="T78" i="28" s="1"/>
  <c r="T87" i="28"/>
  <c r="T80" i="28" s="1"/>
  <c r="F53" i="42" s="1"/>
  <c r="M15" i="26"/>
  <c r="M94" i="28" s="1"/>
  <c r="K11" i="25"/>
  <c r="K12" i="25"/>
  <c r="N107" i="28"/>
  <c r="N85" i="28"/>
  <c r="K5" i="26"/>
  <c r="K10" i="26" s="1"/>
  <c r="J5" i="26"/>
  <c r="J10" i="26" s="1"/>
  <c r="M22" i="28"/>
  <c r="M17" i="28"/>
  <c r="K6" i="26"/>
  <c r="J6" i="26"/>
  <c r="L70" i="27"/>
  <c r="L47" i="27" s="1"/>
  <c r="L69" i="27"/>
  <c r="L46" i="27" s="1"/>
  <c r="J3" i="24"/>
  <c r="J135" i="24" s="1"/>
  <c r="J70" i="27"/>
  <c r="J47" i="27" s="1"/>
  <c r="J69" i="27"/>
  <c r="J46" i="27" s="1"/>
  <c r="M70" i="27"/>
  <c r="M47" i="27" s="1"/>
  <c r="M69" i="27"/>
  <c r="M46" i="27" s="1"/>
  <c r="DD107" i="28"/>
  <c r="DD100" i="28" s="1"/>
  <c r="DD85" i="28"/>
  <c r="DD78" i="28" s="1"/>
  <c r="O85" i="28"/>
  <c r="O107" i="28"/>
  <c r="CB82" i="23"/>
  <c r="CB92" i="28" s="1"/>
  <c r="CB85" i="28" s="1"/>
  <c r="CB78" i="28" s="1"/>
  <c r="CB98" i="23"/>
  <c r="CB108" i="23" s="1"/>
  <c r="CB114" i="28" s="1"/>
  <c r="CB107" i="28" s="1"/>
  <c r="CB100" i="28" s="1"/>
  <c r="CA98" i="23"/>
  <c r="CA108" i="23" s="1"/>
  <c r="CA114" i="28" s="1"/>
  <c r="CA107" i="28" s="1"/>
  <c r="CA100" i="28" s="1"/>
  <c r="CA82" i="23"/>
  <c r="CA92" i="28" s="1"/>
  <c r="CA85" i="28" s="1"/>
  <c r="CA78" i="28" s="1"/>
  <c r="BG114" i="28"/>
  <c r="BG107" i="28" s="1"/>
  <c r="BG100" i="28" s="1"/>
  <c r="BF92" i="28"/>
  <c r="BF85" i="28" s="1"/>
  <c r="BF78" i="28" s="1"/>
  <c r="BH114" i="28"/>
  <c r="BH107" i="28" s="1"/>
  <c r="BH100" i="28" s="1"/>
  <c r="BH92" i="28"/>
  <c r="BH85" i="28" s="1"/>
  <c r="BH78" i="28" s="1"/>
  <c r="BF114" i="28"/>
  <c r="BF107" i="28" s="1"/>
  <c r="BF100" i="28" s="1"/>
  <c r="BG92" i="28"/>
  <c r="BG85" i="28" s="1"/>
  <c r="BG78" i="28" s="1"/>
  <c r="BR98" i="23"/>
  <c r="BR108" i="23" s="1"/>
  <c r="BR114" i="28" s="1"/>
  <c r="BR107" i="28" s="1"/>
  <c r="BR100" i="28" s="1"/>
  <c r="BR82" i="23"/>
  <c r="BR92" i="28" s="1"/>
  <c r="BR85" i="28" s="1"/>
  <c r="BR78" i="28" s="1"/>
  <c r="BN98" i="23"/>
  <c r="BN108" i="23" s="1"/>
  <c r="BN114" i="28" s="1"/>
  <c r="BN107" i="28" s="1"/>
  <c r="BN100" i="28" s="1"/>
  <c r="BN82" i="23"/>
  <c r="BN92" i="28" s="1"/>
  <c r="BN85" i="28" s="1"/>
  <c r="BN78" i="28" s="1"/>
  <c r="AX92" i="28"/>
  <c r="AX85" i="28" s="1"/>
  <c r="AX78" i="28" s="1"/>
  <c r="AX114" i="28"/>
  <c r="AX107" i="28" s="1"/>
  <c r="AX100" i="28" s="1"/>
  <c r="AW82" i="23"/>
  <c r="AW92" i="28" s="1"/>
  <c r="AW85" i="28" s="1"/>
  <c r="AW78" i="28" s="1"/>
  <c r="AW108" i="23"/>
  <c r="AW114" i="28" s="1"/>
  <c r="AW107" i="28" s="1"/>
  <c r="AW100" i="28" s="1"/>
  <c r="AV82" i="23"/>
  <c r="AV92" i="28" s="1"/>
  <c r="AV85" i="28" s="1"/>
  <c r="AV78" i="28" s="1"/>
  <c r="AV98" i="23"/>
  <c r="AV108" i="23" s="1"/>
  <c r="AV114" i="28" s="1"/>
  <c r="AV107" i="28" s="1"/>
  <c r="AV100" i="28" s="1"/>
  <c r="AU129" i="24"/>
  <c r="AU128" i="24"/>
  <c r="AU80" i="24"/>
  <c r="AU81" i="24"/>
  <c r="AN50" i="24"/>
  <c r="AN49" i="24"/>
  <c r="AN48" i="24"/>
  <c r="AN47" i="24"/>
  <c r="AN46" i="24"/>
  <c r="AN62" i="24"/>
  <c r="AN74" i="24" s="1"/>
  <c r="AN63" i="24"/>
  <c r="AN75" i="24" s="1"/>
  <c r="AN99" i="24"/>
  <c r="AN98" i="24"/>
  <c r="AN96" i="24"/>
  <c r="AN97" i="24"/>
  <c r="AN94" i="24"/>
  <c r="AN95" i="24"/>
  <c r="AN104" i="24"/>
  <c r="AN117" i="24" s="1"/>
  <c r="AN103" i="24"/>
  <c r="AN116" i="24" s="1"/>
  <c r="AN111" i="24"/>
  <c r="AN123" i="24" s="1"/>
  <c r="AN110" i="24"/>
  <c r="AN122" i="24" s="1"/>
  <c r="AN56" i="24"/>
  <c r="AN69" i="24" s="1"/>
  <c r="AN55" i="24"/>
  <c r="AN68" i="24" s="1"/>
  <c r="AP5" i="24"/>
  <c r="AO102" i="24"/>
  <c r="AO85" i="24"/>
  <c r="AO59" i="24"/>
  <c r="AO54" i="24"/>
  <c r="AO107" i="24"/>
  <c r="AO109" i="24" s="1"/>
  <c r="AO37" i="24"/>
  <c r="L8" i="24"/>
  <c r="N19" i="24"/>
  <c r="F10" i="28"/>
  <c r="M3" i="24"/>
  <c r="K10" i="28"/>
  <c r="H10" i="28"/>
  <c r="O135" i="24"/>
  <c r="O68" i="24"/>
  <c r="O80" i="24" s="1"/>
  <c r="O116" i="24"/>
  <c r="O128" i="24" s="1"/>
  <c r="O69" i="24"/>
  <c r="O81" i="24" s="1"/>
  <c r="O137" i="24"/>
  <c r="O117" i="24"/>
  <c r="O129" i="24" s="1"/>
  <c r="L3" i="24"/>
  <c r="G10" i="28"/>
  <c r="N135" i="24"/>
  <c r="N117" i="24"/>
  <c r="N129" i="24" s="1"/>
  <c r="N69" i="24"/>
  <c r="N81" i="24" s="1"/>
  <c r="N116" i="24"/>
  <c r="N128" i="24" s="1"/>
  <c r="N137" i="24"/>
  <c r="N68" i="24"/>
  <c r="N80" i="24" s="1"/>
  <c r="M8" i="24"/>
  <c r="O19" i="24"/>
  <c r="I15" i="26" l="1"/>
  <c r="I69" i="24"/>
  <c r="I81" i="24" s="1"/>
  <c r="I116" i="24"/>
  <c r="I128" i="24" s="1"/>
  <c r="I68" i="24"/>
  <c r="I80" i="24" s="1"/>
  <c r="I117" i="24"/>
  <c r="I129" i="24" s="1"/>
  <c r="I137" i="24"/>
  <c r="I135" i="24"/>
  <c r="I17" i="28"/>
  <c r="I22" i="28"/>
  <c r="O78" i="28"/>
  <c r="O80" i="28"/>
  <c r="F49" i="42" s="1"/>
  <c r="O100" i="28"/>
  <c r="N100" i="28"/>
  <c r="L22" i="28"/>
  <c r="L107" i="28" s="1"/>
  <c r="L100" i="28" s="1"/>
  <c r="L15" i="26"/>
  <c r="L94" i="28" s="1"/>
  <c r="N78" i="28"/>
  <c r="N80" i="28"/>
  <c r="F59" i="42" s="1"/>
  <c r="J68" i="24"/>
  <c r="J80" i="24" s="1"/>
  <c r="J116" i="24"/>
  <c r="J128" i="24" s="1"/>
  <c r="J117" i="24"/>
  <c r="J129" i="24" s="1"/>
  <c r="M87" i="28"/>
  <c r="M80" i="28" s="1"/>
  <c r="F52" i="42" s="1"/>
  <c r="J137" i="24"/>
  <c r="J7" i="28"/>
  <c r="K7" i="28"/>
  <c r="M107" i="28"/>
  <c r="M100" i="28" s="1"/>
  <c r="M85" i="28"/>
  <c r="M78" i="28" s="1"/>
  <c r="K15" i="26"/>
  <c r="K94" i="28" s="1"/>
  <c r="J69" i="24"/>
  <c r="J81" i="24" s="1"/>
  <c r="H3" i="24"/>
  <c r="H137" i="24" s="1"/>
  <c r="H69" i="27"/>
  <c r="H46" i="27" s="1"/>
  <c r="H70" i="27"/>
  <c r="H47" i="27" s="1"/>
  <c r="K3" i="24"/>
  <c r="K69" i="24" s="1"/>
  <c r="K81" i="24" s="1"/>
  <c r="K70" i="27"/>
  <c r="K47" i="27" s="1"/>
  <c r="K69" i="27"/>
  <c r="K46" i="27" s="1"/>
  <c r="G3" i="24"/>
  <c r="G69" i="24" s="1"/>
  <c r="G81" i="24" s="1"/>
  <c r="G70" i="27"/>
  <c r="G47" i="27" s="1"/>
  <c r="G69" i="27"/>
  <c r="G46" i="27" s="1"/>
  <c r="F3" i="24"/>
  <c r="F135" i="24" s="1"/>
  <c r="F70" i="27"/>
  <c r="F47" i="27" s="1"/>
  <c r="F69" i="27"/>
  <c r="F46" i="27" s="1"/>
  <c r="AN128" i="24"/>
  <c r="AN80" i="24"/>
  <c r="AO55" i="24"/>
  <c r="AO68" i="24" s="1"/>
  <c r="AO80" i="24" s="1"/>
  <c r="AO56" i="24"/>
  <c r="AO69" i="24" s="1"/>
  <c r="AO81" i="24" s="1"/>
  <c r="AN81" i="24"/>
  <c r="AO99" i="24"/>
  <c r="AO94" i="24"/>
  <c r="AO97" i="24"/>
  <c r="AO95" i="24"/>
  <c r="AO98" i="24"/>
  <c r="AO96" i="24"/>
  <c r="AO104" i="24"/>
  <c r="AO117" i="24" s="1"/>
  <c r="AO129" i="24" s="1"/>
  <c r="AO103" i="24"/>
  <c r="AO116" i="24" s="1"/>
  <c r="AO128" i="24" s="1"/>
  <c r="AO46" i="24"/>
  <c r="AO49" i="24"/>
  <c r="AO47" i="24"/>
  <c r="AO50" i="24"/>
  <c r="AO48" i="24"/>
  <c r="AO73" i="24"/>
  <c r="AO76" i="24" s="1"/>
  <c r="AO64" i="24"/>
  <c r="AQ5" i="24"/>
  <c r="AR5" i="24"/>
  <c r="AN129" i="24"/>
  <c r="AO121" i="24"/>
  <c r="AO124" i="24" s="1"/>
  <c r="AO112" i="24"/>
  <c r="AP85" i="24"/>
  <c r="AP59" i="24"/>
  <c r="AP107" i="24"/>
  <c r="AP102" i="24"/>
  <c r="AP54" i="24"/>
  <c r="AP37" i="24"/>
  <c r="L19" i="24"/>
  <c r="J8" i="24"/>
  <c r="M69" i="24"/>
  <c r="M81" i="24" s="1"/>
  <c r="M68" i="24"/>
  <c r="M80" i="24" s="1"/>
  <c r="M135" i="24"/>
  <c r="M116" i="24"/>
  <c r="M128" i="24" s="1"/>
  <c r="M137" i="24"/>
  <c r="M117" i="24"/>
  <c r="M129" i="24" s="1"/>
  <c r="K8" i="24"/>
  <c r="I8" i="24" s="1"/>
  <c r="I19" i="24" s="1"/>
  <c r="M19" i="24"/>
  <c r="L137" i="24"/>
  <c r="L117" i="24"/>
  <c r="L129" i="24" s="1"/>
  <c r="L135" i="24"/>
  <c r="L68" i="24"/>
  <c r="L80" i="24" s="1"/>
  <c r="L116" i="24"/>
  <c r="L128" i="24" s="1"/>
  <c r="L69" i="24"/>
  <c r="L81" i="24" s="1"/>
  <c r="C4" i="22"/>
  <c r="D4" i="22"/>
  <c r="C5" i="22"/>
  <c r="D5" i="22"/>
  <c r="C9" i="22"/>
  <c r="O58" i="22" s="1"/>
  <c r="D9" i="22"/>
  <c r="E9" i="22" s="1"/>
  <c r="E45" i="22" s="1"/>
  <c r="F9" i="22"/>
  <c r="G9" i="22" s="1"/>
  <c r="C10" i="22"/>
  <c r="H46" i="22" s="1"/>
  <c r="I46" i="22" s="1"/>
  <c r="D10" i="22"/>
  <c r="E10" i="22" s="1"/>
  <c r="E46" i="22" s="1"/>
  <c r="F46" i="22" s="1"/>
  <c r="F10" i="22"/>
  <c r="G10" i="22" s="1"/>
  <c r="C11" i="22"/>
  <c r="O60" i="22" s="1"/>
  <c r="D11" i="22"/>
  <c r="E11" i="22" s="1"/>
  <c r="E47" i="22" s="1"/>
  <c r="F11" i="22"/>
  <c r="G11" i="22" s="1"/>
  <c r="C12" i="22"/>
  <c r="H49" i="22" s="1"/>
  <c r="I49" i="22" s="1"/>
  <c r="L62" i="22" s="1"/>
  <c r="I62" i="22" s="1"/>
  <c r="K62" i="22" s="1"/>
  <c r="D12" i="22"/>
  <c r="E12" i="22" s="1"/>
  <c r="E49" i="22" s="1"/>
  <c r="F12" i="22"/>
  <c r="G12" i="22" s="1"/>
  <c r="C13" i="22"/>
  <c r="O61" i="22" s="1"/>
  <c r="D13" i="22"/>
  <c r="E13" i="22" s="1"/>
  <c r="E48" i="22" s="1"/>
  <c r="F13" i="22"/>
  <c r="G13" i="22" s="1"/>
  <c r="D57" i="22"/>
  <c r="F57" i="22"/>
  <c r="G57" i="22" s="1"/>
  <c r="Q57" i="22"/>
  <c r="R57" i="22" s="1"/>
  <c r="S57" i="22"/>
  <c r="T57" i="22" s="1"/>
  <c r="D59" i="22"/>
  <c r="H59" i="22" s="1"/>
  <c r="Q59" i="22"/>
  <c r="R59" i="22" s="1"/>
  <c r="V59" i="22" s="1"/>
  <c r="X59" i="22" s="1"/>
  <c r="CD33" i="25" s="1"/>
  <c r="D61" i="22"/>
  <c r="N61" i="22" s="1"/>
  <c r="Q61" i="22"/>
  <c r="U61" i="22" s="1"/>
  <c r="DV32" i="25" l="1"/>
  <c r="DV41" i="25" s="1"/>
  <c r="DV45" i="25" s="1"/>
  <c r="DS32" i="25"/>
  <c r="DS41" i="25" s="1"/>
  <c r="DS45" i="25" s="1"/>
  <c r="X32" i="25"/>
  <c r="X41" i="25" s="1"/>
  <c r="X45" i="25" s="1"/>
  <c r="X115" i="28" s="1"/>
  <c r="X108" i="28" s="1"/>
  <c r="X101" i="28" s="1"/>
  <c r="AB32" i="25"/>
  <c r="AB41" i="25" s="1"/>
  <c r="AB45" i="25" s="1"/>
  <c r="AB115" i="28" s="1"/>
  <c r="AB108" i="28" s="1"/>
  <c r="AB101" i="28" s="1"/>
  <c r="AA32" i="25"/>
  <c r="AA41" i="25" s="1"/>
  <c r="AA45" i="25" s="1"/>
  <c r="AA115" i="28" s="1"/>
  <c r="AA108" i="28" s="1"/>
  <c r="AA101" i="28" s="1"/>
  <c r="AC32" i="25"/>
  <c r="AC41" i="25" s="1"/>
  <c r="AC45" i="25" s="1"/>
  <c r="AC115" i="28" s="1"/>
  <c r="AC108" i="28" s="1"/>
  <c r="AC101" i="28" s="1"/>
  <c r="Z32" i="25"/>
  <c r="Z41" i="25" s="1"/>
  <c r="Z45" i="25" s="1"/>
  <c r="Z115" i="28" s="1"/>
  <c r="Z108" i="28" s="1"/>
  <c r="Z101" i="28" s="1"/>
  <c r="Y32" i="25"/>
  <c r="Y41" i="25" s="1"/>
  <c r="Y45" i="25" s="1"/>
  <c r="Y115" i="28" s="1"/>
  <c r="Y108" i="28" s="1"/>
  <c r="Y101" i="28" s="1"/>
  <c r="AD32" i="25"/>
  <c r="AD41" i="25" s="1"/>
  <c r="AD45" i="25" s="1"/>
  <c r="AD115" i="28" s="1"/>
  <c r="AD108" i="28" s="1"/>
  <c r="AD101" i="28" s="1"/>
  <c r="I32" i="25"/>
  <c r="I41" i="25" s="1"/>
  <c r="I45" i="25" s="1"/>
  <c r="I115" i="28" s="1"/>
  <c r="I108" i="28" s="1"/>
  <c r="I101" i="28" s="1"/>
  <c r="I107" i="28"/>
  <c r="I100" i="28" s="1"/>
  <c r="I85" i="28"/>
  <c r="I78" i="28" s="1"/>
  <c r="DE27" i="25"/>
  <c r="CI27" i="25"/>
  <c r="CH27" i="25"/>
  <c r="DF27" i="25"/>
  <c r="CJ27" i="25"/>
  <c r="CZ27" i="25"/>
  <c r="CY27" i="25"/>
  <c r="DA27" i="25"/>
  <c r="AE32" i="25"/>
  <c r="AE41" i="25" s="1"/>
  <c r="AE45" i="25" s="1"/>
  <c r="CI32" i="25"/>
  <c r="CI41" i="25" s="1"/>
  <c r="CI45" i="25" s="1"/>
  <c r="DJ32" i="25"/>
  <c r="DJ41" i="25" s="1"/>
  <c r="CL32" i="25"/>
  <c r="CL41" i="25" s="1"/>
  <c r="CL45" i="25" s="1"/>
  <c r="DF32" i="25"/>
  <c r="DF41" i="25" s="1"/>
  <c r="DH32" i="25"/>
  <c r="DH41" i="25" s="1"/>
  <c r="DE32" i="25"/>
  <c r="DE41" i="25" s="1"/>
  <c r="DE45" i="25" s="1"/>
  <c r="CJ32" i="25"/>
  <c r="CJ41" i="25" s="1"/>
  <c r="CJ45" i="25" s="1"/>
  <c r="CH32" i="25"/>
  <c r="CH41" i="25" s="1"/>
  <c r="CH45" i="25" s="1"/>
  <c r="CM32" i="25"/>
  <c r="CM41" i="25" s="1"/>
  <c r="CK32" i="25"/>
  <c r="CK41" i="25" s="1"/>
  <c r="CK45" i="25" s="1"/>
  <c r="DI32" i="25"/>
  <c r="DI41" i="25" s="1"/>
  <c r="DD32" i="25"/>
  <c r="DD41" i="25" s="1"/>
  <c r="DA32" i="25"/>
  <c r="DA41" i="25" s="1"/>
  <c r="CY32" i="25"/>
  <c r="CY41" i="25" s="1"/>
  <c r="CY45" i="25" s="1"/>
  <c r="CY115" i="28" s="1"/>
  <c r="DB32" i="25"/>
  <c r="DB41" i="25" s="1"/>
  <c r="DB45" i="25" s="1"/>
  <c r="CZ32" i="25"/>
  <c r="CZ41" i="25" s="1"/>
  <c r="CZ45" i="25" s="1"/>
  <c r="DC32" i="25"/>
  <c r="DC41" i="25" s="1"/>
  <c r="DC45" i="25" s="1"/>
  <c r="L85" i="28"/>
  <c r="L78" i="28" s="1"/>
  <c r="L87" i="28"/>
  <c r="L80" i="28" s="1"/>
  <c r="F60" i="42" s="1"/>
  <c r="K135" i="24"/>
  <c r="K137" i="24"/>
  <c r="K68" i="24"/>
  <c r="K80" i="24" s="1"/>
  <c r="K116" i="24"/>
  <c r="K128" i="24" s="1"/>
  <c r="H68" i="24"/>
  <c r="H80" i="24" s="1"/>
  <c r="K17" i="28"/>
  <c r="K22" i="28"/>
  <c r="J17" i="28"/>
  <c r="J22" i="28"/>
  <c r="F137" i="24"/>
  <c r="G137" i="24"/>
  <c r="G135" i="24"/>
  <c r="F116" i="24"/>
  <c r="F128" i="24" s="1"/>
  <c r="H135" i="24"/>
  <c r="F68" i="24"/>
  <c r="F80" i="24" s="1"/>
  <c r="K117" i="24"/>
  <c r="K129" i="24" s="1"/>
  <c r="H117" i="24"/>
  <c r="H129" i="24" s="1"/>
  <c r="F69" i="24"/>
  <c r="F81" i="24" s="1"/>
  <c r="H116" i="24"/>
  <c r="H128" i="24" s="1"/>
  <c r="F117" i="24"/>
  <c r="F129" i="24" s="1"/>
  <c r="H69" i="24"/>
  <c r="H81" i="24" s="1"/>
  <c r="G117" i="24"/>
  <c r="G129" i="24" s="1"/>
  <c r="G68" i="24"/>
  <c r="G80" i="24" s="1"/>
  <c r="G116" i="24"/>
  <c r="G128" i="24" s="1"/>
  <c r="H61" i="22"/>
  <c r="DK27" i="25"/>
  <c r="DN27" i="25"/>
  <c r="DP27" i="25"/>
  <c r="DL27" i="25"/>
  <c r="DO27" i="25"/>
  <c r="DM27" i="25"/>
  <c r="BX32" i="25"/>
  <c r="BX41" i="25" s="1"/>
  <c r="BX45" i="25" s="1"/>
  <c r="BY32" i="25"/>
  <c r="BY41" i="25" s="1"/>
  <c r="BY45" i="25" s="1"/>
  <c r="BP32" i="25"/>
  <c r="BP41" i="25" s="1"/>
  <c r="BP45" i="25" s="1"/>
  <c r="BO32" i="25"/>
  <c r="BO41" i="25" s="1"/>
  <c r="BO45" i="25" s="1"/>
  <c r="BE27" i="25"/>
  <c r="BC27" i="25"/>
  <c r="BH27" i="25"/>
  <c r="BF27" i="25"/>
  <c r="BG27" i="25"/>
  <c r="BD27" i="25"/>
  <c r="AR54" i="24"/>
  <c r="AR37" i="24"/>
  <c r="AR85" i="24"/>
  <c r="AR59" i="24"/>
  <c r="AR102" i="24"/>
  <c r="AR107" i="24"/>
  <c r="Y59" i="22"/>
  <c r="AA59" i="22" s="1"/>
  <c r="AY33" i="25"/>
  <c r="AS32" i="25"/>
  <c r="AS41" i="25" s="1"/>
  <c r="AS45" i="25" s="1"/>
  <c r="AT32" i="25"/>
  <c r="AT41" i="25" s="1"/>
  <c r="AT45" i="25" s="1"/>
  <c r="AS5" i="24"/>
  <c r="AT5" i="24"/>
  <c r="AV5" i="24"/>
  <c r="E61" i="22"/>
  <c r="I61" i="22" s="1"/>
  <c r="K61" i="22" s="1"/>
  <c r="O62" i="22"/>
  <c r="O59" i="22"/>
  <c r="R61" i="22"/>
  <c r="V61" i="22" s="1"/>
  <c r="X61" i="22" s="1"/>
  <c r="Y61" i="22" s="1"/>
  <c r="E59" i="22"/>
  <c r="I59" i="22" s="1"/>
  <c r="K59" i="22" s="1"/>
  <c r="L59" i="22" s="1"/>
  <c r="CD29" i="25" s="1"/>
  <c r="H9" i="22"/>
  <c r="H47" i="22"/>
  <c r="I47" i="22" s="1"/>
  <c r="H10" i="22"/>
  <c r="AP104" i="24"/>
  <c r="AP117" i="24" s="1"/>
  <c r="AP103" i="24"/>
  <c r="AP116" i="24" s="1"/>
  <c r="H11" i="22"/>
  <c r="AP110" i="24"/>
  <c r="AP122" i="24" s="1"/>
  <c r="AP111" i="24"/>
  <c r="AP123" i="24" s="1"/>
  <c r="AX5" i="24"/>
  <c r="H13" i="22"/>
  <c r="H48" i="22"/>
  <c r="I48" i="22" s="1"/>
  <c r="L61" i="22" s="1"/>
  <c r="U59" i="22"/>
  <c r="H45" i="22"/>
  <c r="I45" i="22" s="1"/>
  <c r="AQ37" i="24"/>
  <c r="AQ85" i="24"/>
  <c r="AQ59" i="24"/>
  <c r="AQ107" i="24"/>
  <c r="AQ54" i="24"/>
  <c r="AQ102" i="24"/>
  <c r="AP63" i="24"/>
  <c r="AP75" i="24" s="1"/>
  <c r="AP62" i="24"/>
  <c r="AP74" i="24" s="1"/>
  <c r="AP98" i="24"/>
  <c r="AP99" i="24"/>
  <c r="AP97" i="24"/>
  <c r="AP94" i="24"/>
  <c r="AP95" i="24"/>
  <c r="AP96" i="24"/>
  <c r="AP47" i="24"/>
  <c r="AP50" i="24"/>
  <c r="AP48" i="24"/>
  <c r="AP49" i="24"/>
  <c r="AP46" i="24"/>
  <c r="H12" i="22"/>
  <c r="AP55" i="24"/>
  <c r="AP68" i="24" s="1"/>
  <c r="AP56" i="24"/>
  <c r="AP69" i="24" s="1"/>
  <c r="V57" i="22"/>
  <c r="X57" i="22" s="1"/>
  <c r="H57" i="22"/>
  <c r="J19" i="24"/>
  <c r="G8" i="24"/>
  <c r="N59" i="22"/>
  <c r="K19" i="24"/>
  <c r="H8" i="24"/>
  <c r="U57" i="22"/>
  <c r="E57" i="22"/>
  <c r="I57" i="22" s="1"/>
  <c r="K57" i="22" s="1"/>
  <c r="L57" i="22" s="1"/>
  <c r="AA60" i="22"/>
  <c r="AA62" i="22" s="1"/>
  <c r="Y62" i="22" s="1"/>
  <c r="X62" i="22" s="1"/>
  <c r="V62" i="22" s="1"/>
  <c r="F47" i="22"/>
  <c r="F32" i="25"/>
  <c r="F41" i="25" s="1"/>
  <c r="AG32" i="25"/>
  <c r="AG41" i="25" s="1"/>
  <c r="AK32" i="25"/>
  <c r="AK41" i="25" s="1"/>
  <c r="AO32" i="25"/>
  <c r="AO41" i="25" s="1"/>
  <c r="AO45" i="25" s="1"/>
  <c r="V32" i="25"/>
  <c r="V41" i="25" s="1"/>
  <c r="AH32" i="25"/>
  <c r="AH41" i="25" s="1"/>
  <c r="AL32" i="25"/>
  <c r="AL41" i="25" s="1"/>
  <c r="AP32" i="25"/>
  <c r="AP41" i="25" s="1"/>
  <c r="AP45" i="25" s="1"/>
  <c r="AI32" i="25"/>
  <c r="AI41" i="25" s="1"/>
  <c r="AM32" i="25"/>
  <c r="AM41" i="25" s="1"/>
  <c r="AQ32" i="25"/>
  <c r="AQ41" i="25" s="1"/>
  <c r="AQ45" i="25" s="1"/>
  <c r="E32" i="25"/>
  <c r="E41" i="25" s="1"/>
  <c r="AJ32" i="25"/>
  <c r="AJ41" i="25" s="1"/>
  <c r="AN32" i="25"/>
  <c r="AN41" i="25" s="1"/>
  <c r="F45" i="22"/>
  <c r="AA58" i="22"/>
  <c r="AA61" i="22"/>
  <c r="I12" i="22"/>
  <c r="J12" i="22" s="1"/>
  <c r="I11" i="22"/>
  <c r="J11" i="22" s="1"/>
  <c r="DQ27" i="25"/>
  <c r="DR27" i="25"/>
  <c r="H62" i="22"/>
  <c r="I13" i="22"/>
  <c r="J13" i="22" s="1"/>
  <c r="I10" i="22"/>
  <c r="J10" i="22" s="1"/>
  <c r="E62" i="22"/>
  <c r="D62" i="22" s="1"/>
  <c r="N62" i="22" s="1"/>
  <c r="I9" i="22"/>
  <c r="J9" i="22" s="1"/>
  <c r="AK27" i="25"/>
  <c r="AQ27" i="25"/>
  <c r="CN27" i="25"/>
  <c r="CT27" i="25"/>
  <c r="AM27" i="25"/>
  <c r="BJ27" i="25"/>
  <c r="CS27" i="25"/>
  <c r="AO27" i="25"/>
  <c r="BK27" i="25"/>
  <c r="CU27" i="25"/>
  <c r="AP27" i="25"/>
  <c r="CO27" i="25"/>
  <c r="BI27" i="25"/>
  <c r="CP27" i="25"/>
  <c r="DV28" i="25" l="1"/>
  <c r="DV43" i="25" s="1"/>
  <c r="DS28" i="25"/>
  <c r="DS43" i="25" s="1"/>
  <c r="AA28" i="25"/>
  <c r="AA43" i="25" s="1"/>
  <c r="AA93" i="28" s="1"/>
  <c r="AA86" i="28" s="1"/>
  <c r="AA79" i="28" s="1"/>
  <c r="X28" i="25"/>
  <c r="X43" i="25" s="1"/>
  <c r="X93" i="28" s="1"/>
  <c r="X86" i="28" s="1"/>
  <c r="X79" i="28" s="1"/>
  <c r="AB28" i="25"/>
  <c r="AB43" i="25" s="1"/>
  <c r="AB93" i="28" s="1"/>
  <c r="AB86" i="28" s="1"/>
  <c r="AB79" i="28" s="1"/>
  <c r="Y28" i="25"/>
  <c r="Y43" i="25" s="1"/>
  <c r="Y93" i="28" s="1"/>
  <c r="Y86" i="28" s="1"/>
  <c r="Y79" i="28" s="1"/>
  <c r="AC28" i="25"/>
  <c r="AC43" i="25" s="1"/>
  <c r="AC93" i="28" s="1"/>
  <c r="AC86" i="28" s="1"/>
  <c r="AC79" i="28" s="1"/>
  <c r="Z28" i="25"/>
  <c r="Z43" i="25" s="1"/>
  <c r="Z93" i="28" s="1"/>
  <c r="Z86" i="28" s="1"/>
  <c r="Z79" i="28" s="1"/>
  <c r="AD28" i="25"/>
  <c r="AD43" i="25" s="1"/>
  <c r="AD93" i="28" s="1"/>
  <c r="AD86" i="28" s="1"/>
  <c r="AD79" i="28" s="1"/>
  <c r="I28" i="25"/>
  <c r="I43" i="25" s="1"/>
  <c r="I93" i="28" s="1"/>
  <c r="I86" i="28" s="1"/>
  <c r="I79" i="28" s="1"/>
  <c r="DS115" i="28"/>
  <c r="DS108" i="28" s="1"/>
  <c r="DS101" i="28" s="1"/>
  <c r="E46" i="55" s="1"/>
  <c r="DS17" i="26"/>
  <c r="DS116" i="28" s="1"/>
  <c r="DS109" i="28" s="1"/>
  <c r="DS102" i="28" s="1"/>
  <c r="G46" i="55" s="1"/>
  <c r="DV17" i="26"/>
  <c r="DV116" i="28" s="1"/>
  <c r="DV109" i="28" s="1"/>
  <c r="DV102" i="28" s="1"/>
  <c r="DV115" i="28"/>
  <c r="DV108" i="28" s="1"/>
  <c r="DV101" i="28" s="1"/>
  <c r="AE115" i="28"/>
  <c r="AE108" i="28" s="1"/>
  <c r="E57" i="38" s="1"/>
  <c r="E46" i="38" s="1"/>
  <c r="K107" i="28"/>
  <c r="K100" i="28" s="1"/>
  <c r="K85" i="28"/>
  <c r="K78" i="28" s="1"/>
  <c r="K87" i="28"/>
  <c r="K80" i="28" s="1"/>
  <c r="DB115" i="28"/>
  <c r="DB108" i="28" s="1"/>
  <c r="DB101" i="28" s="1"/>
  <c r="DB17" i="26"/>
  <c r="DB116" i="28" s="1"/>
  <c r="DB109" i="28" s="1"/>
  <c r="DB102" i="28" s="1"/>
  <c r="CJ17" i="26"/>
  <c r="CJ116" i="28" s="1"/>
  <c r="CJ109" i="28" s="1"/>
  <c r="CJ115" i="28"/>
  <c r="CJ108" i="28" s="1"/>
  <c r="DE17" i="26"/>
  <c r="DE116" i="28" s="1"/>
  <c r="DE109" i="28" s="1"/>
  <c r="DE102" i="28" s="1"/>
  <c r="T51" i="63" s="1"/>
  <c r="DE115" i="28"/>
  <c r="DE108" i="28" s="1"/>
  <c r="DE101" i="28" s="1"/>
  <c r="S51" i="63" s="1"/>
  <c r="F51" i="63" s="1"/>
  <c r="AE28" i="25"/>
  <c r="AE43" i="25" s="1"/>
  <c r="DI28" i="25"/>
  <c r="CH28" i="25"/>
  <c r="CH43" i="25" s="1"/>
  <c r="DH28" i="25"/>
  <c r="CK28" i="25"/>
  <c r="CK43" i="25" s="1"/>
  <c r="DJ28" i="25"/>
  <c r="DF28" i="25"/>
  <c r="CL28" i="25"/>
  <c r="CL43" i="25" s="1"/>
  <c r="DE28" i="25"/>
  <c r="DE43" i="25" s="1"/>
  <c r="CI28" i="25"/>
  <c r="CI43" i="25" s="1"/>
  <c r="CJ28" i="25"/>
  <c r="CJ43" i="25" s="1"/>
  <c r="CM28" i="25"/>
  <c r="DD28" i="25"/>
  <c r="CY28" i="25"/>
  <c r="CY43" i="25" s="1"/>
  <c r="CY93" i="28" s="1"/>
  <c r="CZ28" i="25"/>
  <c r="CZ43" i="25" s="1"/>
  <c r="DC28" i="25"/>
  <c r="DC43" i="25" s="1"/>
  <c r="DA28" i="25"/>
  <c r="DB28" i="25"/>
  <c r="DB43" i="25" s="1"/>
  <c r="CL115" i="28"/>
  <c r="CL108" i="28" s="1"/>
  <c r="CL17" i="26"/>
  <c r="CL116" i="28" s="1"/>
  <c r="CL109" i="28" s="1"/>
  <c r="CM29" i="25"/>
  <c r="DJ29" i="25"/>
  <c r="DD29" i="25"/>
  <c r="CM33" i="25"/>
  <c r="CM45" i="25" s="1"/>
  <c r="DJ33" i="25"/>
  <c r="DD33" i="25"/>
  <c r="DD45" i="25" s="1"/>
  <c r="CK115" i="28"/>
  <c r="CK108" i="28" s="1"/>
  <c r="CK17" i="26"/>
  <c r="CK116" i="28" s="1"/>
  <c r="CK109" i="28" s="1"/>
  <c r="DC115" i="28"/>
  <c r="DC108" i="28" s="1"/>
  <c r="DC101" i="28" s="1"/>
  <c r="DC17" i="26"/>
  <c r="DC116" i="28" s="1"/>
  <c r="DC109" i="28" s="1"/>
  <c r="DC102" i="28" s="1"/>
  <c r="CI115" i="28"/>
  <c r="CI108" i="28" s="1"/>
  <c r="CI17" i="26"/>
  <c r="CI116" i="28" s="1"/>
  <c r="CI109" i="28" s="1"/>
  <c r="CZ115" i="28"/>
  <c r="CZ108" i="28" s="1"/>
  <c r="CZ101" i="28" s="1"/>
  <c r="CZ17" i="26"/>
  <c r="CZ116" i="28" s="1"/>
  <c r="CZ109" i="28" s="1"/>
  <c r="CZ102" i="28" s="1"/>
  <c r="T46" i="63" s="1"/>
  <c r="CH17" i="26"/>
  <c r="CH116" i="28" s="1"/>
  <c r="CH109" i="28" s="1"/>
  <c r="CH102" i="28" s="1"/>
  <c r="CH115" i="28"/>
  <c r="CH108" i="28" s="1"/>
  <c r="CH101" i="28" s="1"/>
  <c r="J85" i="28"/>
  <c r="J78" i="28" s="1"/>
  <c r="J107" i="28"/>
  <c r="J100" i="28" s="1"/>
  <c r="BB29" i="25"/>
  <c r="CR33" i="25"/>
  <c r="AP28" i="25"/>
  <c r="AP43" i="25" s="1"/>
  <c r="AP15" i="26" s="1"/>
  <c r="AP94" i="28" s="1"/>
  <c r="AP87" i="28" s="1"/>
  <c r="AP80" i="28" s="1"/>
  <c r="BY28" i="25"/>
  <c r="BY43" i="25" s="1"/>
  <c r="BX28" i="25"/>
  <c r="BX43" i="25" s="1"/>
  <c r="BP28" i="25"/>
  <c r="BP43" i="25" s="1"/>
  <c r="BO28" i="25"/>
  <c r="BO43" i="25" s="1"/>
  <c r="BO17" i="26"/>
  <c r="BO116" i="28" s="1"/>
  <c r="BO109" i="28" s="1"/>
  <c r="BO102" i="28" s="1"/>
  <c r="BO115" i="28"/>
  <c r="BO108" i="28" s="1"/>
  <c r="BO101" i="28" s="1"/>
  <c r="BP17" i="26"/>
  <c r="BP116" i="28" s="1"/>
  <c r="BP109" i="28" s="1"/>
  <c r="BP102" i="28" s="1"/>
  <c r="BP115" i="28"/>
  <c r="BP108" i="28" s="1"/>
  <c r="BP101" i="28" s="1"/>
  <c r="AG28" i="25"/>
  <c r="AG43" i="25" s="1"/>
  <c r="AG93" i="28" s="1"/>
  <c r="AG86" i="28" s="1"/>
  <c r="BY115" i="28"/>
  <c r="BY17" i="26"/>
  <c r="BX115" i="28"/>
  <c r="BX17" i="26"/>
  <c r="CC5" i="24"/>
  <c r="AR110" i="24"/>
  <c r="AR122" i="24" s="1"/>
  <c r="AR111" i="24"/>
  <c r="AR123" i="24" s="1"/>
  <c r="AR104" i="24"/>
  <c r="AR117" i="24" s="1"/>
  <c r="AR103" i="24"/>
  <c r="AR116" i="24" s="1"/>
  <c r="AR63" i="24"/>
  <c r="AR75" i="24" s="1"/>
  <c r="AR62" i="24"/>
  <c r="AR74" i="24" s="1"/>
  <c r="AR94" i="24"/>
  <c r="AR98" i="24"/>
  <c r="AR96" i="24"/>
  <c r="AR95" i="24"/>
  <c r="AR97" i="24"/>
  <c r="AR99" i="24"/>
  <c r="AR48" i="24"/>
  <c r="AR46" i="24"/>
  <c r="AR50" i="24"/>
  <c r="AR47" i="24"/>
  <c r="AR49" i="24"/>
  <c r="AR56" i="24"/>
  <c r="AR69" i="24" s="1"/>
  <c r="AR55" i="24"/>
  <c r="AR68" i="24" s="1"/>
  <c r="BD5" i="24"/>
  <c r="BC5" i="24"/>
  <c r="BC61" i="24" s="1"/>
  <c r="BE5" i="24"/>
  <c r="BE61" i="24" s="1"/>
  <c r="CX33" i="25"/>
  <c r="AS28" i="25"/>
  <c r="AS43" i="25" s="1"/>
  <c r="AT28" i="25"/>
  <c r="AT43" i="25" s="1"/>
  <c r="AS17" i="26"/>
  <c r="AS116" i="28" s="1"/>
  <c r="AS109" i="28" s="1"/>
  <c r="AS102" i="28" s="1"/>
  <c r="AS115" i="28"/>
  <c r="AS108" i="28" s="1"/>
  <c r="AS101" i="28" s="1"/>
  <c r="AY29" i="25"/>
  <c r="AT115" i="28"/>
  <c r="AT108" i="28" s="1"/>
  <c r="AT101" i="28" s="1"/>
  <c r="AT17" i="26"/>
  <c r="AT116" i="28" s="1"/>
  <c r="AT109" i="28" s="1"/>
  <c r="AT102" i="28" s="1"/>
  <c r="Y57" i="22"/>
  <c r="BB5" i="24"/>
  <c r="BB102" i="24" s="1"/>
  <c r="AZ5" i="24"/>
  <c r="BA5" i="24"/>
  <c r="AW5" i="24"/>
  <c r="AW85" i="24" s="1"/>
  <c r="AT54" i="24"/>
  <c r="AT85" i="24"/>
  <c r="AT107" i="24"/>
  <c r="AT59" i="24"/>
  <c r="AT102" i="24"/>
  <c r="AT37" i="24"/>
  <c r="AS54" i="24"/>
  <c r="AS107" i="24"/>
  <c r="AS85" i="24"/>
  <c r="AS37" i="24"/>
  <c r="AS102" i="24"/>
  <c r="AS59" i="24"/>
  <c r="AV107" i="24"/>
  <c r="AV102" i="24"/>
  <c r="AV85" i="24"/>
  <c r="AV54" i="24"/>
  <c r="AV59" i="24"/>
  <c r="AV37" i="24"/>
  <c r="AP81" i="24"/>
  <c r="AP80" i="24"/>
  <c r="AK28" i="25"/>
  <c r="AK43" i="25" s="1"/>
  <c r="AK93" i="28" s="1"/>
  <c r="AK86" i="28" s="1"/>
  <c r="F28" i="25"/>
  <c r="F43" i="25" s="1"/>
  <c r="F93" i="28" s="1"/>
  <c r="F86" i="28" s="1"/>
  <c r="F79" i="28" s="1"/>
  <c r="AQ28" i="25"/>
  <c r="AQ43" i="25" s="1"/>
  <c r="AO28" i="25"/>
  <c r="AO43" i="25" s="1"/>
  <c r="AM28" i="25"/>
  <c r="AM43" i="25" s="1"/>
  <c r="AM93" i="28" s="1"/>
  <c r="AM86" i="28" s="1"/>
  <c r="E28" i="25"/>
  <c r="E43" i="25" s="1"/>
  <c r="E93" i="28" s="1"/>
  <c r="E86" i="28" s="1"/>
  <c r="E79" i="28" s="1"/>
  <c r="AJ28" i="25"/>
  <c r="AJ43" i="25" s="1"/>
  <c r="AJ93" i="28" s="1"/>
  <c r="AJ86" i="28" s="1"/>
  <c r="V28" i="25"/>
  <c r="V43" i="25" s="1"/>
  <c r="V93" i="28" s="1"/>
  <c r="V86" i="28" s="1"/>
  <c r="V79" i="28" s="1"/>
  <c r="AP129" i="24"/>
  <c r="AN28" i="25"/>
  <c r="AN43" i="25" s="1"/>
  <c r="AN93" i="28" s="1"/>
  <c r="AN86" i="28" s="1"/>
  <c r="AI28" i="25"/>
  <c r="AI43" i="25" s="1"/>
  <c r="AI93" i="28" s="1"/>
  <c r="AI86" i="28" s="1"/>
  <c r="AH28" i="25"/>
  <c r="AH43" i="25" s="1"/>
  <c r="AH93" i="28" s="1"/>
  <c r="AH86" i="28" s="1"/>
  <c r="AL28" i="25"/>
  <c r="AL43" i="25" s="1"/>
  <c r="AL93" i="28" s="1"/>
  <c r="AL86" i="28" s="1"/>
  <c r="AQ111" i="24"/>
  <c r="AQ123" i="24" s="1"/>
  <c r="AQ110" i="24"/>
  <c r="AQ122" i="24" s="1"/>
  <c r="CG33" i="25"/>
  <c r="AQ62" i="24"/>
  <c r="AQ74" i="24" s="1"/>
  <c r="AQ63" i="24"/>
  <c r="AQ75" i="24" s="1"/>
  <c r="AQ98" i="24"/>
  <c r="AQ97" i="24"/>
  <c r="AQ94" i="24"/>
  <c r="AQ99" i="24"/>
  <c r="AQ95" i="24"/>
  <c r="AQ96" i="24"/>
  <c r="AP128" i="24"/>
  <c r="AQ47" i="24"/>
  <c r="AQ46" i="24"/>
  <c r="AQ50" i="24"/>
  <c r="AQ48" i="24"/>
  <c r="AQ49" i="24"/>
  <c r="BI5" i="24"/>
  <c r="BI61" i="24" s="1"/>
  <c r="AQ104" i="24"/>
  <c r="AQ117" i="24" s="1"/>
  <c r="AQ103" i="24"/>
  <c r="AQ116" i="24" s="1"/>
  <c r="AX37" i="24"/>
  <c r="AX107" i="24"/>
  <c r="AX102" i="24"/>
  <c r="AX85" i="24"/>
  <c r="AX59" i="24"/>
  <c r="AX54" i="24"/>
  <c r="AQ55" i="24"/>
  <c r="AQ68" i="24" s="1"/>
  <c r="AQ56" i="24"/>
  <c r="AQ69" i="24" s="1"/>
  <c r="F8" i="24"/>
  <c r="F19" i="24" s="1"/>
  <c r="H19" i="24"/>
  <c r="BB33" i="25"/>
  <c r="DW33" i="25"/>
  <c r="E8" i="24"/>
  <c r="G19" i="24"/>
  <c r="AL45" i="25"/>
  <c r="AL115" i="28" s="1"/>
  <c r="AL108" i="28" s="1"/>
  <c r="AL101" i="28" s="1"/>
  <c r="AH45" i="25"/>
  <c r="AH115" i="28" s="1"/>
  <c r="AH108" i="28" s="1"/>
  <c r="AH101" i="28" s="1"/>
  <c r="AK45" i="25"/>
  <c r="AK115" i="28" s="1"/>
  <c r="AK108" i="28" s="1"/>
  <c r="AK101" i="28" s="1"/>
  <c r="CG29" i="25"/>
  <c r="DW29" i="25"/>
  <c r="CX29" i="25"/>
  <c r="CR29" i="25"/>
  <c r="E45" i="25"/>
  <c r="E115" i="28" s="1"/>
  <c r="E108" i="28" s="1"/>
  <c r="E101" i="28" s="1"/>
  <c r="AI45" i="25"/>
  <c r="AI115" i="28" s="1"/>
  <c r="AN45" i="25"/>
  <c r="AN115" i="28" s="1"/>
  <c r="V45" i="25"/>
  <c r="V115" i="28" s="1"/>
  <c r="V108" i="28" s="1"/>
  <c r="V101" i="28" s="1"/>
  <c r="D54" i="72" s="1"/>
  <c r="AG45" i="25"/>
  <c r="AG115" i="28" s="1"/>
  <c r="AG108" i="28" s="1"/>
  <c r="AG101" i="28" s="1"/>
  <c r="F45" i="25"/>
  <c r="F115" i="28" s="1"/>
  <c r="F108" i="28" s="1"/>
  <c r="F101" i="28" s="1"/>
  <c r="AJ45" i="25"/>
  <c r="AJ115" i="28" s="1"/>
  <c r="AM45" i="25"/>
  <c r="AM115" i="28" s="1"/>
  <c r="AM108" i="28" s="1"/>
  <c r="AM101" i="28" s="1"/>
  <c r="R62" i="22"/>
  <c r="U62" i="22"/>
  <c r="Q62" i="22" s="1"/>
  <c r="AQ115" i="28"/>
  <c r="AQ108" i="28" s="1"/>
  <c r="AQ101" i="28" s="1"/>
  <c r="AQ17" i="26"/>
  <c r="AP115" i="28"/>
  <c r="AP108" i="28" s="1"/>
  <c r="AP101" i="28" s="1"/>
  <c r="AP17" i="26"/>
  <c r="AP116" i="28" s="1"/>
  <c r="AO115" i="28"/>
  <c r="AO108" i="28" s="1"/>
  <c r="AO101" i="28" s="1"/>
  <c r="AO17" i="26"/>
  <c r="AO116" i="28" s="1"/>
  <c r="DS93" i="28" l="1"/>
  <c r="DS86" i="28" s="1"/>
  <c r="DS79" i="28" s="1"/>
  <c r="E46" i="74" s="1"/>
  <c r="DS15" i="26"/>
  <c r="DS94" i="28" s="1"/>
  <c r="DS87" i="28" s="1"/>
  <c r="DS80" i="28" s="1"/>
  <c r="G46" i="74" s="1"/>
  <c r="DV93" i="28"/>
  <c r="DV86" i="28" s="1"/>
  <c r="DV79" i="28" s="1"/>
  <c r="E45" i="74" s="1"/>
  <c r="DV15" i="26"/>
  <c r="DV94" i="28" s="1"/>
  <c r="DV87" i="28" s="1"/>
  <c r="DV80" i="28" s="1"/>
  <c r="G45" i="74" s="1"/>
  <c r="AM79" i="28"/>
  <c r="L84" i="32"/>
  <c r="AK79" i="28"/>
  <c r="J84" i="32"/>
  <c r="AH79" i="28"/>
  <c r="E84" i="32"/>
  <c r="AL79" i="28"/>
  <c r="K84" i="32"/>
  <c r="AG79" i="28"/>
  <c r="D84" i="32"/>
  <c r="AJ79" i="28"/>
  <c r="I84" i="32"/>
  <c r="AN79" i="28"/>
  <c r="M84" i="32"/>
  <c r="AI79" i="28"/>
  <c r="H84" i="32"/>
  <c r="AE101" i="28"/>
  <c r="E57" i="32" s="1"/>
  <c r="E46" i="32" s="1"/>
  <c r="AE93" i="28"/>
  <c r="AE86" i="28" s="1"/>
  <c r="CM43" i="25"/>
  <c r="CM15" i="26" s="1"/>
  <c r="CM94" i="28" s="1"/>
  <c r="CM87" i="28" s="1"/>
  <c r="H51" i="63"/>
  <c r="DD17" i="26"/>
  <c r="DD116" i="28" s="1"/>
  <c r="DD109" i="28" s="1"/>
  <c r="DD102" i="28" s="1"/>
  <c r="DD115" i="28"/>
  <c r="DD108" i="28" s="1"/>
  <c r="DD101" i="28" s="1"/>
  <c r="DD43" i="25"/>
  <c r="DD93" i="28" s="1"/>
  <c r="DD86" i="28" s="1"/>
  <c r="DD79" i="28" s="1"/>
  <c r="CJ15" i="26"/>
  <c r="CJ94" i="28" s="1"/>
  <c r="CJ87" i="28" s="1"/>
  <c r="CJ93" i="28"/>
  <c r="CJ86" i="28" s="1"/>
  <c r="CZ93" i="28"/>
  <c r="CZ86" i="28" s="1"/>
  <c r="CZ79" i="28" s="1"/>
  <c r="CZ15" i="26"/>
  <c r="CZ94" i="28" s="1"/>
  <c r="CZ87" i="28" s="1"/>
  <c r="CZ80" i="28" s="1"/>
  <c r="CH15" i="26"/>
  <c r="CH94" i="28" s="1"/>
  <c r="CH87" i="28" s="1"/>
  <c r="CH80" i="28" s="1"/>
  <c r="CH93" i="28"/>
  <c r="CH86" i="28" s="1"/>
  <c r="CH79" i="28" s="1"/>
  <c r="CK15" i="26"/>
  <c r="CK94" i="28" s="1"/>
  <c r="CK87" i="28" s="1"/>
  <c r="CK93" i="28"/>
  <c r="CK86" i="28" s="1"/>
  <c r="T84" i="32" s="1"/>
  <c r="U58" i="38"/>
  <c r="CK102" i="28"/>
  <c r="T58" i="32" s="1"/>
  <c r="V58" i="38"/>
  <c r="CL102" i="28"/>
  <c r="U58" i="32" s="1"/>
  <c r="CK101" i="28"/>
  <c r="T57" i="32" s="1"/>
  <c r="T46" i="32" s="1"/>
  <c r="U57" i="38"/>
  <c r="U46" i="38" s="1"/>
  <c r="V57" i="38"/>
  <c r="V46" i="38" s="1"/>
  <c r="CL101" i="28"/>
  <c r="U57" i="32" s="1"/>
  <c r="U46" i="32" s="1"/>
  <c r="CJ101" i="28"/>
  <c r="T57" i="38"/>
  <c r="T46" i="38" s="1"/>
  <c r="DB93" i="28"/>
  <c r="DB86" i="28" s="1"/>
  <c r="DB79" i="28" s="1"/>
  <c r="DB15" i="26"/>
  <c r="DB94" i="28" s="1"/>
  <c r="DB87" i="28" s="1"/>
  <c r="DB80" i="28" s="1"/>
  <c r="CI15" i="26"/>
  <c r="CI94" i="28" s="1"/>
  <c r="CI87" i="28" s="1"/>
  <c r="CI93" i="28"/>
  <c r="CI86" i="28" s="1"/>
  <c r="S84" i="32" s="1"/>
  <c r="CJ102" i="28"/>
  <c r="T58" i="38"/>
  <c r="S58" i="38"/>
  <c r="CI102" i="28"/>
  <c r="S58" i="32" s="1"/>
  <c r="DE93" i="28"/>
  <c r="DE86" i="28" s="1"/>
  <c r="DE79" i="28" s="1"/>
  <c r="DE15" i="26"/>
  <c r="DE94" i="28" s="1"/>
  <c r="DE87" i="28" s="1"/>
  <c r="DE80" i="28" s="1"/>
  <c r="S57" i="38"/>
  <c r="S46" i="38" s="1"/>
  <c r="CI101" i="28"/>
  <c r="S57" i="32" s="1"/>
  <c r="CM115" i="28"/>
  <c r="CM108" i="28" s="1"/>
  <c r="CM17" i="26"/>
  <c r="CM116" i="28" s="1"/>
  <c r="CM109" i="28" s="1"/>
  <c r="DC93" i="28"/>
  <c r="DC86" i="28" s="1"/>
  <c r="DC79" i="28" s="1"/>
  <c r="DC15" i="26"/>
  <c r="DC94" i="28" s="1"/>
  <c r="DC87" i="28" s="1"/>
  <c r="DC80" i="28" s="1"/>
  <c r="CL15" i="26"/>
  <c r="CL94" i="28" s="1"/>
  <c r="CL87" i="28" s="1"/>
  <c r="CL93" i="28"/>
  <c r="CL86" i="28" s="1"/>
  <c r="U84" i="32" s="1"/>
  <c r="AE19" i="24"/>
  <c r="BX108" i="28"/>
  <c r="BX101" i="28" s="1"/>
  <c r="R50" i="48" s="1"/>
  <c r="E50" i="48" s="1"/>
  <c r="BY108" i="28"/>
  <c r="BY101" i="28" s="1"/>
  <c r="R45" i="48" s="1"/>
  <c r="E45" i="48" s="1"/>
  <c r="AI108" i="28"/>
  <c r="AI101" i="28" s="1"/>
  <c r="G57" i="32" s="1"/>
  <c r="G46" i="32" s="1"/>
  <c r="AP109" i="28"/>
  <c r="AP102" i="28" s="1"/>
  <c r="O58" i="32" s="1"/>
  <c r="AO109" i="28"/>
  <c r="AO102" i="28" s="1"/>
  <c r="N58" i="32" s="1"/>
  <c r="AN108" i="28"/>
  <c r="AN101" i="28" s="1"/>
  <c r="M57" i="32" s="1"/>
  <c r="M46" i="32" s="1"/>
  <c r="AJ108" i="28"/>
  <c r="AJ101" i="28" s="1"/>
  <c r="I57" i="32" s="1"/>
  <c r="I46" i="32" s="1"/>
  <c r="O58" i="39"/>
  <c r="BD54" i="24"/>
  <c r="BD55" i="24" s="1"/>
  <c r="BD68" i="24" s="1"/>
  <c r="BD80" i="24" s="1"/>
  <c r="BD61" i="24"/>
  <c r="BD64" i="24" s="1"/>
  <c r="CC85" i="24"/>
  <c r="CC99" i="24" s="1"/>
  <c r="CC102" i="24"/>
  <c r="CC103" i="24" s="1"/>
  <c r="CC116" i="24" s="1"/>
  <c r="CC107" i="24"/>
  <c r="CC110" i="24" s="1"/>
  <c r="CC122" i="24" s="1"/>
  <c r="BO15" i="26"/>
  <c r="BO94" i="28" s="1"/>
  <c r="BO87" i="28" s="1"/>
  <c r="BO80" i="28" s="1"/>
  <c r="BO93" i="28"/>
  <c r="BO86" i="28" s="1"/>
  <c r="BO79" i="28" s="1"/>
  <c r="BP93" i="28"/>
  <c r="BP86" i="28" s="1"/>
  <c r="BP79" i="28" s="1"/>
  <c r="BP15" i="26"/>
  <c r="BP94" i="28" s="1"/>
  <c r="BP87" i="28" s="1"/>
  <c r="BP80" i="28" s="1"/>
  <c r="BX93" i="28"/>
  <c r="BX86" i="28" s="1"/>
  <c r="BX79" i="28" s="1"/>
  <c r="BX15" i="26"/>
  <c r="BY93" i="28"/>
  <c r="BY86" i="28" s="1"/>
  <c r="BY79" i="28" s="1"/>
  <c r="BY15" i="26"/>
  <c r="CC37" i="24"/>
  <c r="CC49" i="24" s="1"/>
  <c r="CC54" i="24"/>
  <c r="CC56" i="24" s="1"/>
  <c r="CC69" i="24" s="1"/>
  <c r="CC59" i="24"/>
  <c r="CC63" i="24" s="1"/>
  <c r="CC75" i="24" s="1"/>
  <c r="AR80" i="24"/>
  <c r="AR128" i="24"/>
  <c r="AR81" i="24"/>
  <c r="AR129" i="24"/>
  <c r="BD85" i="24"/>
  <c r="BD37" i="24"/>
  <c r="BD59" i="24"/>
  <c r="BD102" i="24"/>
  <c r="BD103" i="24" s="1"/>
  <c r="BD116" i="24" s="1"/>
  <c r="BD128" i="24" s="1"/>
  <c r="BD107" i="24"/>
  <c r="BD109" i="24" s="1"/>
  <c r="BD112" i="24" s="1"/>
  <c r="BC54" i="24"/>
  <c r="BC107" i="24"/>
  <c r="BC109" i="24" s="1"/>
  <c r="BC85" i="24"/>
  <c r="BC102" i="24"/>
  <c r="BC37" i="24"/>
  <c r="BC59" i="24"/>
  <c r="BE54" i="24"/>
  <c r="BE107" i="24"/>
  <c r="BE109" i="24" s="1"/>
  <c r="BE37" i="24"/>
  <c r="BE85" i="24"/>
  <c r="BE102" i="24"/>
  <c r="BE59" i="24"/>
  <c r="BA37" i="24"/>
  <c r="BA47" i="24" s="1"/>
  <c r="BA59" i="24"/>
  <c r="BA62" i="24" s="1"/>
  <c r="BA74" i="24" s="1"/>
  <c r="BA102" i="24"/>
  <c r="BA103" i="24" s="1"/>
  <c r="BA116" i="24" s="1"/>
  <c r="AP93" i="28"/>
  <c r="AP86" i="28" s="1"/>
  <c r="BB37" i="24"/>
  <c r="BB48" i="24" s="1"/>
  <c r="BA107" i="24"/>
  <c r="BB107" i="24"/>
  <c r="BB111" i="24" s="1"/>
  <c r="BB123" i="24" s="1"/>
  <c r="BB59" i="24"/>
  <c r="BB62" i="24" s="1"/>
  <c r="BB74" i="24" s="1"/>
  <c r="AW102" i="24"/>
  <c r="AW103" i="24" s="1"/>
  <c r="AW116" i="24" s="1"/>
  <c r="AW37" i="24"/>
  <c r="AW54" i="24"/>
  <c r="AW55" i="24" s="1"/>
  <c r="AW68" i="24" s="1"/>
  <c r="AW107" i="24"/>
  <c r="AW59" i="24"/>
  <c r="AW63" i="24" s="1"/>
  <c r="AW75" i="24" s="1"/>
  <c r="AY5" i="24"/>
  <c r="AY85" i="24" s="1"/>
  <c r="AS93" i="28"/>
  <c r="AS86" i="28" s="1"/>
  <c r="AS79" i="28" s="1"/>
  <c r="AS15" i="26"/>
  <c r="AS94" i="28" s="1"/>
  <c r="AS87" i="28" s="1"/>
  <c r="AS80" i="28" s="1"/>
  <c r="AT15" i="26"/>
  <c r="AT94" i="28" s="1"/>
  <c r="AT87" i="28" s="1"/>
  <c r="AT80" i="28" s="1"/>
  <c r="AT93" i="28"/>
  <c r="AT86" i="28" s="1"/>
  <c r="AT79" i="28" s="1"/>
  <c r="BA85" i="24"/>
  <c r="BA94" i="24" s="1"/>
  <c r="BB54" i="24"/>
  <c r="BB56" i="24" s="1"/>
  <c r="BB69" i="24" s="1"/>
  <c r="BB85" i="24"/>
  <c r="BB95" i="24" s="1"/>
  <c r="BA54" i="24"/>
  <c r="BA55" i="24" s="1"/>
  <c r="BA68" i="24" s="1"/>
  <c r="AZ107" i="24"/>
  <c r="AZ85" i="24"/>
  <c r="AZ102" i="24"/>
  <c r="AZ59" i="24"/>
  <c r="AZ37" i="24"/>
  <c r="AZ54" i="24"/>
  <c r="AO93" i="28"/>
  <c r="AO86" i="28" s="1"/>
  <c r="AT47" i="24"/>
  <c r="AT50" i="24"/>
  <c r="AT49" i="24"/>
  <c r="AT46" i="24"/>
  <c r="AT48" i="24"/>
  <c r="AS62" i="24"/>
  <c r="AS74" i="24" s="1"/>
  <c r="AS63" i="24"/>
  <c r="AS75" i="24" s="1"/>
  <c r="AT103" i="24"/>
  <c r="AT116" i="24" s="1"/>
  <c r="AT104" i="24"/>
  <c r="AT117" i="24" s="1"/>
  <c r="AS104" i="24"/>
  <c r="AS117" i="24" s="1"/>
  <c r="AS103" i="24"/>
  <c r="AS116" i="24" s="1"/>
  <c r="AT63" i="24"/>
  <c r="AT75" i="24" s="1"/>
  <c r="AT62" i="24"/>
  <c r="AT74" i="24" s="1"/>
  <c r="AS55" i="24"/>
  <c r="AS68" i="24" s="1"/>
  <c r="AS56" i="24"/>
  <c r="AS69" i="24" s="1"/>
  <c r="AQ80" i="24"/>
  <c r="AS50" i="24"/>
  <c r="AS49" i="24"/>
  <c r="AS48" i="24"/>
  <c r="AS47" i="24"/>
  <c r="AS46" i="24"/>
  <c r="AT110" i="24"/>
  <c r="AT122" i="24" s="1"/>
  <c r="AT111" i="24"/>
  <c r="AT123" i="24" s="1"/>
  <c r="AS111" i="24"/>
  <c r="AS123" i="24" s="1"/>
  <c r="AS110" i="24"/>
  <c r="AS122" i="24" s="1"/>
  <c r="AT99" i="24"/>
  <c r="AT97" i="24"/>
  <c r="AT94" i="24"/>
  <c r="AT95" i="24"/>
  <c r="AT98" i="24"/>
  <c r="AT96" i="24"/>
  <c r="AS96" i="24"/>
  <c r="AS95" i="24"/>
  <c r="AS94" i="24"/>
  <c r="AS99" i="24"/>
  <c r="AS98" i="24"/>
  <c r="AS97" i="24"/>
  <c r="AT56" i="24"/>
  <c r="AT69" i="24" s="1"/>
  <c r="AT55" i="24"/>
  <c r="AT68" i="24" s="1"/>
  <c r="AO15" i="26"/>
  <c r="AO94" i="28" s="1"/>
  <c r="AO87" i="28" s="1"/>
  <c r="AO80" i="28" s="1"/>
  <c r="AW99" i="24"/>
  <c r="AW94" i="24"/>
  <c r="AW95" i="24"/>
  <c r="AW97" i="24"/>
  <c r="AW98" i="24"/>
  <c r="AW96" i="24"/>
  <c r="AV46" i="24"/>
  <c r="AV48" i="24"/>
  <c r="AV47" i="24"/>
  <c r="AV50" i="24"/>
  <c r="AV49" i="24"/>
  <c r="AQ128" i="24"/>
  <c r="AV63" i="24"/>
  <c r="AV75" i="24" s="1"/>
  <c r="AV62" i="24"/>
  <c r="AV74" i="24" s="1"/>
  <c r="AV55" i="24"/>
  <c r="AV68" i="24" s="1"/>
  <c r="AV56" i="24"/>
  <c r="AV69" i="24" s="1"/>
  <c r="AV94" i="24"/>
  <c r="AV99" i="24"/>
  <c r="AV98" i="24"/>
  <c r="AV97" i="24"/>
  <c r="AV95" i="24"/>
  <c r="AV96" i="24"/>
  <c r="AV104" i="24"/>
  <c r="AV117" i="24" s="1"/>
  <c r="AV103" i="24"/>
  <c r="AV116" i="24" s="1"/>
  <c r="AV111" i="24"/>
  <c r="AV123" i="24" s="1"/>
  <c r="AV110" i="24"/>
  <c r="AV122" i="24" s="1"/>
  <c r="AQ116" i="28"/>
  <c r="AQ109" i="28" s="1"/>
  <c r="AQ102" i="28" s="1"/>
  <c r="AQ93" i="28"/>
  <c r="AQ86" i="28" s="1"/>
  <c r="AQ15" i="26"/>
  <c r="AQ81" i="24"/>
  <c r="AQ129" i="24"/>
  <c r="AX62" i="24"/>
  <c r="AX74" i="24" s="1"/>
  <c r="AX63" i="24"/>
  <c r="AX75" i="24" s="1"/>
  <c r="AX99" i="24"/>
  <c r="AX98" i="24"/>
  <c r="AX96" i="24"/>
  <c r="AX94" i="24"/>
  <c r="AX95" i="24"/>
  <c r="AX97" i="24"/>
  <c r="AX104" i="24"/>
  <c r="AX117" i="24" s="1"/>
  <c r="AX103" i="24"/>
  <c r="AX116" i="24" s="1"/>
  <c r="BJ5" i="24"/>
  <c r="AX111" i="24"/>
  <c r="AX123" i="24" s="1"/>
  <c r="AX110" i="24"/>
  <c r="AX122" i="24" s="1"/>
  <c r="BI37" i="24"/>
  <c r="BI102" i="24"/>
  <c r="BI85" i="24"/>
  <c r="BI54" i="24"/>
  <c r="BI59" i="24"/>
  <c r="BI107" i="24"/>
  <c r="BI109" i="24" s="1"/>
  <c r="BB104" i="24"/>
  <c r="BB117" i="24" s="1"/>
  <c r="BB103" i="24"/>
  <c r="BB116" i="24" s="1"/>
  <c r="AX56" i="24"/>
  <c r="AX69" i="24" s="1"/>
  <c r="AX55" i="24"/>
  <c r="AX68" i="24" s="1"/>
  <c r="AX47" i="24"/>
  <c r="AX50" i="24"/>
  <c r="AX49" i="24"/>
  <c r="AX48" i="24"/>
  <c r="AX46" i="24"/>
  <c r="O58" i="36"/>
  <c r="E19" i="24"/>
  <c r="F57" i="38"/>
  <c r="J57" i="38"/>
  <c r="K57" i="38"/>
  <c r="H57" i="39"/>
  <c r="F57" i="39"/>
  <c r="L57" i="38"/>
  <c r="K57" i="39"/>
  <c r="H57" i="38"/>
  <c r="G57" i="39"/>
  <c r="M57" i="39"/>
  <c r="D63" i="42"/>
  <c r="I57" i="39"/>
  <c r="J57" i="39"/>
  <c r="L57" i="39"/>
  <c r="O57" i="38"/>
  <c r="O46" i="38" s="1"/>
  <c r="P57" i="38"/>
  <c r="P46" i="38" s="1"/>
  <c r="D47" i="42"/>
  <c r="N57" i="38"/>
  <c r="N46" i="38" s="1"/>
  <c r="S48" i="38" l="1"/>
  <c r="V48" i="38"/>
  <c r="U48" i="38"/>
  <c r="T48" i="38"/>
  <c r="CM93" i="28"/>
  <c r="CM86" i="28" s="1"/>
  <c r="V84" i="32" s="1"/>
  <c r="AO79" i="28"/>
  <c r="N84" i="32"/>
  <c r="AP79" i="28"/>
  <c r="O57" i="36" s="1"/>
  <c r="O46" i="36" s="1"/>
  <c r="O84" i="32"/>
  <c r="AQ79" i="28"/>
  <c r="P84" i="32"/>
  <c r="AE79" i="28"/>
  <c r="E57" i="36" s="1"/>
  <c r="E46" i="36" s="1"/>
  <c r="G84" i="32"/>
  <c r="D47" i="72"/>
  <c r="E57" i="39"/>
  <c r="E46" i="39" s="1"/>
  <c r="BD56" i="24"/>
  <c r="BD69" i="24" s="1"/>
  <c r="BD81" i="24" s="1"/>
  <c r="U48" i="32"/>
  <c r="T63" i="64" s="1"/>
  <c r="T48" i="32"/>
  <c r="S63" i="69" s="1"/>
  <c r="DD15" i="26"/>
  <c r="DD94" i="28" s="1"/>
  <c r="DD87" i="28" s="1"/>
  <c r="DD80" i="28" s="1"/>
  <c r="CM80" i="28"/>
  <c r="V58" i="36" s="1"/>
  <c r="W58" i="39"/>
  <c r="CM102" i="28"/>
  <c r="V58" i="32" s="1"/>
  <c r="W58" i="38"/>
  <c r="W57" i="38"/>
  <c r="W46" i="38" s="1"/>
  <c r="CM101" i="28"/>
  <c r="V57" i="32" s="1"/>
  <c r="V46" i="32" s="1"/>
  <c r="T61" i="64"/>
  <c r="T46" i="69"/>
  <c r="T61" i="69"/>
  <c r="T46" i="64"/>
  <c r="CK79" i="28"/>
  <c r="T57" i="36" s="1"/>
  <c r="T46" i="36" s="1"/>
  <c r="U57" i="39"/>
  <c r="U46" i="39" s="1"/>
  <c r="U58" i="39"/>
  <c r="CK80" i="28"/>
  <c r="T58" i="36" s="1"/>
  <c r="CL79" i="28"/>
  <c r="U57" i="36" s="1"/>
  <c r="U46" i="36" s="1"/>
  <c r="V57" i="39"/>
  <c r="V46" i="39" s="1"/>
  <c r="CI79" i="28"/>
  <c r="S57" i="36" s="1"/>
  <c r="S57" i="39"/>
  <c r="CJ79" i="28"/>
  <c r="T57" i="39"/>
  <c r="T46" i="39" s="1"/>
  <c r="V58" i="39"/>
  <c r="CL80" i="28"/>
  <c r="U58" i="36" s="1"/>
  <c r="CI80" i="28"/>
  <c r="S58" i="36" s="1"/>
  <c r="S58" i="39"/>
  <c r="S61" i="64"/>
  <c r="S46" i="64"/>
  <c r="S46" i="69"/>
  <c r="S61" i="69"/>
  <c r="CJ80" i="28"/>
  <c r="T58" i="39"/>
  <c r="H46" i="64"/>
  <c r="H61" i="69"/>
  <c r="H61" i="64"/>
  <c r="H46" i="69"/>
  <c r="L46" i="69"/>
  <c r="L46" i="64"/>
  <c r="L61" i="64"/>
  <c r="L61" i="69"/>
  <c r="F61" i="64"/>
  <c r="F46" i="64"/>
  <c r="F46" i="69"/>
  <c r="F61" i="69"/>
  <c r="CC111" i="24"/>
  <c r="CC123" i="24" s="1"/>
  <c r="M57" i="38"/>
  <c r="M46" i="38" s="1"/>
  <c r="N58" i="38"/>
  <c r="N48" i="38" s="1"/>
  <c r="O58" i="38"/>
  <c r="O48" i="38" s="1"/>
  <c r="I57" i="38"/>
  <c r="I46" i="38" s="1"/>
  <c r="G57" i="38"/>
  <c r="G46" i="38" s="1"/>
  <c r="E45" i="47"/>
  <c r="R45" i="51"/>
  <c r="E45" i="51" s="1"/>
  <c r="G50" i="47"/>
  <c r="E50" i="47"/>
  <c r="R50" i="51"/>
  <c r="E50" i="51" s="1"/>
  <c r="N57" i="39"/>
  <c r="N46" i="39" s="1"/>
  <c r="G45" i="47"/>
  <c r="P57" i="39"/>
  <c r="P46" i="39" s="1"/>
  <c r="L46" i="38"/>
  <c r="L48" i="38"/>
  <c r="I46" i="39"/>
  <c r="I48" i="39"/>
  <c r="H46" i="39"/>
  <c r="H48" i="39"/>
  <c r="G46" i="39"/>
  <c r="G48" i="39"/>
  <c r="J46" i="38"/>
  <c r="J48" i="38"/>
  <c r="J46" i="39"/>
  <c r="J48" i="39"/>
  <c r="P58" i="32"/>
  <c r="P58" i="38"/>
  <c r="P48" i="38" s="1"/>
  <c r="H46" i="38"/>
  <c r="H48" i="38"/>
  <c r="F46" i="38"/>
  <c r="F48" i="38"/>
  <c r="K46" i="39"/>
  <c r="K48" i="39"/>
  <c r="N58" i="36"/>
  <c r="N58" i="39"/>
  <c r="F46" i="39"/>
  <c r="F48" i="39"/>
  <c r="M46" i="39"/>
  <c r="M48" i="39"/>
  <c r="K46" i="38"/>
  <c r="K48" i="38"/>
  <c r="L46" i="39"/>
  <c r="L48" i="39"/>
  <c r="CC104" i="24"/>
  <c r="CC117" i="24" s="1"/>
  <c r="CC98" i="24"/>
  <c r="CC96" i="24"/>
  <c r="CC94" i="24"/>
  <c r="CC97" i="24"/>
  <c r="CC95" i="24"/>
  <c r="CC50" i="24"/>
  <c r="CC46" i="24"/>
  <c r="CC62" i="24"/>
  <c r="CC74" i="24" s="1"/>
  <c r="BD104" i="24"/>
  <c r="BD117" i="24" s="1"/>
  <c r="BD129" i="24" s="1"/>
  <c r="CC47" i="24"/>
  <c r="D54" i="41"/>
  <c r="D47" i="41"/>
  <c r="CC48" i="24"/>
  <c r="D63" i="41"/>
  <c r="CC55" i="24"/>
  <c r="CC68" i="24" s="1"/>
  <c r="CC81" i="24"/>
  <c r="BB110" i="24"/>
  <c r="BB122" i="24" s="1"/>
  <c r="BB128" i="24" s="1"/>
  <c r="CC128" i="24"/>
  <c r="BD99" i="24"/>
  <c r="BB55" i="24"/>
  <c r="BB68" i="24" s="1"/>
  <c r="BB80" i="24" s="1"/>
  <c r="BD94" i="24"/>
  <c r="BD97" i="24"/>
  <c r="BD96" i="24"/>
  <c r="BD98" i="24"/>
  <c r="BA50" i="24"/>
  <c r="BD95" i="24"/>
  <c r="BD50" i="24"/>
  <c r="AW56" i="24"/>
  <c r="AW69" i="24" s="1"/>
  <c r="AW81" i="24" s="1"/>
  <c r="BD46" i="24"/>
  <c r="AW62" i="24"/>
  <c r="AW74" i="24" s="1"/>
  <c r="BD48" i="24"/>
  <c r="BD49" i="24"/>
  <c r="BD73" i="24"/>
  <c r="BD76" i="24" s="1"/>
  <c r="BD47" i="24"/>
  <c r="BD121" i="24"/>
  <c r="BD124" i="24" s="1"/>
  <c r="BC50" i="24"/>
  <c r="BC49" i="24"/>
  <c r="BC48" i="24"/>
  <c r="BC47" i="24"/>
  <c r="BC46" i="24"/>
  <c r="BC104" i="24"/>
  <c r="BC117" i="24" s="1"/>
  <c r="BC129" i="24" s="1"/>
  <c r="BC103" i="24"/>
  <c r="BC116" i="24" s="1"/>
  <c r="BC128" i="24" s="1"/>
  <c r="BC64" i="24"/>
  <c r="BC73" i="24"/>
  <c r="BC76" i="24" s="1"/>
  <c r="BC96" i="24"/>
  <c r="BC95" i="24"/>
  <c r="BC97" i="24"/>
  <c r="BC94" i="24"/>
  <c r="BC99" i="24"/>
  <c r="BC98" i="24"/>
  <c r="BC121" i="24"/>
  <c r="BC124" i="24" s="1"/>
  <c r="BC112" i="24"/>
  <c r="BA46" i="24"/>
  <c r="BC55" i="24"/>
  <c r="BC68" i="24" s="1"/>
  <c r="BC80" i="24" s="1"/>
  <c r="BC56" i="24"/>
  <c r="BC69" i="24" s="1"/>
  <c r="BC81" i="24" s="1"/>
  <c r="AW50" i="24"/>
  <c r="BA104" i="24"/>
  <c r="BA117" i="24" s="1"/>
  <c r="BA48" i="24"/>
  <c r="AW48" i="24"/>
  <c r="AW49" i="24"/>
  <c r="BA49" i="24"/>
  <c r="BE104" i="24"/>
  <c r="BE117" i="24" s="1"/>
  <c r="BE129" i="24" s="1"/>
  <c r="BE103" i="24"/>
  <c r="BE116" i="24" s="1"/>
  <c r="BE128" i="24" s="1"/>
  <c r="BE64" i="24"/>
  <c r="BE73" i="24"/>
  <c r="BE76" i="24" s="1"/>
  <c r="BE96" i="24"/>
  <c r="BE95" i="24"/>
  <c r="BE94" i="24"/>
  <c r="BE97" i="24"/>
  <c r="BE99" i="24"/>
  <c r="BE98" i="24"/>
  <c r="BE50" i="24"/>
  <c r="BE49" i="24"/>
  <c r="BE48" i="24"/>
  <c r="BE47" i="24"/>
  <c r="BE46" i="24"/>
  <c r="BE121" i="24"/>
  <c r="BE124" i="24" s="1"/>
  <c r="BE112" i="24"/>
  <c r="BE56" i="24"/>
  <c r="BE69" i="24" s="1"/>
  <c r="BE81" i="24" s="1"/>
  <c r="BE55" i="24"/>
  <c r="BE68" i="24" s="1"/>
  <c r="BE80" i="24" s="1"/>
  <c r="BB47" i="24"/>
  <c r="BA63" i="24"/>
  <c r="BA75" i="24" s="1"/>
  <c r="BB49" i="24"/>
  <c r="AY107" i="24"/>
  <c r="AY111" i="24" s="1"/>
  <c r="AY123" i="24" s="1"/>
  <c r="BB46" i="24"/>
  <c r="BB50" i="24"/>
  <c r="BB63" i="24"/>
  <c r="BB75" i="24" s="1"/>
  <c r="AS80" i="24"/>
  <c r="AY59" i="24"/>
  <c r="AY63" i="24" s="1"/>
  <c r="AY75" i="24" s="1"/>
  <c r="AY102" i="24"/>
  <c r="AY103" i="24" s="1"/>
  <c r="AY116" i="24" s="1"/>
  <c r="BA98" i="24"/>
  <c r="BA95" i="24"/>
  <c r="AT128" i="24"/>
  <c r="BA99" i="24"/>
  <c r="AW47" i="24"/>
  <c r="AY54" i="24"/>
  <c r="AY56" i="24" s="1"/>
  <c r="AY69" i="24" s="1"/>
  <c r="AW46" i="24"/>
  <c r="AY37" i="24"/>
  <c r="BA96" i="24"/>
  <c r="BA97" i="24"/>
  <c r="BA111" i="24"/>
  <c r="BA123" i="24" s="1"/>
  <c r="BA110" i="24"/>
  <c r="BA122" i="24" s="1"/>
  <c r="BA128" i="24" s="1"/>
  <c r="AW111" i="24"/>
  <c r="AW123" i="24" s="1"/>
  <c r="AW104" i="24"/>
  <c r="AW117" i="24" s="1"/>
  <c r="AW110" i="24"/>
  <c r="AW122" i="24" s="1"/>
  <c r="AW128" i="24" s="1"/>
  <c r="BA80" i="24"/>
  <c r="BB97" i="24"/>
  <c r="AZ56" i="24"/>
  <c r="AZ69" i="24" s="1"/>
  <c r="AZ55" i="24"/>
  <c r="AZ68" i="24" s="1"/>
  <c r="AZ50" i="24"/>
  <c r="AZ49" i="24"/>
  <c r="AZ48" i="24"/>
  <c r="AZ47" i="24"/>
  <c r="AZ46" i="24"/>
  <c r="BB99" i="24"/>
  <c r="BA56" i="24"/>
  <c r="BA69" i="24" s="1"/>
  <c r="AZ62" i="24"/>
  <c r="AZ74" i="24" s="1"/>
  <c r="AZ63" i="24"/>
  <c r="AZ75" i="24" s="1"/>
  <c r="BB94" i="24"/>
  <c r="AZ104" i="24"/>
  <c r="AZ117" i="24" s="1"/>
  <c r="AZ103" i="24"/>
  <c r="AZ116" i="24" s="1"/>
  <c r="AS81" i="24"/>
  <c r="BB98" i="24"/>
  <c r="AZ95" i="24"/>
  <c r="AZ94" i="24"/>
  <c r="AZ99" i="24"/>
  <c r="AZ98" i="24"/>
  <c r="AZ97" i="24"/>
  <c r="AZ96" i="24"/>
  <c r="BB96" i="24"/>
  <c r="AZ111" i="24"/>
  <c r="AZ123" i="24" s="1"/>
  <c r="AZ110" i="24"/>
  <c r="AZ122" i="24" s="1"/>
  <c r="AY95" i="24"/>
  <c r="AY99" i="24"/>
  <c r="AY94" i="24"/>
  <c r="AY98" i="24"/>
  <c r="AY97" i="24"/>
  <c r="AY96" i="24"/>
  <c r="AX80" i="24"/>
  <c r="AT80" i="24"/>
  <c r="AT81" i="24"/>
  <c r="AS128" i="24"/>
  <c r="AS129" i="24"/>
  <c r="AT129" i="24"/>
  <c r="AV81" i="24"/>
  <c r="AV80" i="24"/>
  <c r="AV128" i="24"/>
  <c r="AV129" i="24"/>
  <c r="G57" i="36"/>
  <c r="I57" i="36"/>
  <c r="H57" i="36"/>
  <c r="AQ94" i="28"/>
  <c r="AQ87" i="28" s="1"/>
  <c r="AQ80" i="28" s="1"/>
  <c r="BB129" i="24"/>
  <c r="F57" i="32"/>
  <c r="F57" i="36"/>
  <c r="BI121" i="24"/>
  <c r="BI124" i="24" s="1"/>
  <c r="BI112" i="24"/>
  <c r="AX129" i="24"/>
  <c r="L57" i="32"/>
  <c r="BI55" i="24"/>
  <c r="BI68" i="24" s="1"/>
  <c r="BI80" i="24" s="1"/>
  <c r="BI56" i="24"/>
  <c r="BI69" i="24" s="1"/>
  <c r="BI81" i="24" s="1"/>
  <c r="BK5" i="24"/>
  <c r="BI96" i="24"/>
  <c r="BI98" i="24"/>
  <c r="BI99" i="24"/>
  <c r="BI97" i="24"/>
  <c r="BI95" i="24"/>
  <c r="BI94" i="24"/>
  <c r="BJ59" i="24"/>
  <c r="BJ85" i="24"/>
  <c r="BJ54" i="24"/>
  <c r="BJ107" i="24"/>
  <c r="BJ102" i="24"/>
  <c r="BJ37" i="24"/>
  <c r="AX81" i="24"/>
  <c r="BI73" i="24"/>
  <c r="BI76" i="24" s="1"/>
  <c r="BI64" i="24"/>
  <c r="AX128" i="24"/>
  <c r="BI104" i="24"/>
  <c r="BI117" i="24" s="1"/>
  <c r="BI129" i="24" s="1"/>
  <c r="BI103" i="24"/>
  <c r="BI116" i="24" s="1"/>
  <c r="BI128" i="24" s="1"/>
  <c r="BI48" i="24"/>
  <c r="BI49" i="24"/>
  <c r="BI47" i="24"/>
  <c r="BI46" i="24"/>
  <c r="BI50" i="24"/>
  <c r="K57" i="36"/>
  <c r="M57" i="36"/>
  <c r="J57" i="32"/>
  <c r="K57" i="32"/>
  <c r="H57" i="32"/>
  <c r="D56" i="42"/>
  <c r="J57" i="36"/>
  <c r="P57" i="36"/>
  <c r="P46" i="36" s="1"/>
  <c r="L57" i="36"/>
  <c r="N57" i="32"/>
  <c r="N46" i="32" s="1"/>
  <c r="O57" i="32"/>
  <c r="O46" i="32" s="1"/>
  <c r="P57" i="32"/>
  <c r="P46" i="32" s="1"/>
  <c r="W48" i="38" l="1"/>
  <c r="W57" i="39"/>
  <c r="W46" i="39" s="1"/>
  <c r="CM79" i="28"/>
  <c r="V57" i="36" s="1"/>
  <c r="V46" i="36" s="1"/>
  <c r="E48" i="36"/>
  <c r="E48" i="39"/>
  <c r="T63" i="69"/>
  <c r="T48" i="64"/>
  <c r="S63" i="64"/>
  <c r="S48" i="64"/>
  <c r="T48" i="69"/>
  <c r="S48" i="69"/>
  <c r="U48" i="36"/>
  <c r="V48" i="39"/>
  <c r="T48" i="39"/>
  <c r="W48" i="39"/>
  <c r="U48" i="39"/>
  <c r="U61" i="69"/>
  <c r="U46" i="69"/>
  <c r="U61" i="64"/>
  <c r="U46" i="64"/>
  <c r="T48" i="36"/>
  <c r="V48" i="32"/>
  <c r="M46" i="64"/>
  <c r="M46" i="69"/>
  <c r="M61" i="64"/>
  <c r="M61" i="69"/>
  <c r="O61" i="64"/>
  <c r="O61" i="69"/>
  <c r="O46" i="64"/>
  <c r="O46" i="69"/>
  <c r="CC129" i="24"/>
  <c r="N61" i="64"/>
  <c r="N61" i="69"/>
  <c r="N46" i="64"/>
  <c r="N46" i="69"/>
  <c r="O57" i="39"/>
  <c r="N57" i="36"/>
  <c r="N46" i="36" s="1"/>
  <c r="N48" i="39"/>
  <c r="P58" i="36"/>
  <c r="P48" i="36" s="1"/>
  <c r="O48" i="32"/>
  <c r="P48" i="32"/>
  <c r="K46" i="36"/>
  <c r="K48" i="36"/>
  <c r="F46" i="36"/>
  <c r="F48" i="36"/>
  <c r="F46" i="32"/>
  <c r="F48" i="32"/>
  <c r="H46" i="36"/>
  <c r="H48" i="36"/>
  <c r="L46" i="36"/>
  <c r="L48" i="36"/>
  <c r="H46" i="32"/>
  <c r="H48" i="32"/>
  <c r="K46" i="32"/>
  <c r="K48" i="32"/>
  <c r="I46" i="36"/>
  <c r="I48" i="36"/>
  <c r="J46" i="32"/>
  <c r="J48" i="32"/>
  <c r="G46" i="36"/>
  <c r="G48" i="36"/>
  <c r="N48" i="32"/>
  <c r="J46" i="36"/>
  <c r="J48" i="36"/>
  <c r="L46" i="32"/>
  <c r="L48" i="32"/>
  <c r="M46" i="36"/>
  <c r="M48" i="36"/>
  <c r="O48" i="36"/>
  <c r="CC80" i="24"/>
  <c r="BW5" i="24"/>
  <c r="BV5" i="24"/>
  <c r="BU5" i="24"/>
  <c r="BX5" i="24"/>
  <c r="CB5" i="24"/>
  <c r="CA5" i="24"/>
  <c r="BY5" i="24"/>
  <c r="AW80" i="24"/>
  <c r="AY110" i="24"/>
  <c r="AY122" i="24" s="1"/>
  <c r="AY128" i="24" s="1"/>
  <c r="AY55" i="24"/>
  <c r="AY68" i="24" s="1"/>
  <c r="BB81" i="24"/>
  <c r="BA129" i="24"/>
  <c r="AY104" i="24"/>
  <c r="AY117" i="24" s="1"/>
  <c r="AY129" i="24" s="1"/>
  <c r="BA81" i="24"/>
  <c r="BH5" i="24"/>
  <c r="BH61" i="24" s="1"/>
  <c r="BG5" i="24"/>
  <c r="BG61" i="24" s="1"/>
  <c r="BL5" i="24"/>
  <c r="BF5" i="24"/>
  <c r="BF61" i="24" s="1"/>
  <c r="AY62" i="24"/>
  <c r="AY74" i="24" s="1"/>
  <c r="BM5" i="24"/>
  <c r="AY48" i="24"/>
  <c r="AY49" i="24"/>
  <c r="AY46" i="24"/>
  <c r="AY50" i="24"/>
  <c r="AY47" i="24"/>
  <c r="BR5" i="24"/>
  <c r="BS5" i="24"/>
  <c r="BN5" i="24"/>
  <c r="BP5" i="24"/>
  <c r="AW129" i="24"/>
  <c r="AZ128" i="24"/>
  <c r="AZ80" i="24"/>
  <c r="AZ129" i="24"/>
  <c r="AZ81" i="24"/>
  <c r="AY81" i="24"/>
  <c r="BJ62" i="24"/>
  <c r="BJ74" i="24" s="1"/>
  <c r="BJ63" i="24"/>
  <c r="BJ75" i="24" s="1"/>
  <c r="BT5" i="24"/>
  <c r="BK37" i="24"/>
  <c r="BK102" i="24"/>
  <c r="BK85" i="24"/>
  <c r="BK59" i="24"/>
  <c r="BK54" i="24"/>
  <c r="BK107" i="24"/>
  <c r="BJ47" i="24"/>
  <c r="BJ50" i="24"/>
  <c r="BJ48" i="24"/>
  <c r="BJ49" i="24"/>
  <c r="BJ46" i="24"/>
  <c r="BJ104" i="24"/>
  <c r="BJ117" i="24" s="1"/>
  <c r="BJ103" i="24"/>
  <c r="BJ116" i="24" s="1"/>
  <c r="BJ110" i="24"/>
  <c r="BJ122" i="24" s="1"/>
  <c r="BJ111" i="24"/>
  <c r="BJ123" i="24" s="1"/>
  <c r="BJ56" i="24"/>
  <c r="BJ69" i="24" s="1"/>
  <c r="BJ55" i="24"/>
  <c r="BJ68" i="24" s="1"/>
  <c r="BJ98" i="24"/>
  <c r="BJ97" i="24"/>
  <c r="BJ96" i="24"/>
  <c r="BJ95" i="24"/>
  <c r="BJ94" i="24"/>
  <c r="BJ99" i="24"/>
  <c r="V48" i="36" l="1"/>
  <c r="U63" i="64"/>
  <c r="U48" i="64"/>
  <c r="U48" i="69"/>
  <c r="U63" i="69"/>
  <c r="G63" i="69"/>
  <c r="G48" i="69"/>
  <c r="G63" i="64"/>
  <c r="G48" i="64"/>
  <c r="G46" i="64"/>
  <c r="G61" i="64"/>
  <c r="G61" i="69"/>
  <c r="G46" i="69"/>
  <c r="I48" i="69"/>
  <c r="I63" i="69"/>
  <c r="I48" i="64"/>
  <c r="I63" i="64"/>
  <c r="K61" i="69"/>
  <c r="K46" i="69"/>
  <c r="K46" i="64"/>
  <c r="K61" i="64"/>
  <c r="K48" i="64"/>
  <c r="K63" i="64"/>
  <c r="K63" i="69"/>
  <c r="K48" i="69"/>
  <c r="I46" i="64"/>
  <c r="I61" i="69"/>
  <c r="I61" i="64"/>
  <c r="I46" i="69"/>
  <c r="O63" i="69"/>
  <c r="O48" i="69"/>
  <c r="O63" i="64"/>
  <c r="O48" i="64"/>
  <c r="N63" i="64"/>
  <c r="N63" i="69"/>
  <c r="N48" i="64"/>
  <c r="N48" i="69"/>
  <c r="J48" i="64"/>
  <c r="J48" i="69"/>
  <c r="J63" i="69"/>
  <c r="E63" i="64"/>
  <c r="E48" i="69"/>
  <c r="E63" i="69"/>
  <c r="E48" i="64"/>
  <c r="M63" i="64"/>
  <c r="M48" i="64"/>
  <c r="M63" i="69"/>
  <c r="M48" i="69"/>
  <c r="J61" i="69"/>
  <c r="J46" i="69"/>
  <c r="E61" i="64"/>
  <c r="E46" i="69"/>
  <c r="E46" i="64"/>
  <c r="E61" i="69"/>
  <c r="J46" i="64"/>
  <c r="J61" i="64"/>
  <c r="J63" i="64"/>
  <c r="N48" i="36"/>
  <c r="BO5" i="24"/>
  <c r="BO85" i="24" s="1"/>
  <c r="P58" i="39"/>
  <c r="P48" i="39" s="1"/>
  <c r="O46" i="39"/>
  <c r="O48" i="39"/>
  <c r="BU107" i="24"/>
  <c r="BU85" i="24"/>
  <c r="BU102" i="24"/>
  <c r="BU59" i="24"/>
  <c r="BU54" i="24"/>
  <c r="BU37" i="24"/>
  <c r="BV85" i="24"/>
  <c r="BV102" i="24"/>
  <c r="BV59" i="24"/>
  <c r="BV107" i="24"/>
  <c r="BV54" i="24"/>
  <c r="BV37" i="24"/>
  <c r="CA54" i="24"/>
  <c r="CA107" i="24"/>
  <c r="CA85" i="24"/>
  <c r="CA59" i="24"/>
  <c r="CA102" i="24"/>
  <c r="CA37" i="24"/>
  <c r="CB54" i="24"/>
  <c r="CB107" i="24"/>
  <c r="CB85" i="24"/>
  <c r="CB102" i="24"/>
  <c r="CB59" i="24"/>
  <c r="CB37" i="24"/>
  <c r="BW85" i="24"/>
  <c r="BW102" i="24"/>
  <c r="BW59" i="24"/>
  <c r="BW107" i="24"/>
  <c r="BW54" i="24"/>
  <c r="BW37" i="24"/>
  <c r="BX102" i="24"/>
  <c r="BX59" i="24"/>
  <c r="BX54" i="24"/>
  <c r="BX85" i="24"/>
  <c r="BX37" i="24"/>
  <c r="BX107" i="24"/>
  <c r="BY59" i="24"/>
  <c r="BY54" i="24"/>
  <c r="BY107" i="24"/>
  <c r="BY85" i="24"/>
  <c r="BY102" i="24"/>
  <c r="BY37" i="24"/>
  <c r="AY80" i="24"/>
  <c r="CG5" i="24"/>
  <c r="CG102" i="24" s="1"/>
  <c r="BH54" i="24"/>
  <c r="BH85" i="24"/>
  <c r="BH107" i="24"/>
  <c r="BH102" i="24"/>
  <c r="BH37" i="24"/>
  <c r="BH59" i="24"/>
  <c r="BF59" i="24"/>
  <c r="BF54" i="24"/>
  <c r="BF85" i="24"/>
  <c r="BF107" i="24"/>
  <c r="BF102" i="24"/>
  <c r="BF37" i="24"/>
  <c r="BL54" i="24"/>
  <c r="BL37" i="24"/>
  <c r="BL107" i="24"/>
  <c r="BL59" i="24"/>
  <c r="BL85" i="24"/>
  <c r="BL102" i="24"/>
  <c r="BG59" i="24"/>
  <c r="BG54" i="24"/>
  <c r="BG85" i="24"/>
  <c r="BG107" i="24"/>
  <c r="BG102" i="24"/>
  <c r="BG37" i="24"/>
  <c r="BM54" i="24"/>
  <c r="BM56" i="24" s="1"/>
  <c r="BM69" i="24" s="1"/>
  <c r="BM107" i="24"/>
  <c r="BM102" i="24"/>
  <c r="BM104" i="24" s="1"/>
  <c r="BM117" i="24" s="1"/>
  <c r="BM37" i="24"/>
  <c r="BM85" i="24"/>
  <c r="BM59" i="24"/>
  <c r="BM63" i="24" s="1"/>
  <c r="BM75" i="24" s="1"/>
  <c r="BP107" i="24"/>
  <c r="BP85" i="24"/>
  <c r="BP59" i="24"/>
  <c r="BP54" i="24"/>
  <c r="BP37" i="24"/>
  <c r="BP102" i="24"/>
  <c r="BN54" i="24"/>
  <c r="BN107" i="24"/>
  <c r="BN85" i="24"/>
  <c r="BN102" i="24"/>
  <c r="BN59" i="24"/>
  <c r="BN37" i="24"/>
  <c r="BS54" i="24"/>
  <c r="BS59" i="24"/>
  <c r="BS37" i="24"/>
  <c r="BS102" i="24"/>
  <c r="BS107" i="24"/>
  <c r="BS85" i="24"/>
  <c r="BR85" i="24"/>
  <c r="BR54" i="24"/>
  <c r="BR59" i="24"/>
  <c r="BR37" i="24"/>
  <c r="BR107" i="24"/>
  <c r="BR102" i="24"/>
  <c r="BJ80" i="24"/>
  <c r="BJ81" i="24"/>
  <c r="BJ129" i="24"/>
  <c r="BK95" i="24"/>
  <c r="BK99" i="24"/>
  <c r="BK98" i="24"/>
  <c r="BK96" i="24"/>
  <c r="BK97" i="24"/>
  <c r="BK94" i="24"/>
  <c r="BK104" i="24"/>
  <c r="BK117" i="24" s="1"/>
  <c r="BK103" i="24"/>
  <c r="BK116" i="24" s="1"/>
  <c r="CN5" i="24"/>
  <c r="CN61" i="24" s="1"/>
  <c r="BK50" i="24"/>
  <c r="BK49" i="24"/>
  <c r="BK48" i="24"/>
  <c r="BK46" i="24"/>
  <c r="BK47" i="24"/>
  <c r="BT54" i="24"/>
  <c r="BT107" i="24"/>
  <c r="BT102" i="24"/>
  <c r="BT85" i="24"/>
  <c r="BT37" i="24"/>
  <c r="BT59" i="24"/>
  <c r="BJ128" i="24"/>
  <c r="BK110" i="24"/>
  <c r="BK122" i="24" s="1"/>
  <c r="BK111" i="24"/>
  <c r="BK123" i="24" s="1"/>
  <c r="BK55" i="24"/>
  <c r="BK68" i="24" s="1"/>
  <c r="BK56" i="24"/>
  <c r="BK69" i="24" s="1"/>
  <c r="BK62" i="24"/>
  <c r="BK74" i="24" s="1"/>
  <c r="BK63" i="24"/>
  <c r="BK75" i="24" s="1"/>
  <c r="BO107" i="24" l="1"/>
  <c r="BO59" i="24"/>
  <c r="BO54" i="24"/>
  <c r="BO102" i="24"/>
  <c r="BO37" i="24"/>
  <c r="BO48" i="24" s="1"/>
  <c r="CF5" i="24"/>
  <c r="CF37" i="24" s="1"/>
  <c r="BW63" i="24"/>
  <c r="BW75" i="24" s="1"/>
  <c r="BW62" i="24"/>
  <c r="BW74" i="24" s="1"/>
  <c r="BY103" i="24"/>
  <c r="BY116" i="24" s="1"/>
  <c r="BY104" i="24"/>
  <c r="BY117" i="24" s="1"/>
  <c r="CB110" i="24"/>
  <c r="CB122" i="24" s="1"/>
  <c r="CB111" i="24"/>
  <c r="CB123" i="24" s="1"/>
  <c r="CA55" i="24"/>
  <c r="CA68" i="24" s="1"/>
  <c r="CA56" i="24"/>
  <c r="CA69" i="24" s="1"/>
  <c r="BU50" i="24"/>
  <c r="BU49" i="24"/>
  <c r="BU48" i="24"/>
  <c r="BU47" i="24"/>
  <c r="BU46" i="24"/>
  <c r="BY99" i="24"/>
  <c r="BY98" i="24"/>
  <c r="BY97" i="24"/>
  <c r="BY96" i="24"/>
  <c r="BY95" i="24"/>
  <c r="BY94" i="24"/>
  <c r="BX56" i="24"/>
  <c r="BX69" i="24" s="1"/>
  <c r="BX55" i="24"/>
  <c r="BX68" i="24" s="1"/>
  <c r="CB55" i="24"/>
  <c r="CB68" i="24" s="1"/>
  <c r="CB56" i="24"/>
  <c r="CB69" i="24" s="1"/>
  <c r="BV50" i="24"/>
  <c r="BV49" i="24"/>
  <c r="BV48" i="24"/>
  <c r="BV47" i="24"/>
  <c r="BV46" i="24"/>
  <c r="BU55" i="24"/>
  <c r="BU68" i="24" s="1"/>
  <c r="BU56" i="24"/>
  <c r="BU69" i="24" s="1"/>
  <c r="BY111" i="24"/>
  <c r="BY123" i="24" s="1"/>
  <c r="BY110" i="24"/>
  <c r="BY122" i="24" s="1"/>
  <c r="BX63" i="24"/>
  <c r="BX75" i="24" s="1"/>
  <c r="BX62" i="24"/>
  <c r="BX74" i="24" s="1"/>
  <c r="BW99" i="24"/>
  <c r="BW98" i="24"/>
  <c r="BW97" i="24"/>
  <c r="BW95" i="24"/>
  <c r="BW94" i="24"/>
  <c r="BW96" i="24"/>
  <c r="CA50" i="24"/>
  <c r="CA49" i="24"/>
  <c r="CA46" i="24"/>
  <c r="CA48" i="24"/>
  <c r="CA47" i="24"/>
  <c r="BV56" i="24"/>
  <c r="BV69" i="24" s="1"/>
  <c r="BV55" i="24"/>
  <c r="BV68" i="24" s="1"/>
  <c r="BU63" i="24"/>
  <c r="BU75" i="24" s="1"/>
  <c r="BU62" i="24"/>
  <c r="BU74" i="24" s="1"/>
  <c r="BY56" i="24"/>
  <c r="BY69" i="24" s="1"/>
  <c r="BY55" i="24"/>
  <c r="BY68" i="24" s="1"/>
  <c r="BX104" i="24"/>
  <c r="BX117" i="24" s="1"/>
  <c r="BX103" i="24"/>
  <c r="BX116" i="24" s="1"/>
  <c r="CB50" i="24"/>
  <c r="CB49" i="24"/>
  <c r="CB48" i="24"/>
  <c r="CB47" i="24"/>
  <c r="CB46" i="24"/>
  <c r="CA104" i="24"/>
  <c r="CA117" i="24" s="1"/>
  <c r="CA103" i="24"/>
  <c r="CA116" i="24" s="1"/>
  <c r="BV111" i="24"/>
  <c r="BV123" i="24" s="1"/>
  <c r="BV110" i="24"/>
  <c r="BV122" i="24" s="1"/>
  <c r="BU104" i="24"/>
  <c r="BU117" i="24" s="1"/>
  <c r="BU103" i="24"/>
  <c r="BU116" i="24" s="1"/>
  <c r="CB96" i="24"/>
  <c r="CB95" i="24"/>
  <c r="CB94" i="24"/>
  <c r="CB98" i="24"/>
  <c r="CB97" i="24"/>
  <c r="CB99" i="24"/>
  <c r="BY62" i="24"/>
  <c r="BY74" i="24" s="1"/>
  <c r="BY63" i="24"/>
  <c r="BY75" i="24" s="1"/>
  <c r="BW49" i="24"/>
  <c r="BW48" i="24"/>
  <c r="BW47" i="24"/>
  <c r="BW46" i="24"/>
  <c r="BW50" i="24"/>
  <c r="CB63" i="24"/>
  <c r="CB75" i="24" s="1"/>
  <c r="CB62" i="24"/>
  <c r="CB74" i="24" s="1"/>
  <c r="CA62" i="24"/>
  <c r="CA74" i="24" s="1"/>
  <c r="CA63" i="24"/>
  <c r="CA75" i="24" s="1"/>
  <c r="BV62" i="24"/>
  <c r="BV74" i="24" s="1"/>
  <c r="BV63" i="24"/>
  <c r="BV75" i="24" s="1"/>
  <c r="CA111" i="24"/>
  <c r="CA123" i="24" s="1"/>
  <c r="CA110" i="24"/>
  <c r="CA122" i="24" s="1"/>
  <c r="BW103" i="24"/>
  <c r="BW116" i="24" s="1"/>
  <c r="BW104" i="24"/>
  <c r="BW117" i="24" s="1"/>
  <c r="BX111" i="24"/>
  <c r="BX123" i="24" s="1"/>
  <c r="BX110" i="24"/>
  <c r="BX122" i="24" s="1"/>
  <c r="BW56" i="24"/>
  <c r="BW69" i="24" s="1"/>
  <c r="BW55" i="24"/>
  <c r="BW68" i="24" s="1"/>
  <c r="CB104" i="24"/>
  <c r="CB117" i="24" s="1"/>
  <c r="CB103" i="24"/>
  <c r="CB116" i="24" s="1"/>
  <c r="BV104" i="24"/>
  <c r="BV117" i="24" s="1"/>
  <c r="BV103" i="24"/>
  <c r="BV116" i="24" s="1"/>
  <c r="BU95" i="24"/>
  <c r="BU94" i="24"/>
  <c r="BU99" i="24"/>
  <c r="BU97" i="24"/>
  <c r="BU96" i="24"/>
  <c r="BU98" i="24"/>
  <c r="BY47" i="24"/>
  <c r="BY46" i="24"/>
  <c r="BY48" i="24"/>
  <c r="BY49" i="24"/>
  <c r="BY50" i="24"/>
  <c r="BV94" i="24"/>
  <c r="BV99" i="24"/>
  <c r="BV98" i="24"/>
  <c r="BV96" i="24"/>
  <c r="BV95" i="24"/>
  <c r="BV97" i="24"/>
  <c r="BX99" i="24"/>
  <c r="BX98" i="24"/>
  <c r="BX97" i="24"/>
  <c r="BX96" i="24"/>
  <c r="BX94" i="24"/>
  <c r="BX95" i="24"/>
  <c r="BX48" i="24"/>
  <c r="BX47" i="24"/>
  <c r="BX46" i="24"/>
  <c r="BX49" i="24"/>
  <c r="BX50" i="24"/>
  <c r="BW111" i="24"/>
  <c r="BW123" i="24" s="1"/>
  <c r="BW110" i="24"/>
  <c r="BW122" i="24" s="1"/>
  <c r="CA97" i="24"/>
  <c r="CA96" i="24"/>
  <c r="CA95" i="24"/>
  <c r="CA94" i="24"/>
  <c r="CA99" i="24"/>
  <c r="CA98" i="24"/>
  <c r="BU110" i="24"/>
  <c r="BU122" i="24" s="1"/>
  <c r="BU111" i="24"/>
  <c r="BU123" i="24" s="1"/>
  <c r="CG37" i="24"/>
  <c r="CG59" i="24"/>
  <c r="CG63" i="24" s="1"/>
  <c r="CG75" i="24" s="1"/>
  <c r="CG107" i="24"/>
  <c r="CG111" i="24" s="1"/>
  <c r="CG123" i="24" s="1"/>
  <c r="CG85" i="24"/>
  <c r="CG54" i="24"/>
  <c r="CG56" i="24" s="1"/>
  <c r="CG69" i="24" s="1"/>
  <c r="CD5" i="24"/>
  <c r="CE5" i="24"/>
  <c r="BM95" i="24"/>
  <c r="BM96" i="24"/>
  <c r="BM48" i="24"/>
  <c r="BM49" i="24"/>
  <c r="BM103" i="24"/>
  <c r="BM116" i="24" s="1"/>
  <c r="BM50" i="24"/>
  <c r="BM55" i="24"/>
  <c r="BM68" i="24" s="1"/>
  <c r="BG63" i="24"/>
  <c r="BG75" i="24" s="1"/>
  <c r="BG62" i="24"/>
  <c r="BG74" i="24" s="1"/>
  <c r="BL63" i="24"/>
  <c r="BL75" i="24" s="1"/>
  <c r="BL62" i="24"/>
  <c r="BL74" i="24" s="1"/>
  <c r="BF73" i="24"/>
  <c r="BH109" i="24"/>
  <c r="BH110" i="24"/>
  <c r="BH122" i="24" s="1"/>
  <c r="BH111" i="24"/>
  <c r="BH123" i="24" s="1"/>
  <c r="BM47" i="24"/>
  <c r="BL110" i="24"/>
  <c r="BL122" i="24" s="1"/>
  <c r="BL111" i="24"/>
  <c r="BL123" i="24" s="1"/>
  <c r="BF94" i="24"/>
  <c r="BF99" i="24"/>
  <c r="BF96" i="24"/>
  <c r="BF98" i="24"/>
  <c r="BF95" i="24"/>
  <c r="BF97" i="24"/>
  <c r="BH73" i="24"/>
  <c r="BM110" i="24"/>
  <c r="BM122" i="24" s="1"/>
  <c r="BG47" i="24"/>
  <c r="BG49" i="24"/>
  <c r="BG46" i="24"/>
  <c r="BG48" i="24"/>
  <c r="BG50" i="24"/>
  <c r="BF56" i="24"/>
  <c r="BF69" i="24" s="1"/>
  <c r="BF55" i="24"/>
  <c r="BF68" i="24" s="1"/>
  <c r="BH96" i="24"/>
  <c r="BH98" i="24"/>
  <c r="BH95" i="24"/>
  <c r="BH97" i="24"/>
  <c r="BH94" i="24"/>
  <c r="BH99" i="24"/>
  <c r="BM111" i="24"/>
  <c r="BM123" i="24" s="1"/>
  <c r="BM129" i="24" s="1"/>
  <c r="BG103" i="24"/>
  <c r="BG116" i="24" s="1"/>
  <c r="BG104" i="24"/>
  <c r="BG117" i="24" s="1"/>
  <c r="BL47" i="24"/>
  <c r="BL46" i="24"/>
  <c r="BL48" i="24"/>
  <c r="BL50" i="24"/>
  <c r="BL49" i="24"/>
  <c r="BF62" i="24"/>
  <c r="BF74" i="24" s="1"/>
  <c r="BF63" i="24"/>
  <c r="BF75" i="24" s="1"/>
  <c r="BH56" i="24"/>
  <c r="BH69" i="24" s="1"/>
  <c r="BH55" i="24"/>
  <c r="BH68" i="24" s="1"/>
  <c r="BG109" i="24"/>
  <c r="BG111" i="24"/>
  <c r="BG123" i="24" s="1"/>
  <c r="BG110" i="24"/>
  <c r="BG122" i="24" s="1"/>
  <c r="BL56" i="24"/>
  <c r="BL69" i="24" s="1"/>
  <c r="BL55" i="24"/>
  <c r="BL68" i="24" s="1"/>
  <c r="BG73" i="24"/>
  <c r="BF50" i="24"/>
  <c r="BF47" i="24"/>
  <c r="BF49" i="24"/>
  <c r="BF46" i="24"/>
  <c r="BF48" i="24"/>
  <c r="BH63" i="24"/>
  <c r="BH75" i="24" s="1"/>
  <c r="BH62" i="24"/>
  <c r="BH74" i="24" s="1"/>
  <c r="BG99" i="24"/>
  <c r="BG96" i="24"/>
  <c r="BG98" i="24"/>
  <c r="BG95" i="24"/>
  <c r="BG97" i="24"/>
  <c r="BG94" i="24"/>
  <c r="BL103" i="24"/>
  <c r="BL116" i="24" s="1"/>
  <c r="BL104" i="24"/>
  <c r="BL117" i="24" s="1"/>
  <c r="BF104" i="24"/>
  <c r="BF117" i="24" s="1"/>
  <c r="BF103" i="24"/>
  <c r="BF116" i="24" s="1"/>
  <c r="BH49" i="24"/>
  <c r="BH46" i="24"/>
  <c r="BH48" i="24"/>
  <c r="BH50" i="24"/>
  <c r="BH47" i="24"/>
  <c r="BM46" i="24"/>
  <c r="BM62" i="24"/>
  <c r="BM74" i="24" s="1"/>
  <c r="BG56" i="24"/>
  <c r="BG69" i="24" s="1"/>
  <c r="BG55" i="24"/>
  <c r="BG68" i="24" s="1"/>
  <c r="BL94" i="24"/>
  <c r="BL98" i="24"/>
  <c r="BL96" i="24"/>
  <c r="BL95" i="24"/>
  <c r="BL99" i="24"/>
  <c r="BL97" i="24"/>
  <c r="BF109" i="24"/>
  <c r="BF111" i="24"/>
  <c r="BF123" i="24" s="1"/>
  <c r="BF110" i="24"/>
  <c r="BF122" i="24" s="1"/>
  <c r="BH103" i="24"/>
  <c r="BH116" i="24" s="1"/>
  <c r="BH104" i="24"/>
  <c r="BH117" i="24" s="1"/>
  <c r="BM99" i="24"/>
  <c r="BM81" i="24"/>
  <c r="BM94" i="24"/>
  <c r="BM97" i="24"/>
  <c r="BM98" i="24"/>
  <c r="BR56" i="24"/>
  <c r="BR69" i="24" s="1"/>
  <c r="BR55" i="24"/>
  <c r="BR68" i="24" s="1"/>
  <c r="BS62" i="24"/>
  <c r="BS74" i="24" s="1"/>
  <c r="BS63" i="24"/>
  <c r="BS75" i="24" s="1"/>
  <c r="BN55" i="24"/>
  <c r="BN68" i="24" s="1"/>
  <c r="BN56" i="24"/>
  <c r="BN69" i="24" s="1"/>
  <c r="BP110" i="24"/>
  <c r="BP122" i="24" s="1"/>
  <c r="BP111" i="24"/>
  <c r="BP123" i="24" s="1"/>
  <c r="BS55" i="24"/>
  <c r="BS68" i="24" s="1"/>
  <c r="BS56" i="24"/>
  <c r="BS69" i="24" s="1"/>
  <c r="BO63" i="24"/>
  <c r="BO75" i="24" s="1"/>
  <c r="BO62" i="24"/>
  <c r="BO74" i="24" s="1"/>
  <c r="BN50" i="24"/>
  <c r="BN49" i="24"/>
  <c r="BN48" i="24"/>
  <c r="BN47" i="24"/>
  <c r="BN46" i="24"/>
  <c r="BN63" i="24"/>
  <c r="BN75" i="24" s="1"/>
  <c r="BN62" i="24"/>
  <c r="BN74" i="24" s="1"/>
  <c r="BP46" i="24"/>
  <c r="BP48" i="24"/>
  <c r="BP49" i="24"/>
  <c r="BP50" i="24"/>
  <c r="BP47" i="24"/>
  <c r="BO96" i="24"/>
  <c r="BO94" i="24"/>
  <c r="BO95" i="24"/>
  <c r="BO99" i="24"/>
  <c r="BO98" i="24"/>
  <c r="BO97" i="24"/>
  <c r="BR103" i="24"/>
  <c r="BR116" i="24" s="1"/>
  <c r="BR104" i="24"/>
  <c r="BR117" i="24" s="1"/>
  <c r="BS96" i="24"/>
  <c r="BS98" i="24"/>
  <c r="BS99" i="24"/>
  <c r="BS95" i="24"/>
  <c r="BS94" i="24"/>
  <c r="BS97" i="24"/>
  <c r="BN104" i="24"/>
  <c r="BN117" i="24" s="1"/>
  <c r="BN103" i="24"/>
  <c r="BN116" i="24" s="1"/>
  <c r="BP56" i="24"/>
  <c r="BP69" i="24" s="1"/>
  <c r="BP55" i="24"/>
  <c r="BP68" i="24" s="1"/>
  <c r="BR96" i="24"/>
  <c r="BR95" i="24"/>
  <c r="BR99" i="24"/>
  <c r="BR98" i="24"/>
  <c r="BR94" i="24"/>
  <c r="BR97" i="24"/>
  <c r="BP103" i="24"/>
  <c r="BP116" i="24" s="1"/>
  <c r="BP104" i="24"/>
  <c r="BP117" i="24" s="1"/>
  <c r="BO56" i="24"/>
  <c r="BO69" i="24" s="1"/>
  <c r="BO55" i="24"/>
  <c r="BO68" i="24" s="1"/>
  <c r="BR111" i="24"/>
  <c r="BR123" i="24" s="1"/>
  <c r="BR110" i="24"/>
  <c r="BR122" i="24" s="1"/>
  <c r="BS110" i="24"/>
  <c r="BS122" i="24" s="1"/>
  <c r="BS111" i="24"/>
  <c r="BS123" i="24" s="1"/>
  <c r="BO111" i="24"/>
  <c r="BO123" i="24" s="1"/>
  <c r="BO110" i="24"/>
  <c r="BO122" i="24" s="1"/>
  <c r="BR49" i="24"/>
  <c r="BR48" i="24"/>
  <c r="BR47" i="24"/>
  <c r="BR46" i="24"/>
  <c r="BR50" i="24"/>
  <c r="BS104" i="24"/>
  <c r="BS117" i="24" s="1"/>
  <c r="BS103" i="24"/>
  <c r="BS116" i="24" s="1"/>
  <c r="BN96" i="24"/>
  <c r="BN95" i="24"/>
  <c r="BN94" i="24"/>
  <c r="BN99" i="24"/>
  <c r="BN98" i="24"/>
  <c r="BN97" i="24"/>
  <c r="BP63" i="24"/>
  <c r="BP75" i="24" s="1"/>
  <c r="BP62" i="24"/>
  <c r="BP74" i="24" s="1"/>
  <c r="BO103" i="24"/>
  <c r="BO116" i="24" s="1"/>
  <c r="BO104" i="24"/>
  <c r="BO117" i="24" s="1"/>
  <c r="BR63" i="24"/>
  <c r="BR75" i="24" s="1"/>
  <c r="BR62" i="24"/>
  <c r="BR74" i="24" s="1"/>
  <c r="BS48" i="24"/>
  <c r="BS46" i="24"/>
  <c r="BS47" i="24"/>
  <c r="BS50" i="24"/>
  <c r="BS49" i="24"/>
  <c r="BN110" i="24"/>
  <c r="BN122" i="24" s="1"/>
  <c r="BN111" i="24"/>
  <c r="BN123" i="24" s="1"/>
  <c r="BP96" i="24"/>
  <c r="BP94" i="24"/>
  <c r="BP99" i="24"/>
  <c r="BP95" i="24"/>
  <c r="BP97" i="24"/>
  <c r="BP98" i="24"/>
  <c r="BO47" i="24"/>
  <c r="BO46" i="24"/>
  <c r="BO49" i="24"/>
  <c r="BK81" i="24"/>
  <c r="BK129" i="24"/>
  <c r="BK80" i="24"/>
  <c r="BT94" i="24"/>
  <c r="BT98" i="24"/>
  <c r="BT96" i="24"/>
  <c r="BT95" i="24"/>
  <c r="BT99" i="24"/>
  <c r="BT97" i="24"/>
  <c r="CG103" i="24"/>
  <c r="CG116" i="24" s="1"/>
  <c r="CG104" i="24"/>
  <c r="CG117" i="24" s="1"/>
  <c r="BT104" i="24"/>
  <c r="BT117" i="24" s="1"/>
  <c r="BT103" i="24"/>
  <c r="BT116" i="24" s="1"/>
  <c r="CO5" i="24"/>
  <c r="BT111" i="24"/>
  <c r="BT123" i="24" s="1"/>
  <c r="BT110" i="24"/>
  <c r="BT122" i="24" s="1"/>
  <c r="BT56" i="24"/>
  <c r="BT69" i="24" s="1"/>
  <c r="BT55" i="24"/>
  <c r="BT68" i="24" s="1"/>
  <c r="CN54" i="24"/>
  <c r="CN107" i="24"/>
  <c r="CN109" i="24" s="1"/>
  <c r="CN102" i="24"/>
  <c r="CN37" i="24"/>
  <c r="CN85" i="24"/>
  <c r="CN59" i="24"/>
  <c r="BK128" i="24"/>
  <c r="BT63" i="24"/>
  <c r="BT75" i="24" s="1"/>
  <c r="BT62" i="24"/>
  <c r="BT46" i="24"/>
  <c r="BT50" i="24"/>
  <c r="BT48" i="24"/>
  <c r="BT49" i="24"/>
  <c r="BT47" i="24"/>
  <c r="CG55" i="24" l="1"/>
  <c r="CG68" i="24" s="1"/>
  <c r="BO50" i="24"/>
  <c r="CF102" i="24"/>
  <c r="CF104" i="24" s="1"/>
  <c r="CF117" i="24" s="1"/>
  <c r="CF85" i="24"/>
  <c r="CF99" i="24" s="1"/>
  <c r="CF54" i="24"/>
  <c r="CF55" i="24" s="1"/>
  <c r="CF68" i="24" s="1"/>
  <c r="CF107" i="24"/>
  <c r="CF111" i="24" s="1"/>
  <c r="CF123" i="24" s="1"/>
  <c r="CF59" i="24"/>
  <c r="CF63" i="24" s="1"/>
  <c r="CF75" i="24" s="1"/>
  <c r="CH5" i="24"/>
  <c r="CG47" i="24"/>
  <c r="CG62" i="24"/>
  <c r="CG74" i="24" s="1"/>
  <c r="CG49" i="24"/>
  <c r="CG48" i="24"/>
  <c r="CG46" i="24"/>
  <c r="CG50" i="24"/>
  <c r="BW80" i="24"/>
  <c r="BW81" i="24"/>
  <c r="CB129" i="24"/>
  <c r="BY80" i="24"/>
  <c r="BV128" i="24"/>
  <c r="BV129" i="24"/>
  <c r="BX80" i="24"/>
  <c r="BX81" i="24"/>
  <c r="BY129" i="24"/>
  <c r="BW129" i="24"/>
  <c r="BU129" i="24"/>
  <c r="CG110" i="24"/>
  <c r="CG122" i="24" s="1"/>
  <c r="CG128" i="24" s="1"/>
  <c r="BV80" i="24"/>
  <c r="CA80" i="24"/>
  <c r="BW128" i="24"/>
  <c r="BU128" i="24"/>
  <c r="BY81" i="24"/>
  <c r="BV81" i="24"/>
  <c r="CB128" i="24"/>
  <c r="BU81" i="24"/>
  <c r="CB81" i="24"/>
  <c r="BY128" i="24"/>
  <c r="CA128" i="24"/>
  <c r="BX128" i="24"/>
  <c r="BU80" i="24"/>
  <c r="CB80" i="24"/>
  <c r="CA129" i="24"/>
  <c r="BX129" i="24"/>
  <c r="CA81" i="24"/>
  <c r="CG99" i="24"/>
  <c r="CG95" i="24"/>
  <c r="CG98" i="24"/>
  <c r="CG94" i="24"/>
  <c r="CG96" i="24"/>
  <c r="CG97" i="24"/>
  <c r="BG80" i="24"/>
  <c r="BG81" i="24"/>
  <c r="BL128" i="24"/>
  <c r="CF50" i="24"/>
  <c r="CF46" i="24"/>
  <c r="CF47" i="24"/>
  <c r="CF49" i="24"/>
  <c r="CF48" i="24"/>
  <c r="CF97" i="24"/>
  <c r="CF98" i="24"/>
  <c r="CF94" i="24"/>
  <c r="CF96" i="24"/>
  <c r="CF95" i="24"/>
  <c r="CE85" i="24"/>
  <c r="CE107" i="24"/>
  <c r="CE102" i="24"/>
  <c r="CE37" i="24"/>
  <c r="CE59" i="24"/>
  <c r="CE54" i="24"/>
  <c r="CD85" i="24"/>
  <c r="CD107" i="24"/>
  <c r="CD102" i="24"/>
  <c r="CD54" i="24"/>
  <c r="CD59" i="24"/>
  <c r="CD37" i="24"/>
  <c r="BS80" i="24"/>
  <c r="BO80" i="24"/>
  <c r="BG64" i="24"/>
  <c r="BG76" i="24"/>
  <c r="BH129" i="24"/>
  <c r="BM80" i="24"/>
  <c r="BL129" i="24"/>
  <c r="BP129" i="24"/>
  <c r="BL81" i="24"/>
  <c r="BM128" i="24"/>
  <c r="BG128" i="24"/>
  <c r="BF80" i="24"/>
  <c r="BF112" i="24"/>
  <c r="BF121" i="24"/>
  <c r="BF124" i="24" s="1"/>
  <c r="BF81" i="24"/>
  <c r="BH112" i="24"/>
  <c r="BH121" i="24"/>
  <c r="BH124" i="24" s="1"/>
  <c r="BF76" i="24"/>
  <c r="BG112" i="24"/>
  <c r="BG121" i="24"/>
  <c r="BG124" i="24" s="1"/>
  <c r="BF64" i="24"/>
  <c r="BL80" i="24"/>
  <c r="BF128" i="24"/>
  <c r="BH80" i="24"/>
  <c r="BS128" i="24"/>
  <c r="BH128" i="24"/>
  <c r="BF129" i="24"/>
  <c r="BH81" i="24"/>
  <c r="BH76" i="24"/>
  <c r="BS81" i="24"/>
  <c r="BG129" i="24"/>
  <c r="BH64" i="24"/>
  <c r="BN81" i="24"/>
  <c r="BO129" i="24"/>
  <c r="BO128" i="24"/>
  <c r="BP81" i="24"/>
  <c r="BS129" i="24"/>
  <c r="BN129" i="24"/>
  <c r="BR128" i="24"/>
  <c r="BN128" i="24"/>
  <c r="BR129" i="24"/>
  <c r="BN80" i="24"/>
  <c r="BO81" i="24"/>
  <c r="BP128" i="24"/>
  <c r="BR80" i="24"/>
  <c r="BP80" i="24"/>
  <c r="BR81" i="24"/>
  <c r="BT81" i="24"/>
  <c r="BT128" i="24"/>
  <c r="BT129" i="24"/>
  <c r="CG81" i="24"/>
  <c r="CN73" i="24"/>
  <c r="CN76" i="24" s="1"/>
  <c r="CN64" i="24"/>
  <c r="CP5" i="24"/>
  <c r="DK5" i="24"/>
  <c r="DK61" i="24" s="1"/>
  <c r="CO37" i="24"/>
  <c r="CO59" i="24"/>
  <c r="CO54" i="24"/>
  <c r="CO107" i="24"/>
  <c r="CO102" i="24"/>
  <c r="CO85" i="24"/>
  <c r="BT74" i="24"/>
  <c r="CN95" i="24"/>
  <c r="CN98" i="24"/>
  <c r="CN96" i="24"/>
  <c r="CN94" i="24"/>
  <c r="CN97" i="24"/>
  <c r="CN99" i="24"/>
  <c r="CN48" i="24"/>
  <c r="CN47" i="24"/>
  <c r="CN49" i="24"/>
  <c r="CN46" i="24"/>
  <c r="CN50" i="24"/>
  <c r="CG129" i="24"/>
  <c r="CN104" i="24"/>
  <c r="CN117" i="24" s="1"/>
  <c r="CN129" i="24" s="1"/>
  <c r="CN103" i="24"/>
  <c r="CN116" i="24" s="1"/>
  <c r="CN128" i="24" s="1"/>
  <c r="CN121" i="24"/>
  <c r="CN124" i="24" s="1"/>
  <c r="CN112" i="24"/>
  <c r="CN56" i="24"/>
  <c r="CN69" i="24" s="1"/>
  <c r="CN81" i="24" s="1"/>
  <c r="CN55" i="24"/>
  <c r="CN68" i="24" s="1"/>
  <c r="CN80" i="24" s="1"/>
  <c r="CF103" i="24" l="1"/>
  <c r="CF116" i="24" s="1"/>
  <c r="CG80" i="24"/>
  <c r="CF56" i="24"/>
  <c r="CF69" i="24" s="1"/>
  <c r="CF81" i="24" s="1"/>
  <c r="CF110" i="24"/>
  <c r="CF122" i="24" s="1"/>
  <c r="CF62" i="24"/>
  <c r="CF74" i="24" s="1"/>
  <c r="CF80" i="24" s="1"/>
  <c r="CI5" i="24"/>
  <c r="CH54" i="24"/>
  <c r="CH107" i="24"/>
  <c r="CH109" i="24" s="1"/>
  <c r="CH37" i="24"/>
  <c r="CH59" i="24"/>
  <c r="CH102" i="24"/>
  <c r="CH85" i="24"/>
  <c r="CH61" i="24"/>
  <c r="DK107" i="24"/>
  <c r="DK109" i="24" s="1"/>
  <c r="DK102" i="24"/>
  <c r="DK85" i="24"/>
  <c r="DK54" i="24"/>
  <c r="DK59" i="24"/>
  <c r="DK37" i="24"/>
  <c r="CD56" i="24"/>
  <c r="CD69" i="24" s="1"/>
  <c r="CD55" i="24"/>
  <c r="CD68" i="24" s="1"/>
  <c r="CE62" i="24"/>
  <c r="CE74" i="24" s="1"/>
  <c r="CE63" i="24"/>
  <c r="CE75" i="24" s="1"/>
  <c r="CD49" i="24"/>
  <c r="CD48" i="24"/>
  <c r="CD50" i="24"/>
  <c r="CD47" i="24"/>
  <c r="CD46" i="24"/>
  <c r="CD63" i="24"/>
  <c r="CD75" i="24" s="1"/>
  <c r="CD62" i="24"/>
  <c r="CD74" i="24" s="1"/>
  <c r="CE56" i="24"/>
  <c r="CE69" i="24" s="1"/>
  <c r="CE55" i="24"/>
  <c r="CE68" i="24" s="1"/>
  <c r="CD103" i="24"/>
  <c r="CD116" i="24" s="1"/>
  <c r="CD104" i="24"/>
  <c r="CD117" i="24" s="1"/>
  <c r="CE49" i="24"/>
  <c r="CE50" i="24"/>
  <c r="CE46" i="24"/>
  <c r="CE47" i="24"/>
  <c r="CE48" i="24"/>
  <c r="CD110" i="24"/>
  <c r="CD122" i="24" s="1"/>
  <c r="CD111" i="24"/>
  <c r="CD123" i="24" s="1"/>
  <c r="CE104" i="24"/>
  <c r="CE117" i="24" s="1"/>
  <c r="CE103" i="24"/>
  <c r="CE116" i="24" s="1"/>
  <c r="CE110" i="24"/>
  <c r="CE122" i="24" s="1"/>
  <c r="CE111" i="24"/>
  <c r="CE123" i="24" s="1"/>
  <c r="CF129" i="24"/>
  <c r="CD98" i="24"/>
  <c r="CD94" i="24"/>
  <c r="CD95" i="24"/>
  <c r="CD99" i="24"/>
  <c r="CD96" i="24"/>
  <c r="CD97" i="24"/>
  <c r="CE94" i="24"/>
  <c r="CE98" i="24"/>
  <c r="CE97" i="24"/>
  <c r="CE99" i="24"/>
  <c r="CE95" i="24"/>
  <c r="CE96" i="24"/>
  <c r="CP107" i="24"/>
  <c r="CP85" i="24"/>
  <c r="CP59" i="24"/>
  <c r="CP54" i="24"/>
  <c r="CP37" i="24"/>
  <c r="CP102" i="24"/>
  <c r="CO63" i="24"/>
  <c r="CO75" i="24" s="1"/>
  <c r="CO62" i="24"/>
  <c r="CO74" i="24" s="1"/>
  <c r="CO50" i="24"/>
  <c r="CO49" i="24"/>
  <c r="CO47" i="24"/>
  <c r="CO48" i="24"/>
  <c r="CO46" i="24"/>
  <c r="CO99" i="24"/>
  <c r="CO95" i="24"/>
  <c r="CO98" i="24"/>
  <c r="CO96" i="24"/>
  <c r="CO94" i="24"/>
  <c r="CO97" i="24"/>
  <c r="BT80" i="24"/>
  <c r="CO104" i="24"/>
  <c r="CO117" i="24" s="1"/>
  <c r="CO103" i="24"/>
  <c r="CO116" i="24" s="1"/>
  <c r="CO110" i="24"/>
  <c r="CO122" i="24" s="1"/>
  <c r="CO111" i="24"/>
  <c r="CO123" i="24" s="1"/>
  <c r="CO56" i="24"/>
  <c r="CO69" i="24" s="1"/>
  <c r="CO55" i="24"/>
  <c r="CO68" i="24" s="1"/>
  <c r="DN5" i="24"/>
  <c r="DN61" i="24" s="1"/>
  <c r="DM5" i="24"/>
  <c r="CQ5" i="24"/>
  <c r="CF128" i="24" l="1"/>
  <c r="CH96" i="24"/>
  <c r="CH99" i="24"/>
  <c r="CH94" i="24"/>
  <c r="CH97" i="24"/>
  <c r="CH95" i="24"/>
  <c r="CH98" i="24"/>
  <c r="CH103" i="24"/>
  <c r="CH116" i="24" s="1"/>
  <c r="CH128" i="24" s="1"/>
  <c r="CH104" i="24"/>
  <c r="CH117" i="24" s="1"/>
  <c r="CH129" i="24" s="1"/>
  <c r="CH49" i="24"/>
  <c r="CH50" i="24"/>
  <c r="CH46" i="24"/>
  <c r="CH48" i="24"/>
  <c r="CH47" i="24"/>
  <c r="CH112" i="24"/>
  <c r="CH121" i="24"/>
  <c r="CH124" i="24" s="1"/>
  <c r="CH55" i="24"/>
  <c r="CH68" i="24" s="1"/>
  <c r="CH80" i="24" s="1"/>
  <c r="CH56" i="24"/>
  <c r="CH69" i="24" s="1"/>
  <c r="CH81" i="24" s="1"/>
  <c r="CJ5" i="24"/>
  <c r="CH64" i="24"/>
  <c r="CH73" i="24"/>
  <c r="CH76" i="24" s="1"/>
  <c r="CI54" i="24"/>
  <c r="CI102" i="24"/>
  <c r="CI85" i="24"/>
  <c r="CI59" i="24"/>
  <c r="CI37" i="24"/>
  <c r="CI107" i="24"/>
  <c r="DM102" i="24"/>
  <c r="DM54" i="24"/>
  <c r="DM85" i="24"/>
  <c r="DM37" i="24"/>
  <c r="DM107" i="24"/>
  <c r="DM109" i="24" s="1"/>
  <c r="DM61" i="24"/>
  <c r="DM59" i="24"/>
  <c r="DK104" i="24"/>
  <c r="DK117" i="24" s="1"/>
  <c r="DK129" i="24" s="1"/>
  <c r="DK103" i="24"/>
  <c r="DK116" i="24" s="1"/>
  <c r="DK128" i="24" s="1"/>
  <c r="DK73" i="24"/>
  <c r="DK76" i="24" s="1"/>
  <c r="DK64" i="24"/>
  <c r="DK50" i="24"/>
  <c r="DK49" i="24"/>
  <c r="DK46" i="24"/>
  <c r="DK47" i="24"/>
  <c r="DK48" i="24"/>
  <c r="DN59" i="24"/>
  <c r="DN107" i="24"/>
  <c r="DN109" i="24" s="1"/>
  <c r="DN37" i="24"/>
  <c r="DN102" i="24"/>
  <c r="DN85" i="24"/>
  <c r="DN54" i="24"/>
  <c r="DK56" i="24"/>
  <c r="DK69" i="24" s="1"/>
  <c r="DK81" i="24" s="1"/>
  <c r="DK55" i="24"/>
  <c r="DK68" i="24" s="1"/>
  <c r="DK80" i="24" s="1"/>
  <c r="DK121" i="24"/>
  <c r="DK124" i="24" s="1"/>
  <c r="DK112" i="24"/>
  <c r="DK99" i="24"/>
  <c r="DK96" i="24"/>
  <c r="DK97" i="24"/>
  <c r="DK98" i="24"/>
  <c r="DK95" i="24"/>
  <c r="DK94" i="24"/>
  <c r="CR5" i="24"/>
  <c r="CR85" i="24" s="1"/>
  <c r="CE80" i="24"/>
  <c r="CD128" i="24"/>
  <c r="CD81" i="24"/>
  <c r="CE128" i="24"/>
  <c r="CD129" i="24"/>
  <c r="CD80" i="24"/>
  <c r="CE129" i="24"/>
  <c r="CE81" i="24"/>
  <c r="CO128" i="24"/>
  <c r="CO81" i="24"/>
  <c r="CO129" i="24"/>
  <c r="CQ102" i="24"/>
  <c r="CQ85" i="24"/>
  <c r="CQ107" i="24"/>
  <c r="CQ37" i="24"/>
  <c r="CQ54" i="24"/>
  <c r="CQ59" i="24"/>
  <c r="CP98" i="24"/>
  <c r="CP94" i="24"/>
  <c r="CP99" i="24"/>
  <c r="CP97" i="24"/>
  <c r="CP96" i="24"/>
  <c r="CP95" i="24"/>
  <c r="CP110" i="24"/>
  <c r="CP122" i="24" s="1"/>
  <c r="CP111" i="24"/>
  <c r="CP123" i="24" s="1"/>
  <c r="CS5" i="24"/>
  <c r="CS61" i="24" s="1"/>
  <c r="DO5" i="24"/>
  <c r="DO61" i="24" s="1"/>
  <c r="CO80" i="24"/>
  <c r="CP104" i="24"/>
  <c r="CP117" i="24" s="1"/>
  <c r="CP103" i="24"/>
  <c r="CP116" i="24" s="1"/>
  <c r="CP50" i="24"/>
  <c r="CP48" i="24"/>
  <c r="CP49" i="24"/>
  <c r="CP47" i="24"/>
  <c r="CP46" i="24"/>
  <c r="CP56" i="24"/>
  <c r="CP69" i="24" s="1"/>
  <c r="CP55" i="24"/>
  <c r="CP68" i="24" s="1"/>
  <c r="CP63" i="24"/>
  <c r="CP75" i="24" s="1"/>
  <c r="CP62" i="24"/>
  <c r="CP74" i="24" s="1"/>
  <c r="CI103" i="24" l="1"/>
  <c r="CI116" i="24" s="1"/>
  <c r="CI104" i="24"/>
  <c r="CI117" i="24" s="1"/>
  <c r="CI55" i="24"/>
  <c r="CI68" i="24" s="1"/>
  <c r="CI56" i="24"/>
  <c r="CI69" i="24" s="1"/>
  <c r="CI110" i="24"/>
  <c r="CI122" i="24" s="1"/>
  <c r="CI111" i="24"/>
  <c r="CI123" i="24" s="1"/>
  <c r="CI49" i="24"/>
  <c r="CI47" i="24"/>
  <c r="CI50" i="24"/>
  <c r="CI48" i="24"/>
  <c r="CI46" i="24"/>
  <c r="CJ102" i="24"/>
  <c r="CJ59" i="24"/>
  <c r="CJ54" i="24"/>
  <c r="CJ37" i="24"/>
  <c r="CJ107" i="24"/>
  <c r="CJ85" i="24"/>
  <c r="CM5" i="24"/>
  <c r="CK5" i="24"/>
  <c r="CL5" i="24"/>
  <c r="CI62" i="24"/>
  <c r="CI74" i="24" s="1"/>
  <c r="CI63" i="24"/>
  <c r="CI75" i="24" s="1"/>
  <c r="CI99" i="24"/>
  <c r="CI97" i="24"/>
  <c r="CI95" i="24"/>
  <c r="CI96" i="24"/>
  <c r="CI98" i="24"/>
  <c r="CI94" i="24"/>
  <c r="DM73" i="24"/>
  <c r="DM76" i="24" s="1"/>
  <c r="DM64" i="24"/>
  <c r="DM121" i="24"/>
  <c r="DM124" i="24" s="1"/>
  <c r="DM112" i="24"/>
  <c r="DM46" i="24"/>
  <c r="DM50" i="24"/>
  <c r="DM48" i="24"/>
  <c r="DM47" i="24"/>
  <c r="DM49" i="24"/>
  <c r="DM99" i="24"/>
  <c r="DM95" i="24"/>
  <c r="DM96" i="24"/>
  <c r="DM94" i="24"/>
  <c r="DM98" i="24"/>
  <c r="DM97" i="24"/>
  <c r="DM56" i="24"/>
  <c r="DM69" i="24" s="1"/>
  <c r="DM81" i="24" s="1"/>
  <c r="DM55" i="24"/>
  <c r="DM68" i="24" s="1"/>
  <c r="DM80" i="24" s="1"/>
  <c r="DM103" i="24"/>
  <c r="DM116" i="24" s="1"/>
  <c r="DM128" i="24" s="1"/>
  <c r="DM104" i="24"/>
  <c r="DM117" i="24" s="1"/>
  <c r="DM129" i="24" s="1"/>
  <c r="DL5" i="24"/>
  <c r="DL61" i="24" s="1"/>
  <c r="DN50" i="24"/>
  <c r="DN49" i="24"/>
  <c r="DN48" i="24"/>
  <c r="DN47" i="24"/>
  <c r="DN46" i="24"/>
  <c r="DN73" i="24"/>
  <c r="DN76" i="24" s="1"/>
  <c r="DN64" i="24"/>
  <c r="DO59" i="24"/>
  <c r="DO107" i="24"/>
  <c r="DO109" i="24" s="1"/>
  <c r="DO37" i="24"/>
  <c r="DO85" i="24"/>
  <c r="DO102" i="24"/>
  <c r="DO54" i="24"/>
  <c r="DN121" i="24"/>
  <c r="DN124" i="24" s="1"/>
  <c r="DN112" i="24"/>
  <c r="DN55" i="24"/>
  <c r="DN68" i="24" s="1"/>
  <c r="DN80" i="24" s="1"/>
  <c r="DN56" i="24"/>
  <c r="DN69" i="24" s="1"/>
  <c r="DN81" i="24" s="1"/>
  <c r="DN104" i="24"/>
  <c r="DN117" i="24" s="1"/>
  <c r="DN129" i="24" s="1"/>
  <c r="DN103" i="24"/>
  <c r="DN116" i="24" s="1"/>
  <c r="DN128" i="24" s="1"/>
  <c r="DN97" i="24"/>
  <c r="DN96" i="24"/>
  <c r="DN94" i="24"/>
  <c r="DN99" i="24"/>
  <c r="DN98" i="24"/>
  <c r="DN95" i="24"/>
  <c r="CR107" i="24"/>
  <c r="CR110" i="24" s="1"/>
  <c r="CR122" i="24" s="1"/>
  <c r="CR59" i="24"/>
  <c r="CR62" i="24" s="1"/>
  <c r="CR74" i="24" s="1"/>
  <c r="CR37" i="24"/>
  <c r="CR102" i="24"/>
  <c r="CR104" i="24" s="1"/>
  <c r="CR117" i="24" s="1"/>
  <c r="CR54" i="24"/>
  <c r="CR56" i="24" s="1"/>
  <c r="CR69" i="24" s="1"/>
  <c r="CP80" i="24"/>
  <c r="CP81" i="24"/>
  <c r="CP128" i="24"/>
  <c r="CP129" i="24"/>
  <c r="CQ103" i="24"/>
  <c r="CQ116" i="24" s="1"/>
  <c r="CQ104" i="24"/>
  <c r="CQ117" i="24" s="1"/>
  <c r="CT5" i="24"/>
  <c r="DP5" i="24"/>
  <c r="DP61" i="24" s="1"/>
  <c r="CQ63" i="24"/>
  <c r="CQ75" i="24" s="1"/>
  <c r="CQ62" i="24"/>
  <c r="CQ74" i="24" s="1"/>
  <c r="CS54" i="24"/>
  <c r="CS37" i="24"/>
  <c r="CS107" i="24"/>
  <c r="CS109" i="24" s="1"/>
  <c r="CS102" i="24"/>
  <c r="CS85" i="24"/>
  <c r="CS59" i="24"/>
  <c r="CR97" i="24"/>
  <c r="CR98" i="24"/>
  <c r="CR95" i="24"/>
  <c r="CR96" i="24"/>
  <c r="CR99" i="24"/>
  <c r="CR94" i="24"/>
  <c r="CQ56" i="24"/>
  <c r="CQ69" i="24" s="1"/>
  <c r="CQ55" i="24"/>
  <c r="CQ68" i="24" s="1"/>
  <c r="CQ50" i="24"/>
  <c r="CQ48" i="24"/>
  <c r="CQ49" i="24"/>
  <c r="CQ47" i="24"/>
  <c r="CQ46" i="24"/>
  <c r="CQ111" i="24"/>
  <c r="CQ123" i="24" s="1"/>
  <c r="CQ110" i="24"/>
  <c r="CQ122" i="24" s="1"/>
  <c r="CQ96" i="24"/>
  <c r="CQ98" i="24"/>
  <c r="CQ99" i="24"/>
  <c r="CQ94" i="24"/>
  <c r="CQ97" i="24"/>
  <c r="CQ95" i="24"/>
  <c r="CI81" i="24" l="1"/>
  <c r="CJ56" i="24"/>
  <c r="CJ69" i="24" s="1"/>
  <c r="CJ55" i="24"/>
  <c r="CJ68" i="24" s="1"/>
  <c r="CL37" i="24"/>
  <c r="CL107" i="24"/>
  <c r="CL59" i="24"/>
  <c r="CL102" i="24"/>
  <c r="CL54" i="24"/>
  <c r="CL85" i="24"/>
  <c r="CJ62" i="24"/>
  <c r="CJ74" i="24" s="1"/>
  <c r="CJ63" i="24"/>
  <c r="CJ75" i="24" s="1"/>
  <c r="CM37" i="24"/>
  <c r="CM107" i="24"/>
  <c r="CM59" i="24"/>
  <c r="CM102" i="24"/>
  <c r="CM54" i="24"/>
  <c r="CM85" i="24"/>
  <c r="CJ94" i="24"/>
  <c r="CJ99" i="24"/>
  <c r="CJ95" i="24"/>
  <c r="CJ97" i="24"/>
  <c r="CJ98" i="24"/>
  <c r="CJ96" i="24"/>
  <c r="CJ110" i="24"/>
  <c r="CJ122" i="24" s="1"/>
  <c r="CJ111" i="24"/>
  <c r="CJ123" i="24" s="1"/>
  <c r="CI80" i="24"/>
  <c r="CK85" i="24"/>
  <c r="CK37" i="24"/>
  <c r="CK107" i="24"/>
  <c r="CK59" i="24"/>
  <c r="CK102" i="24"/>
  <c r="CK54" i="24"/>
  <c r="CI129" i="24"/>
  <c r="CJ103" i="24"/>
  <c r="CJ116" i="24" s="1"/>
  <c r="CJ104" i="24"/>
  <c r="CJ117" i="24" s="1"/>
  <c r="CJ49" i="24"/>
  <c r="CJ46" i="24"/>
  <c r="CJ47" i="24"/>
  <c r="CJ50" i="24"/>
  <c r="CJ48" i="24"/>
  <c r="CI128" i="24"/>
  <c r="CR111" i="24"/>
  <c r="CR123" i="24" s="1"/>
  <c r="CR129" i="24" s="1"/>
  <c r="DL54" i="24"/>
  <c r="DL102" i="24"/>
  <c r="DL85" i="24"/>
  <c r="DL107" i="24"/>
  <c r="DL109" i="24" s="1"/>
  <c r="DL37" i="24"/>
  <c r="DL59" i="24"/>
  <c r="CR48" i="24"/>
  <c r="CR47" i="24"/>
  <c r="CR63" i="24"/>
  <c r="CR75" i="24" s="1"/>
  <c r="CR81" i="24" s="1"/>
  <c r="DO48" i="24"/>
  <c r="DO47" i="24"/>
  <c r="DO50" i="24"/>
  <c r="DO49" i="24"/>
  <c r="DO46" i="24"/>
  <c r="DO121" i="24"/>
  <c r="DO124" i="24" s="1"/>
  <c r="DO112" i="24"/>
  <c r="CR103" i="24"/>
  <c r="CR116" i="24" s="1"/>
  <c r="CR128" i="24" s="1"/>
  <c r="CR46" i="24"/>
  <c r="DO56" i="24"/>
  <c r="DO69" i="24" s="1"/>
  <c r="DO81" i="24" s="1"/>
  <c r="DO55" i="24"/>
  <c r="DO68" i="24" s="1"/>
  <c r="DO80" i="24" s="1"/>
  <c r="DO73" i="24"/>
  <c r="DO76" i="24" s="1"/>
  <c r="DO64" i="24"/>
  <c r="CR49" i="24"/>
  <c r="DO103" i="24"/>
  <c r="DO116" i="24" s="1"/>
  <c r="DO128" i="24" s="1"/>
  <c r="DO104" i="24"/>
  <c r="DO117" i="24" s="1"/>
  <c r="DO129" i="24" s="1"/>
  <c r="CR50" i="24"/>
  <c r="DP59" i="24"/>
  <c r="DP54" i="24"/>
  <c r="DP107" i="24"/>
  <c r="DP109" i="24" s="1"/>
  <c r="DP102" i="24"/>
  <c r="DP85" i="24"/>
  <c r="DP37" i="24"/>
  <c r="DO98" i="24"/>
  <c r="DO95" i="24"/>
  <c r="DO96" i="24"/>
  <c r="DO94" i="24"/>
  <c r="DO97" i="24"/>
  <c r="DO99" i="24"/>
  <c r="CR55" i="24"/>
  <c r="CR68" i="24" s="1"/>
  <c r="CR80" i="24" s="1"/>
  <c r="CQ129" i="24"/>
  <c r="CQ81" i="24"/>
  <c r="CQ80" i="24"/>
  <c r="CS94" i="24"/>
  <c r="CS99" i="24"/>
  <c r="CS98" i="24"/>
  <c r="CS97" i="24"/>
  <c r="CS96" i="24"/>
  <c r="CS95" i="24"/>
  <c r="CT102" i="24"/>
  <c r="CT85" i="24"/>
  <c r="CT59" i="24"/>
  <c r="CT54" i="24"/>
  <c r="CT107" i="24"/>
  <c r="CT37" i="24"/>
  <c r="CS104" i="24"/>
  <c r="CS117" i="24" s="1"/>
  <c r="CS129" i="24" s="1"/>
  <c r="CS103" i="24"/>
  <c r="CS116" i="24" s="1"/>
  <c r="CS128" i="24" s="1"/>
  <c r="CS112" i="24"/>
  <c r="CS121" i="24"/>
  <c r="CS124" i="24" s="1"/>
  <c r="CS50" i="24"/>
  <c r="CS49" i="24"/>
  <c r="CS48" i="24"/>
  <c r="CS47" i="24"/>
  <c r="CS46" i="24"/>
  <c r="CS56" i="24"/>
  <c r="CS69" i="24" s="1"/>
  <c r="CS81" i="24" s="1"/>
  <c r="CS55" i="24"/>
  <c r="CS68" i="24" s="1"/>
  <c r="CS80" i="24" s="1"/>
  <c r="CU5" i="24"/>
  <c r="DX5" i="24"/>
  <c r="DX61" i="24" s="1"/>
  <c r="CS73" i="24"/>
  <c r="CS76" i="24" s="1"/>
  <c r="CS64" i="24"/>
  <c r="CQ128" i="24"/>
  <c r="CJ129" i="24" l="1"/>
  <c r="CJ128" i="24"/>
  <c r="CK111" i="24"/>
  <c r="CK123" i="24" s="1"/>
  <c r="CK110" i="24"/>
  <c r="CK122" i="24" s="1"/>
  <c r="CM55" i="24"/>
  <c r="CM68" i="24" s="1"/>
  <c r="CM56" i="24"/>
  <c r="CM69" i="24" s="1"/>
  <c r="CL56" i="24"/>
  <c r="CL69" i="24" s="1"/>
  <c r="CL55" i="24"/>
  <c r="CL68" i="24" s="1"/>
  <c r="CK46" i="24"/>
  <c r="CK49" i="24"/>
  <c r="CK47" i="24"/>
  <c r="CK48" i="24"/>
  <c r="CK50" i="24"/>
  <c r="CM103" i="24"/>
  <c r="CM116" i="24" s="1"/>
  <c r="CM104" i="24"/>
  <c r="CM117" i="24" s="1"/>
  <c r="CL103" i="24"/>
  <c r="CL116" i="24" s="1"/>
  <c r="CL104" i="24"/>
  <c r="CL117" i="24" s="1"/>
  <c r="CL62" i="24"/>
  <c r="CL74" i="24" s="1"/>
  <c r="CL63" i="24"/>
  <c r="CL75" i="24" s="1"/>
  <c r="CM110" i="24"/>
  <c r="CM122" i="24" s="1"/>
  <c r="CM111" i="24"/>
  <c r="CM123" i="24" s="1"/>
  <c r="CK98" i="24"/>
  <c r="CK96" i="24"/>
  <c r="CK94" i="24"/>
  <c r="CK99" i="24"/>
  <c r="CK97" i="24"/>
  <c r="CK95" i="24"/>
  <c r="CM63" i="24"/>
  <c r="CM75" i="24" s="1"/>
  <c r="CM62" i="24"/>
  <c r="CM74" i="24" s="1"/>
  <c r="CM48" i="24"/>
  <c r="CM49" i="24"/>
  <c r="CM46" i="24"/>
  <c r="CM47" i="24"/>
  <c r="CM50" i="24"/>
  <c r="CL110" i="24"/>
  <c r="CL122" i="24" s="1"/>
  <c r="CL111" i="24"/>
  <c r="CL123" i="24" s="1"/>
  <c r="CK55" i="24"/>
  <c r="CK68" i="24" s="1"/>
  <c r="CK56" i="24"/>
  <c r="CK69" i="24" s="1"/>
  <c r="CL48" i="24"/>
  <c r="CL46" i="24"/>
  <c r="CL49" i="24"/>
  <c r="CL47" i="24"/>
  <c r="CL50" i="24"/>
  <c r="CK104" i="24"/>
  <c r="CK117" i="24" s="1"/>
  <c r="CK103" i="24"/>
  <c r="CK116" i="24" s="1"/>
  <c r="CJ80" i="24"/>
  <c r="CK63" i="24"/>
  <c r="CK75" i="24" s="1"/>
  <c r="CK62" i="24"/>
  <c r="CK74" i="24" s="1"/>
  <c r="CM97" i="24"/>
  <c r="CM94" i="24"/>
  <c r="CM98" i="24"/>
  <c r="CM99" i="24"/>
  <c r="CM96" i="24"/>
  <c r="CM95" i="24"/>
  <c r="CL95" i="24"/>
  <c r="CL97" i="24"/>
  <c r="CL99" i="24"/>
  <c r="CL94" i="24"/>
  <c r="CL98" i="24"/>
  <c r="CL96" i="24"/>
  <c r="CJ81" i="24"/>
  <c r="DL55" i="24"/>
  <c r="DL68" i="24" s="1"/>
  <c r="DL80" i="24" s="1"/>
  <c r="DL56" i="24"/>
  <c r="DL69" i="24" s="1"/>
  <c r="DL81" i="24" s="1"/>
  <c r="DL50" i="24"/>
  <c r="DL46" i="24"/>
  <c r="DL47" i="24"/>
  <c r="DL48" i="24"/>
  <c r="DL49" i="24"/>
  <c r="DL73" i="24"/>
  <c r="DL76" i="24" s="1"/>
  <c r="DL64" i="24"/>
  <c r="DL121" i="24"/>
  <c r="DL124" i="24" s="1"/>
  <c r="DL112" i="24"/>
  <c r="DL98" i="24"/>
  <c r="DL97" i="24"/>
  <c r="DL94" i="24"/>
  <c r="DL99" i="24"/>
  <c r="DL95" i="24"/>
  <c r="DL96" i="24"/>
  <c r="DL104" i="24"/>
  <c r="DL117" i="24" s="1"/>
  <c r="DL129" i="24" s="1"/>
  <c r="DL103" i="24"/>
  <c r="DL116" i="24" s="1"/>
  <c r="DL128" i="24" s="1"/>
  <c r="DP56" i="24"/>
  <c r="DP69" i="24" s="1"/>
  <c r="DP81" i="24" s="1"/>
  <c r="DP55" i="24"/>
  <c r="DP68" i="24" s="1"/>
  <c r="DP80" i="24" s="1"/>
  <c r="DP47" i="24"/>
  <c r="DP46" i="24"/>
  <c r="DP48" i="24"/>
  <c r="DP50" i="24"/>
  <c r="DP49" i="24"/>
  <c r="DP98" i="24"/>
  <c r="DP97" i="24"/>
  <c r="DP99" i="24"/>
  <c r="DP94" i="24"/>
  <c r="DP95" i="24"/>
  <c r="DP96" i="24"/>
  <c r="DP103" i="24"/>
  <c r="DP116" i="24" s="1"/>
  <c r="DP128" i="24" s="1"/>
  <c r="DP104" i="24"/>
  <c r="DP117" i="24" s="1"/>
  <c r="DP129" i="24" s="1"/>
  <c r="DP73" i="24"/>
  <c r="DP76" i="24" s="1"/>
  <c r="DP64" i="24"/>
  <c r="DP112" i="24"/>
  <c r="DP121" i="24"/>
  <c r="DP124" i="24" s="1"/>
  <c r="DX102" i="24"/>
  <c r="DX54" i="24"/>
  <c r="DX85" i="24"/>
  <c r="DX59" i="24"/>
  <c r="DX107" i="24"/>
  <c r="DX109" i="24" s="1"/>
  <c r="DX37" i="24"/>
  <c r="CU85" i="24"/>
  <c r="CU59" i="24"/>
  <c r="CU54" i="24"/>
  <c r="CU37" i="24"/>
  <c r="CU107" i="24"/>
  <c r="CU102" i="24"/>
  <c r="CT55" i="24"/>
  <c r="CT68" i="24" s="1"/>
  <c r="CT56" i="24"/>
  <c r="CT69" i="24" s="1"/>
  <c r="CT63" i="24"/>
  <c r="CT75" i="24" s="1"/>
  <c r="CT62" i="24"/>
  <c r="CT74" i="24" s="1"/>
  <c r="CT99" i="24"/>
  <c r="CT95" i="24"/>
  <c r="CT96" i="24"/>
  <c r="CT94" i="24"/>
  <c r="CT97" i="24"/>
  <c r="CT98" i="24"/>
  <c r="CT104" i="24"/>
  <c r="CT117" i="24" s="1"/>
  <c r="CT103" i="24"/>
  <c r="CT116" i="24" s="1"/>
  <c r="CT49" i="24"/>
  <c r="CT47" i="24"/>
  <c r="CT50" i="24"/>
  <c r="CT48" i="24"/>
  <c r="CT46" i="24"/>
  <c r="CV5" i="24"/>
  <c r="CT110" i="24"/>
  <c r="CT122" i="24" s="1"/>
  <c r="CT111" i="24"/>
  <c r="CT123" i="24" s="1"/>
  <c r="CK129" i="24" l="1"/>
  <c r="CK128" i="24"/>
  <c r="CL81" i="24"/>
  <c r="CM128" i="24"/>
  <c r="CK80" i="24"/>
  <c r="CL128" i="24"/>
  <c r="CM129" i="24"/>
  <c r="CL80" i="24"/>
  <c r="CM81" i="24"/>
  <c r="CM80" i="24"/>
  <c r="CK81" i="24"/>
  <c r="CL129" i="24"/>
  <c r="CY5" i="24"/>
  <c r="DY5" i="24"/>
  <c r="DY61" i="24" s="1"/>
  <c r="CX5" i="24"/>
  <c r="CX85" i="24" s="1"/>
  <c r="DZ5" i="24"/>
  <c r="DZ61" i="24" s="1"/>
  <c r="EA5" i="24"/>
  <c r="EA61" i="24" s="1"/>
  <c r="DX121" i="24"/>
  <c r="DX124" i="24" s="1"/>
  <c r="DX112" i="24"/>
  <c r="DX49" i="24"/>
  <c r="DX48" i="24"/>
  <c r="DX47" i="24"/>
  <c r="DX50" i="24"/>
  <c r="DX46" i="24"/>
  <c r="DX97" i="24"/>
  <c r="DX95" i="24"/>
  <c r="DX96" i="24"/>
  <c r="DX99" i="24"/>
  <c r="DX94" i="24"/>
  <c r="DX98" i="24"/>
  <c r="DX56" i="24"/>
  <c r="DX69" i="24" s="1"/>
  <c r="DX81" i="24" s="1"/>
  <c r="DX55" i="24"/>
  <c r="DX68" i="24" s="1"/>
  <c r="DX80" i="24" s="1"/>
  <c r="DX104" i="24"/>
  <c r="DX117" i="24" s="1"/>
  <c r="DX129" i="24" s="1"/>
  <c r="DX103" i="24"/>
  <c r="DX116" i="24" s="1"/>
  <c r="DX128" i="24" s="1"/>
  <c r="DX73" i="24"/>
  <c r="DX76" i="24" s="1"/>
  <c r="DX64" i="24"/>
  <c r="CW5" i="24"/>
  <c r="CT128" i="24"/>
  <c r="CU110" i="24"/>
  <c r="CU122" i="24" s="1"/>
  <c r="CU111" i="24"/>
  <c r="CU123" i="24" s="1"/>
  <c r="EB5" i="24"/>
  <c r="EB61" i="24" s="1"/>
  <c r="DQ5" i="24"/>
  <c r="DQ61" i="24" s="1"/>
  <c r="CV37" i="24"/>
  <c r="CV85" i="24"/>
  <c r="CV59" i="24"/>
  <c r="CV107" i="24"/>
  <c r="CV102" i="24"/>
  <c r="CV54" i="24"/>
  <c r="CU50" i="24"/>
  <c r="CU48" i="24"/>
  <c r="CU49" i="24"/>
  <c r="CU46" i="24"/>
  <c r="CU47" i="24"/>
  <c r="CT81" i="24"/>
  <c r="CU55" i="24"/>
  <c r="CU68" i="24" s="1"/>
  <c r="CU56" i="24"/>
  <c r="CU69" i="24" s="1"/>
  <c r="CT80" i="24"/>
  <c r="CU63" i="24"/>
  <c r="CU75" i="24" s="1"/>
  <c r="CU62" i="24"/>
  <c r="CU74" i="24" s="1"/>
  <c r="CU95" i="24"/>
  <c r="CU96" i="24"/>
  <c r="CU94" i="24"/>
  <c r="CU98" i="24"/>
  <c r="CU99" i="24"/>
  <c r="CU97" i="24"/>
  <c r="CT129" i="24"/>
  <c r="CU103" i="24"/>
  <c r="CU116" i="24" s="1"/>
  <c r="CU104" i="24"/>
  <c r="CU117" i="24" s="1"/>
  <c r="CY85" i="24" l="1"/>
  <c r="CY59" i="24"/>
  <c r="CY107" i="24"/>
  <c r="CY109" i="24" s="1"/>
  <c r="CY102" i="24"/>
  <c r="CY61" i="24"/>
  <c r="CY37" i="24"/>
  <c r="CY54" i="24"/>
  <c r="CZ5" i="24"/>
  <c r="DY37" i="24"/>
  <c r="DY48" i="24" s="1"/>
  <c r="DY107" i="24"/>
  <c r="DY109" i="24" s="1"/>
  <c r="DY121" i="24" s="1"/>
  <c r="DY124" i="24" s="1"/>
  <c r="DY59" i="24"/>
  <c r="DY85" i="24"/>
  <c r="DY97" i="24" s="1"/>
  <c r="DY102" i="24"/>
  <c r="DY103" i="24" s="1"/>
  <c r="DY116" i="24" s="1"/>
  <c r="DY128" i="24" s="1"/>
  <c r="DY54" i="24"/>
  <c r="DY56" i="24" s="1"/>
  <c r="DY69" i="24" s="1"/>
  <c r="DY81" i="24" s="1"/>
  <c r="CX102" i="24"/>
  <c r="CX103" i="24" s="1"/>
  <c r="CX116" i="24" s="1"/>
  <c r="CX59" i="24"/>
  <c r="CX63" i="24" s="1"/>
  <c r="CX75" i="24" s="1"/>
  <c r="DY73" i="24"/>
  <c r="DY76" i="24" s="1"/>
  <c r="DY64" i="24"/>
  <c r="CX37" i="24"/>
  <c r="CX46" i="24" s="1"/>
  <c r="CX54" i="24"/>
  <c r="CX56" i="24" s="1"/>
  <c r="CX69" i="24" s="1"/>
  <c r="CX107" i="24"/>
  <c r="EB85" i="24"/>
  <c r="EB59" i="24"/>
  <c r="EB107" i="24"/>
  <c r="EB109" i="24" s="1"/>
  <c r="EB37" i="24"/>
  <c r="EB54" i="24"/>
  <c r="EB102" i="24"/>
  <c r="EA54" i="24"/>
  <c r="EA85" i="24"/>
  <c r="EA59" i="24"/>
  <c r="EA107" i="24"/>
  <c r="EA109" i="24" s="1"/>
  <c r="EA37" i="24"/>
  <c r="EA102" i="24"/>
  <c r="DT5" i="24"/>
  <c r="EC5" i="24"/>
  <c r="EC61" i="24" s="1"/>
  <c r="DZ102" i="24"/>
  <c r="DZ54" i="24"/>
  <c r="DZ85" i="24"/>
  <c r="DZ59" i="24"/>
  <c r="DZ107" i="24"/>
  <c r="DZ109" i="24" s="1"/>
  <c r="DZ37" i="24"/>
  <c r="CW107" i="24"/>
  <c r="CW59" i="24"/>
  <c r="CW85" i="24"/>
  <c r="CW54" i="24"/>
  <c r="CW102" i="24"/>
  <c r="CW37" i="24"/>
  <c r="CU81" i="24"/>
  <c r="CU80" i="24"/>
  <c r="DQ59" i="24"/>
  <c r="DQ107" i="24"/>
  <c r="DQ109" i="24" s="1"/>
  <c r="DQ102" i="24"/>
  <c r="DQ37" i="24"/>
  <c r="DQ85" i="24"/>
  <c r="DQ54" i="24"/>
  <c r="CU128" i="24"/>
  <c r="CV104" i="24"/>
  <c r="CV117" i="24" s="1"/>
  <c r="CV103" i="24"/>
  <c r="CV116" i="24" s="1"/>
  <c r="CV111" i="24"/>
  <c r="CV123" i="24" s="1"/>
  <c r="CV110" i="24"/>
  <c r="CV122" i="24" s="1"/>
  <c r="ED5" i="24"/>
  <c r="ED61" i="24" s="1"/>
  <c r="DR5" i="24"/>
  <c r="CX97" i="24"/>
  <c r="CX99" i="24"/>
  <c r="CX98" i="24"/>
  <c r="CX96" i="24"/>
  <c r="CX95" i="24"/>
  <c r="CX94" i="24"/>
  <c r="CV56" i="24"/>
  <c r="CV69" i="24" s="1"/>
  <c r="CV55" i="24"/>
  <c r="CV68" i="24" s="1"/>
  <c r="CV62" i="24"/>
  <c r="CV74" i="24" s="1"/>
  <c r="CV63" i="24"/>
  <c r="CV75" i="24" s="1"/>
  <c r="CV98" i="24"/>
  <c r="CV96" i="24"/>
  <c r="CV99" i="24"/>
  <c r="CV97" i="24"/>
  <c r="CV95" i="24"/>
  <c r="CV94" i="24"/>
  <c r="CV50" i="24"/>
  <c r="CV48" i="24"/>
  <c r="CV49" i="24"/>
  <c r="CV47" i="24"/>
  <c r="CV46" i="24"/>
  <c r="CU129" i="24"/>
  <c r="DY47" i="24" l="1"/>
  <c r="DY50" i="24"/>
  <c r="DY49" i="24"/>
  <c r="DY104" i="24"/>
  <c r="DY117" i="24" s="1"/>
  <c r="DY129" i="24" s="1"/>
  <c r="DY95" i="24"/>
  <c r="DY46" i="24"/>
  <c r="DY98" i="24"/>
  <c r="CX62" i="24"/>
  <c r="CX74" i="24" s="1"/>
  <c r="DY99" i="24"/>
  <c r="CX104" i="24"/>
  <c r="CX117" i="24" s="1"/>
  <c r="DY94" i="24"/>
  <c r="DY55" i="24"/>
  <c r="DY68" i="24" s="1"/>
  <c r="DY80" i="24" s="1"/>
  <c r="CY55" i="24"/>
  <c r="CY68" i="24" s="1"/>
  <c r="CY80" i="24" s="1"/>
  <c r="CY56" i="24"/>
  <c r="CY69" i="24" s="1"/>
  <c r="CY81" i="24" s="1"/>
  <c r="CY49" i="24"/>
  <c r="CY48" i="24"/>
  <c r="CY47" i="24"/>
  <c r="CY46" i="24"/>
  <c r="CY50" i="24"/>
  <c r="CZ59" i="24"/>
  <c r="CZ107" i="24"/>
  <c r="CZ54" i="24"/>
  <c r="CZ85" i="24"/>
  <c r="CZ102" i="24"/>
  <c r="CZ37" i="24"/>
  <c r="CY73" i="24"/>
  <c r="CY76" i="24" s="1"/>
  <c r="CY64" i="24"/>
  <c r="CY103" i="24"/>
  <c r="CY116" i="24" s="1"/>
  <c r="CY128" i="24" s="1"/>
  <c r="CY104" i="24"/>
  <c r="CY117" i="24" s="1"/>
  <c r="CY129" i="24" s="1"/>
  <c r="CY121" i="24"/>
  <c r="CY124" i="24" s="1"/>
  <c r="CY112" i="24"/>
  <c r="DY96" i="24"/>
  <c r="DA5" i="24"/>
  <c r="CY97" i="24"/>
  <c r="CY99" i="24"/>
  <c r="CY95" i="24"/>
  <c r="CY96" i="24"/>
  <c r="CY98" i="24"/>
  <c r="CY94" i="24"/>
  <c r="DY112" i="24"/>
  <c r="CX49" i="24"/>
  <c r="CX50" i="24"/>
  <c r="CX48" i="24"/>
  <c r="CX55" i="24"/>
  <c r="CX68" i="24" s="1"/>
  <c r="CX111" i="24"/>
  <c r="CX123" i="24" s="1"/>
  <c r="CX110" i="24"/>
  <c r="CX122" i="24" s="1"/>
  <c r="CX128" i="24" s="1"/>
  <c r="CX47" i="24"/>
  <c r="DZ121" i="24"/>
  <c r="DZ124" i="24" s="1"/>
  <c r="DZ112" i="24"/>
  <c r="EA48" i="24"/>
  <c r="EA46" i="24"/>
  <c r="EA50" i="24"/>
  <c r="EA49" i="24"/>
  <c r="EA47" i="24"/>
  <c r="EB104" i="24"/>
  <c r="EB117" i="24" s="1"/>
  <c r="EB129" i="24" s="1"/>
  <c r="EB103" i="24"/>
  <c r="EB116" i="24" s="1"/>
  <c r="EB128" i="24" s="1"/>
  <c r="EA121" i="24"/>
  <c r="EA124" i="24" s="1"/>
  <c r="EA112" i="24"/>
  <c r="DZ98" i="24"/>
  <c r="DZ96" i="24"/>
  <c r="DZ94" i="24"/>
  <c r="DZ95" i="24"/>
  <c r="DZ97" i="24"/>
  <c r="DZ99" i="24"/>
  <c r="EB55" i="24"/>
  <c r="EB68" i="24" s="1"/>
  <c r="EB80" i="24" s="1"/>
  <c r="EB56" i="24"/>
  <c r="EB69" i="24" s="1"/>
  <c r="EB81" i="24" s="1"/>
  <c r="DZ56" i="24"/>
  <c r="DZ69" i="24" s="1"/>
  <c r="DZ81" i="24" s="1"/>
  <c r="DZ55" i="24"/>
  <c r="DZ68" i="24" s="1"/>
  <c r="DZ80" i="24" s="1"/>
  <c r="EA99" i="24"/>
  <c r="EA94" i="24"/>
  <c r="EA98" i="24"/>
  <c r="EA96" i="24"/>
  <c r="EA95" i="24"/>
  <c r="EA97" i="24"/>
  <c r="EB46" i="24"/>
  <c r="EB50" i="24"/>
  <c r="EB49" i="24"/>
  <c r="EB48" i="24"/>
  <c r="EB47" i="24"/>
  <c r="DZ50" i="24"/>
  <c r="DZ46" i="24"/>
  <c r="DZ48" i="24"/>
  <c r="DZ49" i="24"/>
  <c r="DZ47" i="24"/>
  <c r="EA104" i="24"/>
  <c r="EA117" i="24" s="1"/>
  <c r="EA129" i="24" s="1"/>
  <c r="EA103" i="24"/>
  <c r="EA116" i="24" s="1"/>
  <c r="EA128" i="24" s="1"/>
  <c r="EB73" i="24"/>
  <c r="EB76" i="24" s="1"/>
  <c r="EB64" i="24"/>
  <c r="DZ104" i="24"/>
  <c r="DZ117" i="24" s="1"/>
  <c r="DZ129" i="24" s="1"/>
  <c r="DZ103" i="24"/>
  <c r="DZ116" i="24" s="1"/>
  <c r="DZ128" i="24" s="1"/>
  <c r="EC59" i="24"/>
  <c r="EC107" i="24"/>
  <c r="EC109" i="24" s="1"/>
  <c r="EC37" i="24"/>
  <c r="EC85" i="24"/>
  <c r="EC102" i="24"/>
  <c r="EC54" i="24"/>
  <c r="EA56" i="24"/>
  <c r="EA69" i="24" s="1"/>
  <c r="EA81" i="24" s="1"/>
  <c r="EA55" i="24"/>
  <c r="EA68" i="24" s="1"/>
  <c r="EA80" i="24" s="1"/>
  <c r="EB121" i="24"/>
  <c r="EB124" i="24" s="1"/>
  <c r="EB112" i="24"/>
  <c r="DT54" i="24"/>
  <c r="DT37" i="24"/>
  <c r="DT107" i="24"/>
  <c r="DT85" i="24"/>
  <c r="DT59" i="24"/>
  <c r="DT102" i="24"/>
  <c r="DZ73" i="24"/>
  <c r="DZ76" i="24" s="1"/>
  <c r="DZ64" i="24"/>
  <c r="EA73" i="24"/>
  <c r="EA76" i="24" s="1"/>
  <c r="EA64" i="24"/>
  <c r="EB97" i="24"/>
  <c r="EB94" i="24"/>
  <c r="EB95" i="24"/>
  <c r="EB96" i="24"/>
  <c r="EB99" i="24"/>
  <c r="EB98" i="24"/>
  <c r="ED107" i="24"/>
  <c r="ED109" i="24" s="1"/>
  <c r="ED54" i="24"/>
  <c r="ED37" i="24"/>
  <c r="ED102" i="24"/>
  <c r="ED59" i="24"/>
  <c r="ED85" i="24"/>
  <c r="CW56" i="24"/>
  <c r="CW69" i="24" s="1"/>
  <c r="CW55" i="24"/>
  <c r="CW68" i="24" s="1"/>
  <c r="CW104" i="24"/>
  <c r="CW117" i="24" s="1"/>
  <c r="CW103" i="24"/>
  <c r="CW116" i="24" s="1"/>
  <c r="CW96" i="24"/>
  <c r="CW97" i="24"/>
  <c r="CW95" i="24"/>
  <c r="CW94" i="24"/>
  <c r="CW98" i="24"/>
  <c r="CW99" i="24"/>
  <c r="CW63" i="24"/>
  <c r="CW75" i="24" s="1"/>
  <c r="CW62" i="24"/>
  <c r="CW110" i="24"/>
  <c r="CW122" i="24" s="1"/>
  <c r="CW111" i="24"/>
  <c r="CW123" i="24" s="1"/>
  <c r="CW46" i="24"/>
  <c r="CW50" i="24"/>
  <c r="CW49" i="24"/>
  <c r="CW47" i="24"/>
  <c r="CW48" i="24"/>
  <c r="CV129" i="24"/>
  <c r="CV81" i="24"/>
  <c r="CV128" i="24"/>
  <c r="CX81" i="24"/>
  <c r="DQ104" i="24"/>
  <c r="DQ117" i="24" s="1"/>
  <c r="DQ129" i="24" s="1"/>
  <c r="DQ103" i="24"/>
  <c r="DQ116" i="24" s="1"/>
  <c r="DQ128" i="24" s="1"/>
  <c r="DQ121" i="24"/>
  <c r="DQ124" i="24" s="1"/>
  <c r="DQ112" i="24"/>
  <c r="DR37" i="24"/>
  <c r="DR107" i="24"/>
  <c r="DR102" i="24"/>
  <c r="DR85" i="24"/>
  <c r="DR54" i="24"/>
  <c r="DR59" i="24"/>
  <c r="DU5" i="24"/>
  <c r="DW5" i="24"/>
  <c r="DQ73" i="24"/>
  <c r="DQ76" i="24" s="1"/>
  <c r="DQ64" i="24"/>
  <c r="CV80" i="24"/>
  <c r="DQ56" i="24"/>
  <c r="DQ69" i="24" s="1"/>
  <c r="DQ81" i="24" s="1"/>
  <c r="DQ55" i="24"/>
  <c r="DQ68" i="24" s="1"/>
  <c r="DQ80" i="24" s="1"/>
  <c r="DQ98" i="24"/>
  <c r="DQ94" i="24"/>
  <c r="DQ95" i="24"/>
  <c r="DQ99" i="24"/>
  <c r="DQ97" i="24"/>
  <c r="DQ96" i="24"/>
  <c r="DQ48" i="24"/>
  <c r="DQ46" i="24"/>
  <c r="DQ49" i="24"/>
  <c r="DQ47" i="24"/>
  <c r="DQ50" i="24"/>
  <c r="CX129" i="24" l="1"/>
  <c r="CX80" i="24"/>
  <c r="DD5" i="24"/>
  <c r="DB5" i="24"/>
  <c r="DA107" i="24"/>
  <c r="DA59" i="24"/>
  <c r="DA54" i="24"/>
  <c r="DA102" i="24"/>
  <c r="DA37" i="24"/>
  <c r="DA85" i="24"/>
  <c r="CZ49" i="24"/>
  <c r="CZ48" i="24"/>
  <c r="CZ47" i="24"/>
  <c r="CZ50" i="24"/>
  <c r="CZ46" i="24"/>
  <c r="CZ103" i="24"/>
  <c r="CZ116" i="24" s="1"/>
  <c r="CZ104" i="24"/>
  <c r="CZ117" i="24" s="1"/>
  <c r="CZ97" i="24"/>
  <c r="CZ99" i="24"/>
  <c r="CZ96" i="24"/>
  <c r="CZ95" i="24"/>
  <c r="CZ94" i="24"/>
  <c r="CZ98" i="24"/>
  <c r="CZ55" i="24"/>
  <c r="CZ68" i="24" s="1"/>
  <c r="CZ56" i="24"/>
  <c r="CZ69" i="24" s="1"/>
  <c r="CZ110" i="24"/>
  <c r="CZ122" i="24" s="1"/>
  <c r="CZ111" i="24"/>
  <c r="CZ123" i="24" s="1"/>
  <c r="CZ62" i="24"/>
  <c r="CZ74" i="24" s="1"/>
  <c r="CZ63" i="24"/>
  <c r="CZ75" i="24" s="1"/>
  <c r="EC64" i="24"/>
  <c r="EC73" i="24"/>
  <c r="EC76" i="24" s="1"/>
  <c r="DT104" i="24"/>
  <c r="DT103" i="24"/>
  <c r="EC50" i="24"/>
  <c r="EC48" i="24"/>
  <c r="EC47" i="24"/>
  <c r="EC49" i="24"/>
  <c r="EC46" i="24"/>
  <c r="DT55" i="24"/>
  <c r="DT56" i="24"/>
  <c r="EC99" i="24"/>
  <c r="EC94" i="24"/>
  <c r="EC98" i="24"/>
  <c r="EC97" i="24"/>
  <c r="EC95" i="24"/>
  <c r="EC96" i="24"/>
  <c r="DT62" i="24"/>
  <c r="DT63" i="24"/>
  <c r="DT75" i="24" s="1"/>
  <c r="EC121" i="24"/>
  <c r="EC124" i="24" s="1"/>
  <c r="EC112" i="24"/>
  <c r="DT99" i="24"/>
  <c r="DT94" i="24"/>
  <c r="DT95" i="24"/>
  <c r="DT97" i="24"/>
  <c r="DT96" i="24"/>
  <c r="DT98" i="24"/>
  <c r="DT111" i="24"/>
  <c r="DT123" i="24" s="1"/>
  <c r="DT110" i="24"/>
  <c r="DT122" i="24" s="1"/>
  <c r="EC104" i="24"/>
  <c r="EC117" i="24" s="1"/>
  <c r="EC129" i="24" s="1"/>
  <c r="EC103" i="24"/>
  <c r="EC116" i="24" s="1"/>
  <c r="EC128" i="24" s="1"/>
  <c r="DT48" i="24"/>
  <c r="DT46" i="24"/>
  <c r="DT50" i="24"/>
  <c r="DT49" i="24"/>
  <c r="DT47" i="24"/>
  <c r="EC55" i="24"/>
  <c r="EC68" i="24" s="1"/>
  <c r="EC80" i="24" s="1"/>
  <c r="EC56" i="24"/>
  <c r="EC69" i="24" s="1"/>
  <c r="EC81" i="24" s="1"/>
  <c r="ED95" i="24"/>
  <c r="ED94" i="24"/>
  <c r="ED97" i="24"/>
  <c r="ED98" i="24"/>
  <c r="ED99" i="24"/>
  <c r="ED96" i="24"/>
  <c r="ED73" i="24"/>
  <c r="ED76" i="24" s="1"/>
  <c r="ED64" i="24"/>
  <c r="ED103" i="24"/>
  <c r="ED116" i="24" s="1"/>
  <c r="ED128" i="24" s="1"/>
  <c r="ED104" i="24"/>
  <c r="ED117" i="24" s="1"/>
  <c r="ED129" i="24" s="1"/>
  <c r="ED48" i="24"/>
  <c r="ED49" i="24"/>
  <c r="ED46" i="24"/>
  <c r="ED47" i="24"/>
  <c r="ED50" i="24"/>
  <c r="ED56" i="24"/>
  <c r="ED69" i="24" s="1"/>
  <c r="ED81" i="24" s="1"/>
  <c r="ED55" i="24"/>
  <c r="ED68" i="24" s="1"/>
  <c r="ED80" i="24" s="1"/>
  <c r="ED112" i="24"/>
  <c r="ED121" i="24"/>
  <c r="ED124" i="24" s="1"/>
  <c r="CW81" i="24"/>
  <c r="CW74" i="24"/>
  <c r="CW128" i="24"/>
  <c r="CW129" i="24"/>
  <c r="DR95" i="24"/>
  <c r="DR94" i="24"/>
  <c r="DR96" i="24"/>
  <c r="DR98" i="24"/>
  <c r="DR99" i="24"/>
  <c r="DR97" i="24"/>
  <c r="DR104" i="24"/>
  <c r="DR117" i="24" s="1"/>
  <c r="DR103" i="24"/>
  <c r="DR116" i="24" s="1"/>
  <c r="DW37" i="24"/>
  <c r="DW102" i="24"/>
  <c r="DW85" i="24"/>
  <c r="DW59" i="24"/>
  <c r="DW54" i="24"/>
  <c r="DW107" i="24"/>
  <c r="DU59" i="24"/>
  <c r="DU85" i="24"/>
  <c r="DU54" i="24"/>
  <c r="DU107" i="24"/>
  <c r="DU102" i="24"/>
  <c r="DU37" i="24"/>
  <c r="DR110" i="24"/>
  <c r="DR122" i="24" s="1"/>
  <c r="DR111" i="24"/>
  <c r="DR123" i="24" s="1"/>
  <c r="DR47" i="24"/>
  <c r="DR46" i="24"/>
  <c r="DR50" i="24"/>
  <c r="DR48" i="24"/>
  <c r="DR49" i="24"/>
  <c r="DR55" i="24"/>
  <c r="DR68" i="24" s="1"/>
  <c r="DR56" i="24"/>
  <c r="DR69" i="24" s="1"/>
  <c r="DR63" i="24"/>
  <c r="DR75" i="24" s="1"/>
  <c r="DR62" i="24"/>
  <c r="DR74" i="24" s="1"/>
  <c r="DE5" i="24" l="1"/>
  <c r="DC5" i="24"/>
  <c r="DC102" i="24" s="1"/>
  <c r="CZ81" i="24"/>
  <c r="CZ128" i="24"/>
  <c r="DA46" i="24"/>
  <c r="DA47" i="24"/>
  <c r="DA50" i="24"/>
  <c r="DA48" i="24"/>
  <c r="DA49" i="24"/>
  <c r="DA104" i="24"/>
  <c r="DA117" i="24" s="1"/>
  <c r="DA103" i="24"/>
  <c r="DA116" i="24" s="1"/>
  <c r="DA63" i="24"/>
  <c r="DA62" i="24"/>
  <c r="DA110" i="24"/>
  <c r="DA111" i="24"/>
  <c r="DB54" i="24"/>
  <c r="DB102" i="24"/>
  <c r="DB37" i="24"/>
  <c r="DB85" i="24"/>
  <c r="DB59" i="24"/>
  <c r="DB107" i="24"/>
  <c r="DA56" i="24"/>
  <c r="DA69" i="24" s="1"/>
  <c r="DA55" i="24"/>
  <c r="DA68" i="24" s="1"/>
  <c r="CZ129" i="24"/>
  <c r="DA97" i="24"/>
  <c r="DA94" i="24"/>
  <c r="DA95" i="24"/>
  <c r="DA99" i="24"/>
  <c r="DA96" i="24"/>
  <c r="DA98" i="24"/>
  <c r="DC54" i="24"/>
  <c r="DC37" i="24"/>
  <c r="CZ80" i="24"/>
  <c r="DD102" i="24"/>
  <c r="DD37" i="24"/>
  <c r="DD85" i="24"/>
  <c r="DD107" i="24"/>
  <c r="DD59" i="24"/>
  <c r="DD54" i="24"/>
  <c r="DT74" i="24"/>
  <c r="CW80" i="24"/>
  <c r="DR128" i="24"/>
  <c r="DW55" i="24"/>
  <c r="DW68" i="24" s="1"/>
  <c r="DW56" i="24"/>
  <c r="DW69" i="24" s="1"/>
  <c r="DW110" i="24"/>
  <c r="DW122" i="24" s="1"/>
  <c r="DW111" i="24"/>
  <c r="DW123" i="24" s="1"/>
  <c r="DW62" i="24"/>
  <c r="DW74" i="24" s="1"/>
  <c r="DW63" i="24"/>
  <c r="DW75" i="24" s="1"/>
  <c r="DU104" i="24"/>
  <c r="DU103" i="24"/>
  <c r="DR81" i="24"/>
  <c r="DU111" i="24"/>
  <c r="DU123" i="24" s="1"/>
  <c r="DU110" i="24"/>
  <c r="DU122" i="24" s="1"/>
  <c r="DU94" i="24"/>
  <c r="DU99" i="24"/>
  <c r="DU98" i="24"/>
  <c r="DU97" i="24"/>
  <c r="DU96" i="24"/>
  <c r="DU95" i="24"/>
  <c r="DW50" i="24"/>
  <c r="DW49" i="24"/>
  <c r="DW48" i="24"/>
  <c r="DW47" i="24"/>
  <c r="DW46" i="24"/>
  <c r="DR129" i="24"/>
  <c r="DU50" i="24"/>
  <c r="DU49" i="24"/>
  <c r="DU48" i="24"/>
  <c r="DU47" i="24"/>
  <c r="DU46" i="24"/>
  <c r="DW96" i="24"/>
  <c r="DW94" i="24"/>
  <c r="DW95" i="24"/>
  <c r="DW99" i="24"/>
  <c r="DW98" i="24"/>
  <c r="DW97" i="24"/>
  <c r="DR80" i="24"/>
  <c r="DU55" i="24"/>
  <c r="DU56" i="24"/>
  <c r="DW104" i="24"/>
  <c r="DW117" i="24" s="1"/>
  <c r="DW103" i="24"/>
  <c r="DW116" i="24" s="1"/>
  <c r="DU62" i="24"/>
  <c r="DU74" i="24" s="1"/>
  <c r="DU63" i="24"/>
  <c r="DU75" i="24" s="1"/>
  <c r="DC85" i="24" l="1"/>
  <c r="DC94" i="24" s="1"/>
  <c r="DC107" i="24"/>
  <c r="DC110" i="24" s="1"/>
  <c r="DC122" i="24" s="1"/>
  <c r="DC59" i="24"/>
  <c r="DE85" i="24"/>
  <c r="DE61" i="24"/>
  <c r="DE37" i="24"/>
  <c r="DE59" i="24"/>
  <c r="DE107" i="24"/>
  <c r="DE109" i="24" s="1"/>
  <c r="DE102" i="24"/>
  <c r="DE54" i="24"/>
  <c r="DF5" i="24"/>
  <c r="DC56" i="24"/>
  <c r="DC69" i="24" s="1"/>
  <c r="DC55" i="24"/>
  <c r="DC68" i="24" s="1"/>
  <c r="DB56" i="24"/>
  <c r="DB69" i="24" s="1"/>
  <c r="DB55" i="24"/>
  <c r="DB68" i="24" s="1"/>
  <c r="DD103" i="24"/>
  <c r="DD116" i="24" s="1"/>
  <c r="DD104" i="24"/>
  <c r="DD117" i="24" s="1"/>
  <c r="DD56" i="24"/>
  <c r="DD69" i="24" s="1"/>
  <c r="DD55" i="24"/>
  <c r="DD68" i="24" s="1"/>
  <c r="DC111" i="24"/>
  <c r="DC123" i="24" s="1"/>
  <c r="DD49" i="24"/>
  <c r="DD47" i="24"/>
  <c r="DD46" i="24"/>
  <c r="DD50" i="24"/>
  <c r="DD48" i="24"/>
  <c r="DB110" i="24"/>
  <c r="DB122" i="24" s="1"/>
  <c r="DB111" i="24"/>
  <c r="DB123" i="24" s="1"/>
  <c r="DD110" i="24"/>
  <c r="DD122" i="24" s="1"/>
  <c r="DD111" i="24"/>
  <c r="DD123" i="24" s="1"/>
  <c r="DB63" i="24"/>
  <c r="DB75" i="24" s="1"/>
  <c r="DB62" i="24"/>
  <c r="DB74" i="24" s="1"/>
  <c r="DD63" i="24"/>
  <c r="DD75" i="24" s="1"/>
  <c r="DD62" i="24"/>
  <c r="DD74" i="24" s="1"/>
  <c r="DD99" i="24"/>
  <c r="DD94" i="24"/>
  <c r="DD98" i="24"/>
  <c r="DD97" i="24"/>
  <c r="DD95" i="24"/>
  <c r="DD96" i="24"/>
  <c r="DC63" i="24"/>
  <c r="DC75" i="24" s="1"/>
  <c r="DC62" i="24"/>
  <c r="DC74" i="24" s="1"/>
  <c r="DB98" i="24"/>
  <c r="DB96" i="24"/>
  <c r="DB97" i="24"/>
  <c r="DB95" i="24"/>
  <c r="DB94" i="24"/>
  <c r="DB99" i="24"/>
  <c r="DC103" i="24"/>
  <c r="DC116" i="24" s="1"/>
  <c r="DC104" i="24"/>
  <c r="DC117" i="24" s="1"/>
  <c r="DB104" i="24"/>
  <c r="DB117" i="24" s="1"/>
  <c r="DB103" i="24"/>
  <c r="DB116" i="24" s="1"/>
  <c r="DC50" i="24"/>
  <c r="DC46" i="24"/>
  <c r="DC49" i="24"/>
  <c r="DC47" i="24"/>
  <c r="DC48" i="24"/>
  <c r="DB50" i="24"/>
  <c r="DB49" i="24"/>
  <c r="DB48" i="24"/>
  <c r="DB47" i="24"/>
  <c r="DB46" i="24"/>
  <c r="DW128" i="24"/>
  <c r="DW80" i="24"/>
  <c r="DW129" i="24"/>
  <c r="DW81" i="24"/>
  <c r="DC95" i="24" l="1"/>
  <c r="DC96" i="24"/>
  <c r="DC98" i="24"/>
  <c r="DC99" i="24"/>
  <c r="DC97" i="24"/>
  <c r="DC129" i="24"/>
  <c r="DC128" i="24"/>
  <c r="DE103" i="24"/>
  <c r="DE116" i="24" s="1"/>
  <c r="DE128" i="24" s="1"/>
  <c r="DE104" i="24"/>
  <c r="DE117" i="24" s="1"/>
  <c r="DE129" i="24" s="1"/>
  <c r="DF54" i="24"/>
  <c r="DF85" i="24"/>
  <c r="DF107" i="24"/>
  <c r="DF37" i="24"/>
  <c r="DF59" i="24"/>
  <c r="DF102" i="24"/>
  <c r="DE112" i="24"/>
  <c r="DE121" i="24"/>
  <c r="DE124" i="24" s="1"/>
  <c r="DE55" i="24"/>
  <c r="DE68" i="24" s="1"/>
  <c r="DE80" i="24" s="1"/>
  <c r="DE56" i="24"/>
  <c r="DE69" i="24" s="1"/>
  <c r="DE81" i="24" s="1"/>
  <c r="DE46" i="24"/>
  <c r="DE49" i="24"/>
  <c r="DE47" i="24"/>
  <c r="DE50" i="24"/>
  <c r="DE48" i="24"/>
  <c r="DE73" i="24"/>
  <c r="DE76" i="24" s="1"/>
  <c r="DE64" i="24"/>
  <c r="DE94" i="24"/>
  <c r="DE96" i="24"/>
  <c r="DE95" i="24"/>
  <c r="DE98" i="24"/>
  <c r="DE99" i="24"/>
  <c r="DE97" i="24"/>
  <c r="DB128" i="24"/>
  <c r="DB129" i="24"/>
  <c r="DB80" i="24"/>
  <c r="DD80" i="24"/>
  <c r="DB81" i="24"/>
  <c r="DD81" i="24"/>
  <c r="DD129" i="24"/>
  <c r="DC80" i="24"/>
  <c r="DD128" i="24"/>
  <c r="DC81" i="24"/>
  <c r="AF17" i="25"/>
  <c r="AF21" i="25" s="1"/>
  <c r="DJ5" i="24" l="1"/>
  <c r="DH5" i="24"/>
  <c r="DI5" i="24"/>
  <c r="DF110" i="24"/>
  <c r="DF111" i="24"/>
  <c r="DF98" i="24"/>
  <c r="DF94" i="24"/>
  <c r="DF99" i="24"/>
  <c r="DF97" i="24"/>
  <c r="DF96" i="24"/>
  <c r="DF95" i="24"/>
  <c r="DF63" i="24"/>
  <c r="DF62" i="24"/>
  <c r="DF55" i="24"/>
  <c r="DF68" i="24" s="1"/>
  <c r="DF56" i="24"/>
  <c r="DF69" i="24" s="1"/>
  <c r="DF50" i="24"/>
  <c r="DF46" i="24"/>
  <c r="DF49" i="24"/>
  <c r="DF48" i="24"/>
  <c r="DF47" i="24"/>
  <c r="DF103" i="24"/>
  <c r="DF116" i="24" s="1"/>
  <c r="DF104" i="24"/>
  <c r="DF117" i="24" s="1"/>
  <c r="AF23" i="25"/>
  <c r="AF22" i="25"/>
  <c r="AF20" i="25"/>
  <c r="AF25" i="25"/>
  <c r="AF24" i="25"/>
  <c r="DJ107" i="24" l="1"/>
  <c r="DJ59" i="24"/>
  <c r="DJ102" i="24"/>
  <c r="DJ54" i="24"/>
  <c r="DJ85" i="24"/>
  <c r="DJ37" i="24"/>
  <c r="DI59" i="24"/>
  <c r="DI85" i="24"/>
  <c r="DI102" i="24"/>
  <c r="DI54" i="24"/>
  <c r="DI37" i="24"/>
  <c r="DI107" i="24"/>
  <c r="DH37" i="24"/>
  <c r="DH85" i="24"/>
  <c r="DH107" i="24"/>
  <c r="DH59" i="24"/>
  <c r="DH54" i="24"/>
  <c r="DH102" i="24"/>
  <c r="AF28" i="25"/>
  <c r="AF43" i="25" s="1"/>
  <c r="AF32" i="25"/>
  <c r="AF41" i="25" s="1"/>
  <c r="AF45" i="25" s="1"/>
  <c r="U17" i="25"/>
  <c r="U20" i="25" s="1"/>
  <c r="AF115" i="28" l="1"/>
  <c r="AF108" i="28" s="1"/>
  <c r="AF101" i="28" s="1"/>
  <c r="AF93" i="28"/>
  <c r="AF86" i="28" s="1"/>
  <c r="AF79" i="28" s="1"/>
  <c r="DI56" i="24"/>
  <c r="DI55" i="24"/>
  <c r="DH98" i="24"/>
  <c r="DH96" i="24"/>
  <c r="DH99" i="24"/>
  <c r="DH95" i="24"/>
  <c r="DH97" i="24"/>
  <c r="DH94" i="24"/>
  <c r="DJ48" i="24"/>
  <c r="DJ49" i="24"/>
  <c r="DJ47" i="24"/>
  <c r="DJ50" i="24"/>
  <c r="DJ46" i="24"/>
  <c r="DH48" i="24"/>
  <c r="DH46" i="24"/>
  <c r="DH49" i="24"/>
  <c r="DH47" i="24"/>
  <c r="DH50" i="24"/>
  <c r="DI99" i="24"/>
  <c r="DI94" i="24"/>
  <c r="DI96" i="24"/>
  <c r="DI97" i="24"/>
  <c r="DI95" i="24"/>
  <c r="DI98" i="24"/>
  <c r="DJ95" i="24"/>
  <c r="DJ94" i="24"/>
  <c r="DJ98" i="24"/>
  <c r="DJ96" i="24"/>
  <c r="DJ97" i="24"/>
  <c r="DJ99" i="24"/>
  <c r="DI62" i="24"/>
  <c r="DI63" i="24"/>
  <c r="DH104" i="24"/>
  <c r="DH103" i="24"/>
  <c r="DJ55" i="24"/>
  <c r="DJ68" i="24" s="1"/>
  <c r="DJ56" i="24"/>
  <c r="DJ69" i="24" s="1"/>
  <c r="DH55" i="24"/>
  <c r="DH56" i="24"/>
  <c r="DI110" i="24"/>
  <c r="DI111" i="24"/>
  <c r="DJ103" i="24"/>
  <c r="DJ116" i="24" s="1"/>
  <c r="DJ104" i="24"/>
  <c r="DJ117" i="24" s="1"/>
  <c r="DH111" i="24"/>
  <c r="DH110" i="24"/>
  <c r="DJ111" i="24"/>
  <c r="DJ110" i="24"/>
  <c r="DI104" i="24"/>
  <c r="DI103" i="24"/>
  <c r="DH63" i="24"/>
  <c r="DH62" i="24"/>
  <c r="DI47" i="24"/>
  <c r="DI48" i="24"/>
  <c r="DI49" i="24"/>
  <c r="DI50" i="24"/>
  <c r="DI46" i="24"/>
  <c r="DJ63" i="24"/>
  <c r="DJ62" i="24"/>
  <c r="U22" i="25"/>
  <c r="U21" i="25"/>
  <c r="U25" i="25"/>
  <c r="U24" i="25"/>
  <c r="U23" i="25"/>
  <c r="U28" i="25" l="1"/>
  <c r="U43" i="25" s="1"/>
  <c r="U93" i="28" s="1"/>
  <c r="U86" i="28" s="1"/>
  <c r="U79" i="28" s="1"/>
  <c r="U32" i="25"/>
  <c r="U41" i="25" s="1"/>
  <c r="U45" i="25" s="1"/>
  <c r="U115" i="28" s="1"/>
  <c r="U108" i="28" s="1"/>
  <c r="U101" i="28" s="1"/>
  <c r="D57" i="41" l="1"/>
  <c r="D57" i="42" l="1"/>
  <c r="E45" i="43"/>
  <c r="G45" i="43"/>
  <c r="E50" i="43"/>
  <c r="G50" i="43"/>
  <c r="BX94" i="28"/>
  <c r="BX87" i="28" s="1"/>
  <c r="BX80" i="28" s="1"/>
  <c r="BY94" i="28"/>
  <c r="BY87" i="28" s="1"/>
  <c r="BY80" i="28" s="1"/>
  <c r="BX116" i="28"/>
  <c r="BX109" i="28" s="1"/>
  <c r="BX102" i="28" s="1"/>
  <c r="BY116" i="28"/>
  <c r="BY109" i="28" s="1"/>
  <c r="BY102" i="28" s="1"/>
  <c r="S50" i="48" l="1"/>
  <c r="G50" i="48" s="1"/>
  <c r="S45" i="51" l="1"/>
  <c r="G45" i="51" s="1"/>
  <c r="S50" i="51"/>
  <c r="G50" i="51" s="1"/>
  <c r="S45" i="48"/>
  <c r="G45" i="48" s="1"/>
  <c r="DR3" i="25" l="1"/>
  <c r="AD79" i="32" s="1"/>
  <c r="AD83" i="32" s="1"/>
  <c r="E118" i="32" s="1"/>
  <c r="E19" i="37" s="1"/>
  <c r="DW5" i="25"/>
  <c r="AG81" i="32" s="1"/>
  <c r="AG83" i="32" s="1"/>
  <c r="E120" i="32" s="1"/>
  <c r="E21" i="37" s="1"/>
  <c r="DQ38" i="25"/>
  <c r="DW37" i="25" l="1"/>
  <c r="DJ5" i="25"/>
  <c r="DJ37" i="25" s="1"/>
  <c r="DR35" i="25"/>
  <c r="DR38" i="25" s="1"/>
  <c r="DF3" i="25"/>
  <c r="DF35" i="25" s="1"/>
  <c r="DT10" i="28"/>
  <c r="DU10" i="28"/>
  <c r="DU69" i="27" l="1"/>
  <c r="DU46" i="27" s="1"/>
  <c r="DU70" i="27"/>
  <c r="DU47" i="27" s="1"/>
  <c r="DI10" i="28"/>
  <c r="AF73" i="32"/>
  <c r="DT69" i="27"/>
  <c r="DT46" i="27" s="1"/>
  <c r="DH10" i="28"/>
  <c r="DT70" i="27"/>
  <c r="DT47" i="27" s="1"/>
  <c r="AE73" i="32"/>
  <c r="C119" i="32" s="1"/>
  <c r="DF38" i="25"/>
  <c r="DF45" i="25"/>
  <c r="DF43" i="25"/>
  <c r="DT3" i="24"/>
  <c r="DT117" i="24" s="1"/>
  <c r="DT129" i="24" s="1"/>
  <c r="DJ45" i="25"/>
  <c r="DJ43" i="25"/>
  <c r="DU3" i="24"/>
  <c r="DU3" i="23" s="1"/>
  <c r="DU12" i="24"/>
  <c r="DT12" i="24" s="1"/>
  <c r="DS12" i="24" s="1"/>
  <c r="DU14" i="24"/>
  <c r="DT14" i="24" s="1"/>
  <c r="DS14" i="24" s="1"/>
  <c r="DU11" i="24"/>
  <c r="DT11" i="24" s="1"/>
  <c r="DS11" i="24" s="1"/>
  <c r="DU18" i="24"/>
  <c r="DT18" i="24" s="1"/>
  <c r="DS18" i="24" s="1"/>
  <c r="DU17" i="24"/>
  <c r="DT17" i="24" s="1"/>
  <c r="DS17" i="24" s="1"/>
  <c r="DU13" i="24"/>
  <c r="DT13" i="24" s="1"/>
  <c r="DS13" i="24" s="1"/>
  <c r="DU15" i="24"/>
  <c r="DT15" i="24" s="1"/>
  <c r="DS15" i="24" s="1"/>
  <c r="DU8" i="24"/>
  <c r="DH69" i="27" l="1"/>
  <c r="DH46" i="27" s="1"/>
  <c r="DH70" i="27"/>
  <c r="DH47" i="27" s="1"/>
  <c r="DI69" i="27"/>
  <c r="DI46" i="27" s="1"/>
  <c r="DI70" i="27"/>
  <c r="DI47" i="27" s="1"/>
  <c r="C20" i="37"/>
  <c r="DF15" i="26"/>
  <c r="DF94" i="28" s="1"/>
  <c r="DF87" i="28" s="1"/>
  <c r="DF80" i="28" s="1"/>
  <c r="DF93" i="28"/>
  <c r="DF86" i="28" s="1"/>
  <c r="DF79" i="28" s="1"/>
  <c r="DF115" i="28"/>
  <c r="DF108" i="28" s="1"/>
  <c r="DF101" i="28" s="1"/>
  <c r="DF17" i="26"/>
  <c r="DF116" i="28" s="1"/>
  <c r="DF109" i="28" s="1"/>
  <c r="DF102" i="28" s="1"/>
  <c r="DT68" i="24"/>
  <c r="DT80" i="24" s="1"/>
  <c r="DJ115" i="28"/>
  <c r="DJ108" i="28" s="1"/>
  <c r="DJ101" i="28" s="1"/>
  <c r="DJ17" i="26"/>
  <c r="DJ116" i="28" s="1"/>
  <c r="DJ109" i="28" s="1"/>
  <c r="DJ102" i="28" s="1"/>
  <c r="DT116" i="24"/>
  <c r="DT128" i="24" s="1"/>
  <c r="DT3" i="23"/>
  <c r="DT26" i="23" s="1"/>
  <c r="DT78" i="23" s="1"/>
  <c r="DT104" i="23" s="1"/>
  <c r="DT69" i="24"/>
  <c r="DT81" i="24" s="1"/>
  <c r="DU116" i="24"/>
  <c r="DU128" i="24" s="1"/>
  <c r="DI3" i="24"/>
  <c r="DI18" i="24" s="1"/>
  <c r="DI4" i="25"/>
  <c r="DH3" i="24"/>
  <c r="DH15" i="24" s="1"/>
  <c r="DH4" i="25"/>
  <c r="DH11" i="28" s="1"/>
  <c r="DJ93" i="28"/>
  <c r="DJ86" i="28" s="1"/>
  <c r="DJ79" i="28" s="1"/>
  <c r="DJ15" i="26"/>
  <c r="DJ94" i="28" s="1"/>
  <c r="DJ87" i="28" s="1"/>
  <c r="DJ80" i="28" s="1"/>
  <c r="DU69" i="24"/>
  <c r="DU81" i="24" s="1"/>
  <c r="DU117" i="24"/>
  <c r="DU129" i="24" s="1"/>
  <c r="DU68" i="24"/>
  <c r="DU80" i="24" s="1"/>
  <c r="DT8" i="24"/>
  <c r="DU19" i="24"/>
  <c r="DU25" i="23"/>
  <c r="DU77" i="23" s="1"/>
  <c r="DU103" i="23" s="1"/>
  <c r="DU20" i="23"/>
  <c r="DU72" i="23" s="1"/>
  <c r="DU21" i="23"/>
  <c r="DU73" i="23" s="1"/>
  <c r="DU99" i="23" s="1"/>
  <c r="DU26" i="23"/>
  <c r="DU78" i="23" s="1"/>
  <c r="DU104" i="23" s="1"/>
  <c r="DU22" i="23"/>
  <c r="DU74" i="23" s="1"/>
  <c r="DU100" i="23" s="1"/>
  <c r="DU27" i="23"/>
  <c r="DU79" i="23" s="1"/>
  <c r="DU105" i="23" s="1"/>
  <c r="DU23" i="23"/>
  <c r="DU75" i="23" s="1"/>
  <c r="DU101" i="23" s="1"/>
  <c r="DU24" i="23"/>
  <c r="DU76" i="23" s="1"/>
  <c r="DU102" i="23" s="1"/>
  <c r="DU28" i="23"/>
  <c r="DU80" i="23" s="1"/>
  <c r="DU29" i="23"/>
  <c r="DU81" i="23" s="1"/>
  <c r="DU107" i="23" s="1"/>
  <c r="DT19" i="24" l="1"/>
  <c r="DS8" i="24"/>
  <c r="DH36" i="25"/>
  <c r="DH43" i="25" s="1"/>
  <c r="DF11" i="28"/>
  <c r="DI16" i="24"/>
  <c r="DI13" i="24"/>
  <c r="DI11" i="24"/>
  <c r="DH16" i="24"/>
  <c r="DH9" i="24"/>
  <c r="DT28" i="23"/>
  <c r="DT80" i="23" s="1"/>
  <c r="DT21" i="23"/>
  <c r="DT73" i="23" s="1"/>
  <c r="DT99" i="23" s="1"/>
  <c r="DI8" i="24"/>
  <c r="DI12" i="24"/>
  <c r="DH17" i="24"/>
  <c r="DT29" i="23"/>
  <c r="DT81" i="23" s="1"/>
  <c r="DT107" i="23" s="1"/>
  <c r="DI15" i="24"/>
  <c r="DH10" i="24"/>
  <c r="DT25" i="23"/>
  <c r="DT77" i="23" s="1"/>
  <c r="DT103" i="23" s="1"/>
  <c r="DT22" i="23"/>
  <c r="DT74" i="23" s="1"/>
  <c r="DT100" i="23" s="1"/>
  <c r="DI10" i="24"/>
  <c r="DT20" i="23"/>
  <c r="DT72" i="23" s="1"/>
  <c r="DT98" i="23" s="1"/>
  <c r="DI14" i="24"/>
  <c r="DI17" i="24"/>
  <c r="DH18" i="24"/>
  <c r="DT24" i="23"/>
  <c r="DT76" i="23" s="1"/>
  <c r="DT102" i="23" s="1"/>
  <c r="DH12" i="24"/>
  <c r="DH45" i="25"/>
  <c r="DH14" i="24"/>
  <c r="DH13" i="24"/>
  <c r="DI36" i="25"/>
  <c r="DH116" i="24"/>
  <c r="DH68" i="24"/>
  <c r="DH69" i="24"/>
  <c r="DH117" i="24"/>
  <c r="DT23" i="23"/>
  <c r="DT75" i="23" s="1"/>
  <c r="DT101" i="23" s="1"/>
  <c r="DT27" i="23"/>
  <c r="DT79" i="23" s="1"/>
  <c r="DT105" i="23" s="1"/>
  <c r="DI116" i="24"/>
  <c r="DI117" i="24"/>
  <c r="DI69" i="24"/>
  <c r="DI68" i="24"/>
  <c r="DI9" i="24"/>
  <c r="DH8" i="24"/>
  <c r="DH11" i="24"/>
  <c r="DU98" i="23"/>
  <c r="DU108" i="23" s="1"/>
  <c r="DU114" i="28" s="1"/>
  <c r="DU107" i="28" s="1"/>
  <c r="DU100" i="28" s="1"/>
  <c r="DU82" i="23"/>
  <c r="DU92" i="28" s="1"/>
  <c r="DU85" i="28" s="1"/>
  <c r="DU78" i="28" s="1"/>
  <c r="DS19" i="24" l="1"/>
  <c r="DH38" i="25"/>
  <c r="DJ11" i="28"/>
  <c r="DJ4" i="24" s="1"/>
  <c r="DF4" i="24"/>
  <c r="DI19" i="24"/>
  <c r="DT108" i="23"/>
  <c r="DT114" i="28" s="1"/>
  <c r="DT107" i="28" s="1"/>
  <c r="DT100" i="28" s="1"/>
  <c r="DT82" i="23"/>
  <c r="DT92" i="28" s="1"/>
  <c r="DT85" i="28" s="1"/>
  <c r="DT78" i="28" s="1"/>
  <c r="DH19" i="24"/>
  <c r="DH15" i="26"/>
  <c r="DH94" i="28" s="1"/>
  <c r="DH87" i="28" s="1"/>
  <c r="DH80" i="28" s="1"/>
  <c r="DH93" i="28"/>
  <c r="DH86" i="28" s="1"/>
  <c r="DH79" i="28" s="1"/>
  <c r="DI38" i="25"/>
  <c r="DI45" i="25"/>
  <c r="DI43" i="25"/>
  <c r="DH4" i="24"/>
  <c r="DI11" i="28"/>
  <c r="DI4" i="24" s="1"/>
  <c r="DH17" i="26"/>
  <c r="DH116" i="28" s="1"/>
  <c r="DH109" i="28" s="1"/>
  <c r="DH102" i="28" s="1"/>
  <c r="DH115" i="28"/>
  <c r="DH108" i="28" s="1"/>
  <c r="DH101" i="28" s="1"/>
  <c r="EJ38" i="24"/>
  <c r="EJ39" i="24"/>
  <c r="EJ40" i="24"/>
  <c r="EJ41" i="24"/>
  <c r="EJ42" i="24"/>
  <c r="EJ43" i="24"/>
  <c r="EJ44" i="24"/>
  <c r="EJ45" i="24"/>
  <c r="EJ68" i="24"/>
  <c r="EK68" i="24"/>
  <c r="EL68" i="24"/>
  <c r="EM68" i="24"/>
  <c r="EN68" i="24"/>
  <c r="EO68" i="24"/>
  <c r="EP68" i="24"/>
  <c r="EQ68" i="24" s="1"/>
  <c r="ER68" i="24"/>
  <c r="EJ86" i="24"/>
  <c r="EJ87" i="24"/>
  <c r="EJ88" i="24"/>
  <c r="EJ89" i="24"/>
  <c r="EJ90" i="24"/>
  <c r="EJ91" i="24"/>
  <c r="EJ92" i="24"/>
  <c r="EJ93" i="24"/>
  <c r="EJ116" i="24"/>
  <c r="EK116" i="24"/>
  <c r="EL116" i="24"/>
  <c r="EM116" i="24"/>
  <c r="EN116" i="24"/>
  <c r="EO116" i="24"/>
  <c r="EP116" i="24"/>
  <c r="EQ116" i="24" s="1"/>
  <c r="ER116" i="24"/>
  <c r="D38" i="27"/>
  <c r="D39" i="27"/>
  <c r="D61" i="27"/>
  <c r="D62" i="27"/>
  <c r="DG66" i="27" l="1"/>
  <c r="DF66" i="27"/>
  <c r="DA66" i="27"/>
  <c r="DZ66" i="27"/>
  <c r="BV66" i="27"/>
  <c r="BN66" i="27"/>
  <c r="BQ66" i="27"/>
  <c r="AW66" i="27"/>
  <c r="DG65" i="27"/>
  <c r="CL66" i="27"/>
  <c r="DC66" i="27"/>
  <c r="EB66" i="27"/>
  <c r="CB66" i="27"/>
  <c r="BL66" i="27"/>
  <c r="AR66" i="27"/>
  <c r="AY66" i="27"/>
  <c r="DE66" i="27"/>
  <c r="CK66" i="27"/>
  <c r="CZ66" i="27"/>
  <c r="ED66" i="27"/>
  <c r="CA66" i="27"/>
  <c r="BD66" i="27"/>
  <c r="BR66" i="27"/>
  <c r="AV66" i="27"/>
  <c r="CJ66" i="27"/>
  <c r="CM66" i="27"/>
  <c r="DY66" i="27"/>
  <c r="CC66" i="27"/>
  <c r="BX66" i="27"/>
  <c r="BC66" i="27"/>
  <c r="BO66" i="27"/>
  <c r="BO74" i="27" s="1"/>
  <c r="BO78" i="27" s="1"/>
  <c r="AU66" i="27"/>
  <c r="DJ66" i="27"/>
  <c r="DI66" i="27"/>
  <c r="CW66" i="27"/>
  <c r="BZ66" i="27"/>
  <c r="BM66" i="27"/>
  <c r="BF66" i="27"/>
  <c r="BP66" i="27"/>
  <c r="AT66" i="27"/>
  <c r="DD66" i="27"/>
  <c r="CD66" i="27"/>
  <c r="BY66" i="27"/>
  <c r="AS66" i="27"/>
  <c r="DB66" i="27"/>
  <c r="BU66" i="27"/>
  <c r="BE66" i="27"/>
  <c r="DH66" i="27"/>
  <c r="CY66" i="27"/>
  <c r="DX66" i="27"/>
  <c r="BW66" i="27"/>
  <c r="BS66" i="27"/>
  <c r="CE66" i="27"/>
  <c r="BH66" i="27"/>
  <c r="AZ66" i="27"/>
  <c r="AZ74" i="27" s="1"/>
  <c r="AZ78" i="27" s="1"/>
  <c r="CI66" i="27"/>
  <c r="EC66" i="27"/>
  <c r="CF66" i="27"/>
  <c r="CH66" i="27"/>
  <c r="EA66" i="27"/>
  <c r="BG66" i="27"/>
  <c r="BA66" i="27"/>
  <c r="AM66" i="27"/>
  <c r="AQ66" i="27"/>
  <c r="AQ74" i="27" s="1"/>
  <c r="AQ78" i="27" s="1"/>
  <c r="CT66" i="27"/>
  <c r="AL66" i="27"/>
  <c r="CQ66" i="27"/>
  <c r="AO66" i="27"/>
  <c r="BI66" i="27"/>
  <c r="AX66" i="27"/>
  <c r="BB66" i="27"/>
  <c r="BK66" i="27"/>
  <c r="BT66" i="27"/>
  <c r="CU66" i="27"/>
  <c r="AK66" i="27"/>
  <c r="AN66" i="27"/>
  <c r="AP66" i="27"/>
  <c r="CG66" i="27"/>
  <c r="CO66" i="27"/>
  <c r="CX66" i="27"/>
  <c r="CP66" i="27"/>
  <c r="CR66" i="27"/>
  <c r="CV66" i="27"/>
  <c r="CS66" i="27"/>
  <c r="CN66" i="27"/>
  <c r="BJ66" i="27"/>
  <c r="ED65" i="27"/>
  <c r="EA65" i="27"/>
  <c r="DX65" i="27"/>
  <c r="DZ65" i="27"/>
  <c r="EB65" i="27"/>
  <c r="DY65" i="27"/>
  <c r="EC65" i="27"/>
  <c r="DL66" i="27"/>
  <c r="AA66" i="27"/>
  <c r="AA74" i="27" s="1"/>
  <c r="AA78" i="27" s="1"/>
  <c r="I66" i="27"/>
  <c r="I74" i="27" s="1"/>
  <c r="I78" i="27" s="1"/>
  <c r="DM66" i="27"/>
  <c r="DV66" i="27"/>
  <c r="DV74" i="27" s="1"/>
  <c r="DV78" i="27" s="1"/>
  <c r="DP66" i="27"/>
  <c r="AB66" i="27"/>
  <c r="AD66" i="27"/>
  <c r="Y66" i="27"/>
  <c r="Y74" i="27" s="1"/>
  <c r="Y78" i="27" s="1"/>
  <c r="Q66" i="27"/>
  <c r="DN66" i="27"/>
  <c r="DN74" i="27" s="1"/>
  <c r="DN78" i="27" s="1"/>
  <c r="Z66" i="27"/>
  <c r="Z74" i="27" s="1"/>
  <c r="Z78" i="27" s="1"/>
  <c r="X66" i="27"/>
  <c r="DU66" i="27"/>
  <c r="DO66" i="27"/>
  <c r="DT66" i="27"/>
  <c r="R66" i="27"/>
  <c r="DK66" i="27"/>
  <c r="AC66" i="27"/>
  <c r="AC74" i="27" s="1"/>
  <c r="AC78" i="27" s="1"/>
  <c r="CD65" i="27"/>
  <c r="DK65" i="27"/>
  <c r="BM65" i="27"/>
  <c r="CI65" i="27"/>
  <c r="DC65" i="27"/>
  <c r="BJ65" i="27"/>
  <c r="CO65" i="27"/>
  <c r="D66" i="27"/>
  <c r="D74" i="27" s="1"/>
  <c r="D78" i="27" s="1"/>
  <c r="DU65" i="27"/>
  <c r="AF66" i="27"/>
  <c r="F66" i="27"/>
  <c r="DF65" i="27"/>
  <c r="AU65" i="27"/>
  <c r="BG65" i="27"/>
  <c r="CK65" i="27"/>
  <c r="BO65" i="27"/>
  <c r="AJ66" i="27"/>
  <c r="V66" i="27"/>
  <c r="DR66" i="27"/>
  <c r="BP65" i="27"/>
  <c r="BV65" i="27"/>
  <c r="AK65" i="27"/>
  <c r="P66" i="27"/>
  <c r="DW66" i="27"/>
  <c r="DW74" i="27" s="1"/>
  <c r="DW78" i="27" s="1"/>
  <c r="AE66" i="27"/>
  <c r="AE74" i="27" s="1"/>
  <c r="AE78" i="27" s="1"/>
  <c r="CZ65" i="27"/>
  <c r="DB65" i="27"/>
  <c r="DN65" i="27"/>
  <c r="BZ65" i="27"/>
  <c r="CB65" i="27"/>
  <c r="CB73" i="27" s="1"/>
  <c r="CB77" i="27" s="1"/>
  <c r="BE65" i="27"/>
  <c r="DD65" i="27"/>
  <c r="BR65" i="27"/>
  <c r="T65" i="27"/>
  <c r="AT65" i="27"/>
  <c r="CS65" i="27"/>
  <c r="AL65" i="27"/>
  <c r="CG65" i="27"/>
  <c r="BI65" i="27"/>
  <c r="CP65" i="27"/>
  <c r="CP73" i="27" s="1"/>
  <c r="CP77" i="27" s="1"/>
  <c r="CN65" i="27"/>
  <c r="DQ65" i="27"/>
  <c r="DQ66" i="27"/>
  <c r="AR65" i="27"/>
  <c r="DA65" i="27"/>
  <c r="DI65" i="27"/>
  <c r="DE65" i="27"/>
  <c r="AO65" i="27"/>
  <c r="AO73" i="27" s="1"/>
  <c r="AO77" i="27" s="1"/>
  <c r="CW65" i="27"/>
  <c r="AZ65" i="27"/>
  <c r="DM65" i="27"/>
  <c r="CF65" i="27"/>
  <c r="CJ65" i="27"/>
  <c r="BL65" i="27"/>
  <c r="CH65" i="27"/>
  <c r="BK65" i="27"/>
  <c r="BT65" i="27"/>
  <c r="AN65" i="27"/>
  <c r="AG66" i="27"/>
  <c r="AI66" i="27"/>
  <c r="DW65" i="27"/>
  <c r="N66" i="27"/>
  <c r="K66" i="27"/>
  <c r="L66" i="27"/>
  <c r="BQ65" i="27"/>
  <c r="H66" i="27"/>
  <c r="BH65" i="27"/>
  <c r="DH65" i="27"/>
  <c r="DL65" i="27"/>
  <c r="CM65" i="27"/>
  <c r="BF65" i="27"/>
  <c r="E66" i="27"/>
  <c r="AP65" i="27"/>
  <c r="AX65" i="27"/>
  <c r="T66" i="27"/>
  <c r="CT65" i="27"/>
  <c r="AM65" i="27"/>
  <c r="O66" i="27"/>
  <c r="CE65" i="27"/>
  <c r="DV65" i="27"/>
  <c r="DV73" i="27" s="1"/>
  <c r="DV77" i="27" s="1"/>
  <c r="DV79" i="27" s="1"/>
  <c r="DV110" i="28" s="1"/>
  <c r="BW65" i="27"/>
  <c r="BC65" i="27"/>
  <c r="BN65" i="27"/>
  <c r="DJ65" i="27"/>
  <c r="BX65" i="27"/>
  <c r="J66" i="27"/>
  <c r="DR65" i="27"/>
  <c r="DR73" i="27" s="1"/>
  <c r="DR77" i="27" s="1"/>
  <c r="W66" i="27"/>
  <c r="BY65" i="27"/>
  <c r="AV65" i="27"/>
  <c r="DO65" i="27"/>
  <c r="CC65" i="27"/>
  <c r="BA65" i="27"/>
  <c r="BS65" i="27"/>
  <c r="DP65" i="27"/>
  <c r="BU65" i="27"/>
  <c r="DS66" i="27"/>
  <c r="DS74" i="27" s="1"/>
  <c r="DS78" i="27" s="1"/>
  <c r="CL65" i="27"/>
  <c r="BD65" i="27"/>
  <c r="DT65" i="27"/>
  <c r="CY65" i="27"/>
  <c r="CV65" i="27"/>
  <c r="M66" i="27"/>
  <c r="AH66" i="27"/>
  <c r="CU65" i="27"/>
  <c r="G66" i="27"/>
  <c r="S66" i="27"/>
  <c r="CQ65" i="27"/>
  <c r="DS65" i="27"/>
  <c r="CX65" i="27"/>
  <c r="AQ65" i="27"/>
  <c r="U66" i="27"/>
  <c r="CA65" i="27"/>
  <c r="CA73" i="27" s="1"/>
  <c r="CA77" i="27" s="1"/>
  <c r="D65" i="27"/>
  <c r="D73" i="27" s="1"/>
  <c r="Y65" i="27"/>
  <c r="U65" i="27"/>
  <c r="V65" i="27"/>
  <c r="AC65" i="27"/>
  <c r="H65" i="27"/>
  <c r="H73" i="27" s="1"/>
  <c r="H77" i="27" s="1"/>
  <c r="X65" i="27"/>
  <c r="X73" i="27" s="1"/>
  <c r="X77" i="27" s="1"/>
  <c r="I65" i="27"/>
  <c r="I73" i="27" s="1"/>
  <c r="I77" i="27" s="1"/>
  <c r="W65" i="27"/>
  <c r="K65" i="27"/>
  <c r="CR65" i="27"/>
  <c r="CR73" i="27" s="1"/>
  <c r="CR77" i="27" s="1"/>
  <c r="AJ65" i="27"/>
  <c r="AD65" i="27"/>
  <c r="AD73" i="27" s="1"/>
  <c r="AD77" i="27" s="1"/>
  <c r="P65" i="27"/>
  <c r="Q65" i="27"/>
  <c r="F65" i="27"/>
  <c r="AF65" i="27"/>
  <c r="E65" i="27"/>
  <c r="L65" i="27"/>
  <c r="N65" i="27"/>
  <c r="AY65" i="27"/>
  <c r="G65" i="27"/>
  <c r="S65" i="27"/>
  <c r="AH65" i="27"/>
  <c r="M65" i="27"/>
  <c r="AE65" i="27"/>
  <c r="AA65" i="27"/>
  <c r="AA73" i="27" s="1"/>
  <c r="AA77" i="27" s="1"/>
  <c r="R65" i="27"/>
  <c r="AB65" i="27"/>
  <c r="AB73" i="27" s="1"/>
  <c r="AB77" i="27" s="1"/>
  <c r="BB65" i="27"/>
  <c r="O65" i="27"/>
  <c r="J65" i="27"/>
  <c r="Z65" i="27"/>
  <c r="AS65" i="27"/>
  <c r="AI65" i="27"/>
  <c r="AG65" i="27"/>
  <c r="AW65" i="27"/>
  <c r="DE43" i="27"/>
  <c r="CL43" i="27"/>
  <c r="DA43" i="27"/>
  <c r="DA51" i="27" s="1"/>
  <c r="DA55" i="27" s="1"/>
  <c r="ED43" i="27"/>
  <c r="ED51" i="27" s="1"/>
  <c r="ED55" i="27" s="1"/>
  <c r="CA43" i="27"/>
  <c r="BY43" i="27"/>
  <c r="BY51" i="27" s="1"/>
  <c r="BY55" i="27" s="1"/>
  <c r="BH43" i="27"/>
  <c r="AZ43" i="27"/>
  <c r="AV43" i="27"/>
  <c r="AV51" i="27" s="1"/>
  <c r="AV55" i="27" s="1"/>
  <c r="CJ43" i="27"/>
  <c r="CJ51" i="27" s="1"/>
  <c r="CJ55" i="27" s="1"/>
  <c r="DJ43" i="27"/>
  <c r="DJ51" i="27" s="1"/>
  <c r="DJ55" i="27" s="1"/>
  <c r="CW43" i="27"/>
  <c r="CC43" i="27"/>
  <c r="CD43" i="27"/>
  <c r="CE43" i="27"/>
  <c r="BO43" i="27"/>
  <c r="AU43" i="27"/>
  <c r="AU51" i="27" s="1"/>
  <c r="AU55" i="27" s="1"/>
  <c r="DI43" i="27"/>
  <c r="DI51" i="27" s="1"/>
  <c r="DI55" i="27" s="1"/>
  <c r="CK43" i="27"/>
  <c r="CK51" i="27" s="1"/>
  <c r="CK55" i="27" s="1"/>
  <c r="DY43" i="27"/>
  <c r="BZ43" i="27"/>
  <c r="BM43" i="27"/>
  <c r="BM51" i="27" s="1"/>
  <c r="BM55" i="27" s="1"/>
  <c r="BG43" i="27"/>
  <c r="BR43" i="27"/>
  <c r="BR51" i="27" s="1"/>
  <c r="BR55" i="27" s="1"/>
  <c r="AT43" i="27"/>
  <c r="AT51" i="27" s="1"/>
  <c r="AT55" i="27" s="1"/>
  <c r="CM43" i="27"/>
  <c r="CM51" i="27" s="1"/>
  <c r="CM55" i="27" s="1"/>
  <c r="DC43" i="27"/>
  <c r="DZ43" i="27"/>
  <c r="BW43" i="27"/>
  <c r="BS43" i="27"/>
  <c r="BF43" i="27"/>
  <c r="CF43" i="27"/>
  <c r="CH43" i="27"/>
  <c r="CH51" i="27" s="1"/>
  <c r="CH55" i="27" s="1"/>
  <c r="CZ43" i="27"/>
  <c r="CZ51" i="27" s="1"/>
  <c r="CZ55" i="27" s="1"/>
  <c r="EC43" i="27"/>
  <c r="EC51" i="27" s="1"/>
  <c r="EC55" i="27" s="1"/>
  <c r="BX43" i="27"/>
  <c r="BX51" i="27" s="1"/>
  <c r="BX55" i="27" s="1"/>
  <c r="BE43" i="27"/>
  <c r="BC43" i="27"/>
  <c r="AY43" i="27"/>
  <c r="CI43" i="27"/>
  <c r="CI51" i="27" s="1"/>
  <c r="CI55" i="27" s="1"/>
  <c r="EA43" i="27"/>
  <c r="EA51" i="27" s="1"/>
  <c r="EA55" i="27" s="1"/>
  <c r="BL43" i="27"/>
  <c r="BL51" i="27" s="1"/>
  <c r="BL55" i="27" s="1"/>
  <c r="AS43" i="27"/>
  <c r="DG42" i="27"/>
  <c r="EB43" i="27"/>
  <c r="BD43" i="27"/>
  <c r="AW43" i="27"/>
  <c r="DH43" i="27"/>
  <c r="DD43" i="27"/>
  <c r="DD51" i="27" s="1"/>
  <c r="DD55" i="27" s="1"/>
  <c r="DX43" i="27"/>
  <c r="DX51" i="27" s="1"/>
  <c r="DX55" i="27" s="1"/>
  <c r="BU43" i="27"/>
  <c r="BU51" i="27" s="1"/>
  <c r="BU55" i="27" s="1"/>
  <c r="BN43" i="27"/>
  <c r="BN51" i="27" s="1"/>
  <c r="BN55" i="27" s="1"/>
  <c r="BQ43" i="27"/>
  <c r="BA43" i="27"/>
  <c r="BA51" i="27" s="1"/>
  <c r="BA55" i="27" s="1"/>
  <c r="DG43" i="27"/>
  <c r="DB43" i="27"/>
  <c r="DB51" i="27" s="1"/>
  <c r="DB55" i="27" s="1"/>
  <c r="BV43" i="27"/>
  <c r="BV51" i="27" s="1"/>
  <c r="BV55" i="27" s="1"/>
  <c r="AR43" i="27"/>
  <c r="AR51" i="27" s="1"/>
  <c r="AR55" i="27" s="1"/>
  <c r="DF43" i="27"/>
  <c r="DF51" i="27" s="1"/>
  <c r="DF55" i="27" s="1"/>
  <c r="CY43" i="27"/>
  <c r="CB43" i="27"/>
  <c r="BP43" i="27"/>
  <c r="BJ43" i="27"/>
  <c r="AM43" i="27"/>
  <c r="CT43" i="27"/>
  <c r="CT51" i="27" s="1"/>
  <c r="CT55" i="27" s="1"/>
  <c r="AL43" i="27"/>
  <c r="AL51" i="27" s="1"/>
  <c r="AL55" i="27" s="1"/>
  <c r="CQ43" i="27"/>
  <c r="CQ51" i="27" s="1"/>
  <c r="CQ55" i="27" s="1"/>
  <c r="BI43" i="27"/>
  <c r="BI51" i="27" s="1"/>
  <c r="BI55" i="27" s="1"/>
  <c r="AK43" i="27"/>
  <c r="AX43" i="27"/>
  <c r="CO43" i="27"/>
  <c r="BB43" i="27"/>
  <c r="BB51" i="27" s="1"/>
  <c r="BB55" i="27" s="1"/>
  <c r="BK43" i="27"/>
  <c r="BK51" i="27" s="1"/>
  <c r="BK55" i="27" s="1"/>
  <c r="BT43" i="27"/>
  <c r="BT51" i="27" s="1"/>
  <c r="BT55" i="27" s="1"/>
  <c r="AO43" i="27"/>
  <c r="CP43" i="27"/>
  <c r="CR43" i="27"/>
  <c r="AQ43" i="27"/>
  <c r="CV43" i="27"/>
  <c r="AN43" i="27"/>
  <c r="CN43" i="27"/>
  <c r="CN51" i="27" s="1"/>
  <c r="CN55" i="27" s="1"/>
  <c r="AP43" i="27"/>
  <c r="AP51" i="27" s="1"/>
  <c r="AP55" i="27" s="1"/>
  <c r="CX43" i="27"/>
  <c r="CX51" i="27" s="1"/>
  <c r="CX55" i="27" s="1"/>
  <c r="CU43" i="27"/>
  <c r="CU51" i="27" s="1"/>
  <c r="CU55" i="27" s="1"/>
  <c r="CG43" i="27"/>
  <c r="CS43" i="27"/>
  <c r="CS51" i="27" s="1"/>
  <c r="CS55" i="27" s="1"/>
  <c r="DX42" i="27"/>
  <c r="EB42" i="27"/>
  <c r="EB50" i="27" s="1"/>
  <c r="EB54" i="27" s="1"/>
  <c r="ED42" i="27"/>
  <c r="ED50" i="27" s="1"/>
  <c r="ED54" i="27" s="1"/>
  <c r="EA42" i="27"/>
  <c r="EA50" i="27" s="1"/>
  <c r="EA54" i="27" s="1"/>
  <c r="DZ42" i="27"/>
  <c r="DY42" i="27"/>
  <c r="EC42" i="27"/>
  <c r="Q43" i="27"/>
  <c r="DN43" i="27"/>
  <c r="I43" i="27"/>
  <c r="I51" i="27" s="1"/>
  <c r="I55" i="27" s="1"/>
  <c r="DM43" i="27"/>
  <c r="DM51" i="27" s="1"/>
  <c r="DM55" i="27" s="1"/>
  <c r="DV43" i="27"/>
  <c r="DV51" i="27" s="1"/>
  <c r="DV55" i="27" s="1"/>
  <c r="AB43" i="27"/>
  <c r="AB51" i="27" s="1"/>
  <c r="AB55" i="27" s="1"/>
  <c r="DP43" i="27"/>
  <c r="DP51" i="27" s="1"/>
  <c r="DP55" i="27" s="1"/>
  <c r="Z43" i="27"/>
  <c r="X43" i="27"/>
  <c r="X51" i="27" s="1"/>
  <c r="X55" i="27" s="1"/>
  <c r="DK43" i="27"/>
  <c r="DO43" i="27"/>
  <c r="DO51" i="27" s="1"/>
  <c r="DO55" i="27" s="1"/>
  <c r="DL43" i="27"/>
  <c r="DL51" i="27" s="1"/>
  <c r="DL55" i="27" s="1"/>
  <c r="R43" i="27"/>
  <c r="R51" i="27" s="1"/>
  <c r="R55" i="27" s="1"/>
  <c r="DT43" i="27"/>
  <c r="AD43" i="27"/>
  <c r="DU43" i="27"/>
  <c r="AA43" i="27"/>
  <c r="Y43" i="27"/>
  <c r="DS43" i="27"/>
  <c r="DS51" i="27" s="1"/>
  <c r="DS55" i="27" s="1"/>
  <c r="CZ42" i="27"/>
  <c r="DB42" i="27"/>
  <c r="DB50" i="27" s="1"/>
  <c r="DB54" i="27" s="1"/>
  <c r="DN42" i="27"/>
  <c r="DN50" i="27" s="1"/>
  <c r="DN54" i="27" s="1"/>
  <c r="BZ42" i="27"/>
  <c r="CB42" i="27"/>
  <c r="BE42" i="27"/>
  <c r="BE50" i="27" s="1"/>
  <c r="BE54" i="27" s="1"/>
  <c r="DD42" i="27"/>
  <c r="BR42" i="27"/>
  <c r="BR50" i="27" s="1"/>
  <c r="BR54" i="27" s="1"/>
  <c r="DO42" i="27"/>
  <c r="DO50" i="27" s="1"/>
  <c r="DO54" i="27" s="1"/>
  <c r="BV42" i="27"/>
  <c r="BV50" i="27" s="1"/>
  <c r="BV54" i="27" s="1"/>
  <c r="AT42" i="27"/>
  <c r="CS42" i="27"/>
  <c r="AL42" i="27"/>
  <c r="H43" i="27"/>
  <c r="P43" i="27"/>
  <c r="BI42" i="27"/>
  <c r="CP42" i="27"/>
  <c r="CP50" i="27" s="1"/>
  <c r="CP54" i="27" s="1"/>
  <c r="DA42" i="27"/>
  <c r="DA50" i="27" s="1"/>
  <c r="DA54" i="27" s="1"/>
  <c r="DI42" i="27"/>
  <c r="DI50" i="27" s="1"/>
  <c r="DI54" i="27" s="1"/>
  <c r="DE42" i="27"/>
  <c r="DE50" i="27" s="1"/>
  <c r="DE54" i="27" s="1"/>
  <c r="AZ42" i="27"/>
  <c r="CF42" i="27"/>
  <c r="CF50" i="27" s="1"/>
  <c r="CF54" i="27" s="1"/>
  <c r="CJ42" i="27"/>
  <c r="BT42" i="27"/>
  <c r="BT50" i="27" s="1"/>
  <c r="BT54" i="27" s="1"/>
  <c r="T43" i="27"/>
  <c r="T51" i="27" s="1"/>
  <c r="T55" i="27" s="1"/>
  <c r="AI43" i="27"/>
  <c r="AI51" i="27" s="1"/>
  <c r="AI55" i="27" s="1"/>
  <c r="N43" i="27"/>
  <c r="N51" i="27" s="1"/>
  <c r="N55" i="27" s="1"/>
  <c r="CE42" i="27"/>
  <c r="DV42" i="27"/>
  <c r="DV50" i="27" s="1"/>
  <c r="DV54" i="27" s="1"/>
  <c r="BN42" i="27"/>
  <c r="CO42" i="27"/>
  <c r="W43" i="27"/>
  <c r="CD42" i="27"/>
  <c r="CD50" i="27" s="1"/>
  <c r="CD54" i="27" s="1"/>
  <c r="AO42" i="27"/>
  <c r="AO41" i="27" s="1"/>
  <c r="CW42" i="27"/>
  <c r="CW50" i="27" s="1"/>
  <c r="CW54" i="27" s="1"/>
  <c r="BM42" i="27"/>
  <c r="BM50" i="27" s="1"/>
  <c r="BM54" i="27" s="1"/>
  <c r="CI42" i="27"/>
  <c r="DC42" i="27"/>
  <c r="DC50" i="27" s="1"/>
  <c r="DC54" i="27" s="1"/>
  <c r="BK42" i="27"/>
  <c r="D43" i="27"/>
  <c r="D51" i="27" s="1"/>
  <c r="D55" i="27" s="1"/>
  <c r="AN42" i="27"/>
  <c r="AN50" i="27" s="1"/>
  <c r="AN54" i="27" s="1"/>
  <c r="AF43" i="27"/>
  <c r="AF51" i="27" s="1"/>
  <c r="AF55" i="27" s="1"/>
  <c r="F43" i="27"/>
  <c r="AR42" i="27"/>
  <c r="DM42" i="27"/>
  <c r="BL42" i="27"/>
  <c r="DW42" i="27"/>
  <c r="AC43" i="27"/>
  <c r="AC51" i="27" s="1"/>
  <c r="AC55" i="27" s="1"/>
  <c r="DF42" i="27"/>
  <c r="DF50" i="27" s="1"/>
  <c r="DF54" i="27" s="1"/>
  <c r="AU42" i="27"/>
  <c r="AU50" i="27" s="1"/>
  <c r="AU54" i="27" s="1"/>
  <c r="BG42" i="27"/>
  <c r="BG50" i="27" s="1"/>
  <c r="BG54" i="27" s="1"/>
  <c r="CK42" i="27"/>
  <c r="CK50" i="27" s="1"/>
  <c r="CK54" i="27" s="1"/>
  <c r="AJ43" i="27"/>
  <c r="V43" i="27"/>
  <c r="V51" i="27" s="1"/>
  <c r="V55" i="27" s="1"/>
  <c r="K43" i="27"/>
  <c r="CG42" i="27"/>
  <c r="CG50" i="27" s="1"/>
  <c r="CG54" i="27" s="1"/>
  <c r="DQ42" i="27"/>
  <c r="DQ50" i="27" s="1"/>
  <c r="DQ54" i="27" s="1"/>
  <c r="CM42" i="27"/>
  <c r="CM50" i="27" s="1"/>
  <c r="CM54" i="27" s="1"/>
  <c r="CH42" i="27"/>
  <c r="AG43" i="27"/>
  <c r="DK42" i="27"/>
  <c r="BX42" i="27"/>
  <c r="BJ42" i="27"/>
  <c r="U43" i="27"/>
  <c r="U51" i="27" s="1"/>
  <c r="U55" i="27" s="1"/>
  <c r="BA42" i="27"/>
  <c r="BA50" i="27" s="1"/>
  <c r="BA54" i="27" s="1"/>
  <c r="BS42" i="27"/>
  <c r="BS50" i="27" s="1"/>
  <c r="BS54" i="27" s="1"/>
  <c r="DP42" i="27"/>
  <c r="DP50" i="27" s="1"/>
  <c r="DP54" i="27" s="1"/>
  <c r="BU42" i="27"/>
  <c r="BU50" i="27" s="1"/>
  <c r="BU54" i="27" s="1"/>
  <c r="DQ43" i="27"/>
  <c r="BO42" i="27"/>
  <c r="BO50" i="27" s="1"/>
  <c r="BO54" i="27" s="1"/>
  <c r="BD42" i="27"/>
  <c r="DT42" i="27"/>
  <c r="DT50" i="27" s="1"/>
  <c r="DT54" i="27" s="1"/>
  <c r="CY42" i="27"/>
  <c r="CY50" i="27" s="1"/>
  <c r="CY54" i="27" s="1"/>
  <c r="CV42" i="27"/>
  <c r="CV50" i="27" s="1"/>
  <c r="CV54" i="27" s="1"/>
  <c r="M43" i="27"/>
  <c r="M51" i="27" s="1"/>
  <c r="M55" i="27" s="1"/>
  <c r="CN42" i="27"/>
  <c r="L43" i="27"/>
  <c r="S43" i="27"/>
  <c r="CQ42" i="27"/>
  <c r="BQ42" i="27"/>
  <c r="BQ50" i="27" s="1"/>
  <c r="BQ54" i="27" s="1"/>
  <c r="CA42" i="27"/>
  <c r="CA50" i="27" s="1"/>
  <c r="CA54" i="27" s="1"/>
  <c r="BY42" i="27"/>
  <c r="AV42" i="27"/>
  <c r="BP42" i="27"/>
  <c r="BP50" i="27" s="1"/>
  <c r="BP54" i="27" s="1"/>
  <c r="AE43" i="27"/>
  <c r="CC42" i="27"/>
  <c r="AH43" i="27"/>
  <c r="DR43" i="27"/>
  <c r="DR51" i="27" s="1"/>
  <c r="DR55" i="27" s="1"/>
  <c r="G43" i="27"/>
  <c r="G51" i="27" s="1"/>
  <c r="G55" i="27" s="1"/>
  <c r="BW42" i="27"/>
  <c r="BW50" i="27" s="1"/>
  <c r="BW54" i="27" s="1"/>
  <c r="AY42" i="27"/>
  <c r="J43" i="27"/>
  <c r="DU42" i="27"/>
  <c r="DR42" i="27"/>
  <c r="BH42" i="27"/>
  <c r="DH42" i="27"/>
  <c r="DH50" i="27" s="1"/>
  <c r="DH54" i="27" s="1"/>
  <c r="DW43" i="27"/>
  <c r="DW51" i="27" s="1"/>
  <c r="DW55" i="27" s="1"/>
  <c r="DL42" i="27"/>
  <c r="DL50" i="27" s="1"/>
  <c r="DL54" i="27" s="1"/>
  <c r="BC42" i="27"/>
  <c r="BC50" i="27" s="1"/>
  <c r="BC54" i="27" s="1"/>
  <c r="DS42" i="27"/>
  <c r="DS50" i="27" s="1"/>
  <c r="DS54" i="27" s="1"/>
  <c r="BF42" i="27"/>
  <c r="E43" i="27"/>
  <c r="E51" i="27" s="1"/>
  <c r="E55" i="27" s="1"/>
  <c r="AP42" i="27"/>
  <c r="AX42" i="27"/>
  <c r="AX50" i="27" s="1"/>
  <c r="AX54" i="27" s="1"/>
  <c r="CT42" i="27"/>
  <c r="CT50" i="27" s="1"/>
  <c r="CT54" i="27" s="1"/>
  <c r="AM42" i="27"/>
  <c r="AM50" i="27" s="1"/>
  <c r="AM54" i="27" s="1"/>
  <c r="O43" i="27"/>
  <c r="O51" i="27" s="1"/>
  <c r="O55" i="27" s="1"/>
  <c r="CL42" i="27"/>
  <c r="AK42" i="27"/>
  <c r="CR42" i="27"/>
  <c r="CU42" i="27"/>
  <c r="DJ42" i="27"/>
  <c r="DJ50" i="27" s="1"/>
  <c r="DJ54" i="27" s="1"/>
  <c r="CX42" i="27"/>
  <c r="CX50" i="27" s="1"/>
  <c r="CX54" i="27" s="1"/>
  <c r="AQ42" i="27"/>
  <c r="BB42" i="27"/>
  <c r="BB50" i="27" s="1"/>
  <c r="BB54" i="27" s="1"/>
  <c r="AI42" i="27"/>
  <c r="AI50" i="27" s="1"/>
  <c r="AI54" i="27" s="1"/>
  <c r="AG42" i="27"/>
  <c r="Z42" i="27"/>
  <c r="Z50" i="27" s="1"/>
  <c r="Z54" i="27" s="1"/>
  <c r="AS42" i="27"/>
  <c r="AW42" i="27"/>
  <c r="AW50" i="27" s="1"/>
  <c r="AW54" i="27" s="1"/>
  <c r="Y42" i="27"/>
  <c r="Y50" i="27" s="1"/>
  <c r="Y54" i="27" s="1"/>
  <c r="AJ42" i="27"/>
  <c r="AJ50" i="27" s="1"/>
  <c r="AJ54" i="27" s="1"/>
  <c r="K42" i="27"/>
  <c r="K50" i="27" s="1"/>
  <c r="K54" i="27" s="1"/>
  <c r="N42" i="27"/>
  <c r="P42" i="27"/>
  <c r="Q42" i="27"/>
  <c r="AF42" i="27"/>
  <c r="E42" i="27"/>
  <c r="I42" i="27"/>
  <c r="I50" i="27" s="1"/>
  <c r="I54" i="27" s="1"/>
  <c r="W42" i="27"/>
  <c r="W50" i="27" s="1"/>
  <c r="W54" i="27" s="1"/>
  <c r="H42" i="27"/>
  <c r="H50" i="27" s="1"/>
  <c r="H54" i="27" s="1"/>
  <c r="G42" i="27"/>
  <c r="G50" i="27" s="1"/>
  <c r="G54" i="27" s="1"/>
  <c r="AH42" i="27"/>
  <c r="AD42" i="27"/>
  <c r="AD50" i="27" s="1"/>
  <c r="AD54" i="27" s="1"/>
  <c r="M42" i="27"/>
  <c r="AE42" i="27"/>
  <c r="AE50" i="27" s="1"/>
  <c r="AE54" i="27" s="1"/>
  <c r="L42" i="27"/>
  <c r="L50" i="27" s="1"/>
  <c r="L54" i="27" s="1"/>
  <c r="R42" i="27"/>
  <c r="R50" i="27" s="1"/>
  <c r="R54" i="27" s="1"/>
  <c r="S42" i="27"/>
  <c r="S50" i="27" s="1"/>
  <c r="S54" i="27" s="1"/>
  <c r="O42" i="27"/>
  <c r="T42" i="27"/>
  <c r="F42" i="27"/>
  <c r="AA42" i="27"/>
  <c r="D42" i="27"/>
  <c r="D50" i="27" s="1"/>
  <c r="D54" i="27" s="1"/>
  <c r="AB42" i="27"/>
  <c r="AB50" i="27" s="1"/>
  <c r="AB54" i="27" s="1"/>
  <c r="J42" i="27"/>
  <c r="J50" i="27" s="1"/>
  <c r="J54" i="27" s="1"/>
  <c r="U42" i="27"/>
  <c r="V42" i="27"/>
  <c r="V50" i="27" s="1"/>
  <c r="V54" i="27" s="1"/>
  <c r="AC42" i="27"/>
  <c r="X42" i="27"/>
  <c r="X50" i="27" s="1"/>
  <c r="X54" i="27" s="1"/>
  <c r="DS73" i="27"/>
  <c r="DS77" i="27" s="1"/>
  <c r="Y73" i="27"/>
  <c r="Y77" i="27" s="1"/>
  <c r="Y51" i="27"/>
  <c r="Y55" i="27" s="1"/>
  <c r="X45" i="24"/>
  <c r="X44" i="24"/>
  <c r="X91" i="24"/>
  <c r="X43" i="24"/>
  <c r="X90" i="24"/>
  <c r="X42" i="24"/>
  <c r="AB89" i="24"/>
  <c r="X89" i="24"/>
  <c r="X41" i="24"/>
  <c r="X74" i="27"/>
  <c r="X78" i="27" s="1"/>
  <c r="X88" i="24"/>
  <c r="X40" i="24"/>
  <c r="AB93" i="24"/>
  <c r="X93" i="24"/>
  <c r="AB92" i="24"/>
  <c r="X92" i="24"/>
  <c r="X109" i="24"/>
  <c r="X87" i="24"/>
  <c r="AB61" i="24"/>
  <c r="AB73" i="24" s="1"/>
  <c r="AB76" i="24" s="1"/>
  <c r="X61" i="24"/>
  <c r="X39" i="24"/>
  <c r="X86" i="24"/>
  <c r="X38" i="24"/>
  <c r="Z73" i="27"/>
  <c r="Z77" i="27" s="1"/>
  <c r="Z51" i="27"/>
  <c r="Z55" i="27" s="1"/>
  <c r="AD74" i="27"/>
  <c r="AD78" i="27" s="1"/>
  <c r="AD51" i="27"/>
  <c r="AD55" i="27" s="1"/>
  <c r="T44" i="24"/>
  <c r="AB44" i="24"/>
  <c r="F91" i="24"/>
  <c r="AB91" i="24"/>
  <c r="BQ43" i="24"/>
  <c r="AB43" i="24"/>
  <c r="AU90" i="24"/>
  <c r="AB90" i="24"/>
  <c r="AU42" i="24"/>
  <c r="AB42" i="24"/>
  <c r="BZ41" i="24"/>
  <c r="AB41" i="24"/>
  <c r="BZ45" i="24"/>
  <c r="AB45" i="24"/>
  <c r="BQ88" i="24"/>
  <c r="AB88" i="24"/>
  <c r="T40" i="24"/>
  <c r="AB40" i="24"/>
  <c r="F109" i="24"/>
  <c r="F112" i="24" s="1"/>
  <c r="AB109" i="24"/>
  <c r="BQ87" i="24"/>
  <c r="AB87" i="24"/>
  <c r="BQ39" i="24"/>
  <c r="AB39" i="24"/>
  <c r="AC73" i="27"/>
  <c r="AC77" i="27" s="1"/>
  <c r="AB74" i="27"/>
  <c r="AB78" i="27" s="1"/>
  <c r="AC50" i="27"/>
  <c r="AC54" i="27" s="1"/>
  <c r="AU86" i="24"/>
  <c r="AB86" i="24"/>
  <c r="F38" i="24"/>
  <c r="AB38" i="24"/>
  <c r="AA51" i="27"/>
  <c r="AA55" i="27" s="1"/>
  <c r="AA50" i="27"/>
  <c r="AA54" i="27" s="1"/>
  <c r="AE73" i="27"/>
  <c r="AE77" i="27" s="1"/>
  <c r="AE51" i="27"/>
  <c r="AE55" i="27" s="1"/>
  <c r="AF50" i="27"/>
  <c r="AF54" i="27" s="1"/>
  <c r="DF31" i="24"/>
  <c r="DF3" i="23"/>
  <c r="DF74" i="24"/>
  <c r="DF80" i="24" s="1"/>
  <c r="DF123" i="24"/>
  <c r="DF129" i="24" s="1"/>
  <c r="DF75" i="24"/>
  <c r="DF81" i="24" s="1"/>
  <c r="DF122" i="24"/>
  <c r="DF128" i="24" s="1"/>
  <c r="DJ31" i="24"/>
  <c r="DJ3" i="23"/>
  <c r="DJ75" i="24"/>
  <c r="DJ81" i="24" s="1"/>
  <c r="DJ123" i="24"/>
  <c r="DJ129" i="24" s="1"/>
  <c r="DJ122" i="24"/>
  <c r="DJ128" i="24" s="1"/>
  <c r="DJ74" i="24"/>
  <c r="DJ80" i="24" s="1"/>
  <c r="DH31" i="24"/>
  <c r="DH123" i="24"/>
  <c r="DH129" i="24" s="1"/>
  <c r="DH122" i="24"/>
  <c r="DH128" i="24" s="1"/>
  <c r="DH75" i="24"/>
  <c r="DH81" i="24" s="1"/>
  <c r="DH74" i="24"/>
  <c r="DH80" i="24" s="1"/>
  <c r="DH3" i="23"/>
  <c r="DI31" i="24"/>
  <c r="DI123" i="24"/>
  <c r="DI129" i="24" s="1"/>
  <c r="DI75" i="24"/>
  <c r="DI81" i="24" s="1"/>
  <c r="DI74" i="24"/>
  <c r="DI80" i="24" s="1"/>
  <c r="DI122" i="24"/>
  <c r="DI128" i="24" s="1"/>
  <c r="DI3" i="23"/>
  <c r="DI93" i="28"/>
  <c r="DI86" i="28" s="1"/>
  <c r="DI79" i="28" s="1"/>
  <c r="DI15" i="26"/>
  <c r="DI94" i="28" s="1"/>
  <c r="DI87" i="28" s="1"/>
  <c r="DI80" i="28" s="1"/>
  <c r="DI17" i="26"/>
  <c r="DI116" i="28" s="1"/>
  <c r="DI109" i="28" s="1"/>
  <c r="DI102" i="28" s="1"/>
  <c r="DI115" i="28"/>
  <c r="DI108" i="28" s="1"/>
  <c r="DI101" i="28" s="1"/>
  <c r="DH51" i="27"/>
  <c r="DH55" i="27" s="1"/>
  <c r="DE51" i="27"/>
  <c r="DE55" i="27" s="1"/>
  <c r="CL51" i="27"/>
  <c r="CL55" i="27" s="1"/>
  <c r="CH50" i="27"/>
  <c r="CH54" i="27" s="1"/>
  <c r="CJ50" i="27"/>
  <c r="CJ54" i="27" s="1"/>
  <c r="CI50" i="27"/>
  <c r="CI54" i="27" s="1"/>
  <c r="CL50" i="27"/>
  <c r="CL54" i="27" s="1"/>
  <c r="AU91" i="24"/>
  <c r="T91" i="24"/>
  <c r="CY51" i="27"/>
  <c r="CY55" i="27" s="1"/>
  <c r="CZ50" i="27"/>
  <c r="CZ54" i="27" s="1"/>
  <c r="DD50" i="27"/>
  <c r="DD54" i="27" s="1"/>
  <c r="DC51" i="27"/>
  <c r="DC55" i="27" s="1"/>
  <c r="BQ42" i="24"/>
  <c r="T42" i="24"/>
  <c r="BZ38" i="24"/>
  <c r="BY74" i="27"/>
  <c r="BY78" i="27" s="1"/>
  <c r="F42" i="24"/>
  <c r="S74" i="27"/>
  <c r="S78" i="27" s="1"/>
  <c r="BZ91" i="24"/>
  <c r="DT74" i="27"/>
  <c r="DT78" i="27" s="1"/>
  <c r="BV73" i="27"/>
  <c r="BV77" i="27" s="1"/>
  <c r="T86" i="24"/>
  <c r="BN74" i="27"/>
  <c r="BN78" i="27" s="1"/>
  <c r="BM73" i="27"/>
  <c r="BM77" i="27" s="1"/>
  <c r="F86" i="24"/>
  <c r="AU61" i="24"/>
  <c r="AU64" i="24" s="1"/>
  <c r="BZ61" i="24"/>
  <c r="T61" i="24"/>
  <c r="T64" i="24" s="1"/>
  <c r="BQ61" i="24"/>
  <c r="F61" i="24"/>
  <c r="F64" i="24" s="1"/>
  <c r="BW74" i="27"/>
  <c r="BW78" i="27" s="1"/>
  <c r="AW73" i="27"/>
  <c r="AW77" i="27" s="1"/>
  <c r="BH50" i="27"/>
  <c r="BH54" i="27" s="1"/>
  <c r="EC74" i="27"/>
  <c r="EC78" i="27" s="1"/>
  <c r="AX74" i="27"/>
  <c r="AX78" i="27" s="1"/>
  <c r="AN73" i="27"/>
  <c r="AN77" i="27" s="1"/>
  <c r="CS74" i="27"/>
  <c r="CS78" i="27" s="1"/>
  <c r="AO74" i="27"/>
  <c r="AO78" i="27" s="1"/>
  <c r="R73" i="27"/>
  <c r="R77" i="27" s="1"/>
  <c r="EC73" i="27"/>
  <c r="EC77" i="27" s="1"/>
  <c r="AJ74" i="27"/>
  <c r="AJ78" i="27" s="1"/>
  <c r="AU44" i="24"/>
  <c r="F44" i="24"/>
  <c r="BQ44" i="24"/>
  <c r="BX50" i="27"/>
  <c r="BX54" i="27" s="1"/>
  <c r="AR50" i="27"/>
  <c r="AR54" i="27" s="1"/>
  <c r="T50" i="27"/>
  <c r="T54" i="27" s="1"/>
  <c r="AU39" i="24"/>
  <c r="AU43" i="24"/>
  <c r="BQ38" i="24"/>
  <c r="T43" i="24"/>
  <c r="BQ40" i="24"/>
  <c r="AU38" i="24"/>
  <c r="AU40" i="24"/>
  <c r="T38" i="24"/>
  <c r="DX50" i="27"/>
  <c r="DX54" i="27" s="1"/>
  <c r="BZ42" i="24"/>
  <c r="F40" i="24"/>
  <c r="CG51" i="27"/>
  <c r="CG55" i="27" s="1"/>
  <c r="BQ51" i="27"/>
  <c r="BQ55" i="27" s="1"/>
  <c r="AK51" i="27"/>
  <c r="AK55" i="27" s="1"/>
  <c r="DW50" i="27"/>
  <c r="DW54" i="27" s="1"/>
  <c r="CS50" i="27"/>
  <c r="CS54" i="27" s="1"/>
  <c r="AQ50" i="27"/>
  <c r="AQ54" i="27" s="1"/>
  <c r="BZ87" i="24"/>
  <c r="CF51" i="27"/>
  <c r="CF55" i="27" s="1"/>
  <c r="AZ51" i="27"/>
  <c r="AZ55" i="27" s="1"/>
  <c r="L51" i="27"/>
  <c r="L55" i="27" s="1"/>
  <c r="CR50" i="27"/>
  <c r="CR54" i="27" s="1"/>
  <c r="BF50" i="27"/>
  <c r="BF54" i="27" s="1"/>
  <c r="CW51" i="27"/>
  <c r="CW55" i="27" s="1"/>
  <c r="CA51" i="27"/>
  <c r="CA55" i="27" s="1"/>
  <c r="W51" i="27"/>
  <c r="W55" i="27" s="1"/>
  <c r="F51" i="27"/>
  <c r="F55" i="27" s="1"/>
  <c r="AK50" i="27"/>
  <c r="AK54" i="27" s="1"/>
  <c r="M50" i="27"/>
  <c r="M54" i="27" s="1"/>
  <c r="T90" i="24"/>
  <c r="AU87" i="24"/>
  <c r="DN51" i="27"/>
  <c r="DN55" i="27" s="1"/>
  <c r="AJ51" i="27"/>
  <c r="AJ55" i="27" s="1"/>
  <c r="DU50" i="27"/>
  <c r="DU54" i="27" s="1"/>
  <c r="DZ51" i="27"/>
  <c r="DZ55" i="27" s="1"/>
  <c r="CV51" i="27"/>
  <c r="CV55" i="27" s="1"/>
  <c r="BZ51" i="27"/>
  <c r="BZ55" i="27" s="1"/>
  <c r="BJ51" i="27"/>
  <c r="BJ55" i="27" s="1"/>
  <c r="AZ50" i="27"/>
  <c r="AZ54" i="27" s="1"/>
  <c r="F90" i="24"/>
  <c r="T87" i="24"/>
  <c r="BP51" i="27"/>
  <c r="BP55" i="27" s="1"/>
  <c r="AP50" i="27"/>
  <c r="AP54" i="27" s="1"/>
  <c r="DY51" i="27"/>
  <c r="DY55" i="27" s="1"/>
  <c r="AS51" i="27"/>
  <c r="AS55" i="27" s="1"/>
  <c r="DM50" i="27"/>
  <c r="DM54" i="27" s="1"/>
  <c r="CE50" i="27"/>
  <c r="CE54" i="27" s="1"/>
  <c r="AY50" i="27"/>
  <c r="AY54" i="27" s="1"/>
  <c r="F87" i="24"/>
  <c r="T39" i="24"/>
  <c r="CD74" i="27"/>
  <c r="CD78" i="27" s="1"/>
  <c r="J74" i="27"/>
  <c r="J78" i="27" s="1"/>
  <c r="CC73" i="27"/>
  <c r="CC77" i="27" s="1"/>
  <c r="BD73" i="27"/>
  <c r="BD77" i="27" s="1"/>
  <c r="BH51" i="27"/>
  <c r="BH55" i="27" s="1"/>
  <c r="BN50" i="27"/>
  <c r="BN54" i="27" s="1"/>
  <c r="AH50" i="27"/>
  <c r="AH54" i="27" s="1"/>
  <c r="F43" i="24"/>
  <c r="F39" i="24"/>
  <c r="DU74" i="27"/>
  <c r="DU78" i="27" s="1"/>
  <c r="AP74" i="27"/>
  <c r="AP78" i="27" s="1"/>
  <c r="DT73" i="27"/>
  <c r="DT77" i="27" s="1"/>
  <c r="G73" i="27"/>
  <c r="G77" i="27" s="1"/>
  <c r="DQ51" i="27"/>
  <c r="DQ55" i="27" s="1"/>
  <c r="CO51" i="27"/>
  <c r="CO55" i="27" s="1"/>
  <c r="BS51" i="27"/>
  <c r="BS55" i="27" s="1"/>
  <c r="BC51" i="27"/>
  <c r="BC55" i="27" s="1"/>
  <c r="AM51" i="27"/>
  <c r="AM55" i="27" s="1"/>
  <c r="DY50" i="27"/>
  <c r="DY54" i="27" s="1"/>
  <c r="CU50" i="27"/>
  <c r="CU54" i="27" s="1"/>
  <c r="BY50" i="27"/>
  <c r="BY54" i="27" s="1"/>
  <c r="BI50" i="27"/>
  <c r="BI54" i="27" s="1"/>
  <c r="AS50" i="27"/>
  <c r="AS54" i="27" s="1"/>
  <c r="U50" i="27"/>
  <c r="U54" i="27" s="1"/>
  <c r="BQ91" i="24"/>
  <c r="BZ44" i="24"/>
  <c r="BZ40" i="24"/>
  <c r="D77" i="27"/>
  <c r="E50" i="27"/>
  <c r="E54" i="27" s="1"/>
  <c r="N50" i="27"/>
  <c r="N54" i="27" s="1"/>
  <c r="AL50" i="27"/>
  <c r="AL54" i="27" s="1"/>
  <c r="AT50" i="27"/>
  <c r="AT54" i="27" s="1"/>
  <c r="BJ50" i="27"/>
  <c r="BJ54" i="27" s="1"/>
  <c r="BZ50" i="27"/>
  <c r="BZ54" i="27" s="1"/>
  <c r="CN50" i="27"/>
  <c r="CN54" i="27" s="1"/>
  <c r="DZ50" i="27"/>
  <c r="DZ54" i="27" s="1"/>
  <c r="P51" i="27"/>
  <c r="P55" i="27" s="1"/>
  <c r="AN51" i="27"/>
  <c r="AN55" i="27" s="1"/>
  <c r="BD51" i="27"/>
  <c r="BD55" i="27" s="1"/>
  <c r="CB51" i="27"/>
  <c r="CB55" i="27" s="1"/>
  <c r="CP51" i="27"/>
  <c r="CP55" i="27" s="1"/>
  <c r="EB51" i="27"/>
  <c r="EB55" i="27" s="1"/>
  <c r="F50" i="27"/>
  <c r="F54" i="27" s="1"/>
  <c r="O50" i="27"/>
  <c r="O54" i="27" s="1"/>
  <c r="BK50" i="27"/>
  <c r="BK54" i="27" s="1"/>
  <c r="CO50" i="27"/>
  <c r="CO54" i="27" s="1"/>
  <c r="H51" i="27"/>
  <c r="H55" i="27" s="1"/>
  <c r="Q51" i="27"/>
  <c r="Q55" i="27" s="1"/>
  <c r="AG51" i="27"/>
  <c r="AG55" i="27" s="1"/>
  <c r="AO51" i="27"/>
  <c r="AO55" i="27" s="1"/>
  <c r="AW51" i="27"/>
  <c r="AW55" i="27" s="1"/>
  <c r="BE51" i="27"/>
  <c r="BE55" i="27" s="1"/>
  <c r="CC51" i="27"/>
  <c r="CC55" i="27" s="1"/>
  <c r="DK51" i="27"/>
  <c r="DK55" i="27" s="1"/>
  <c r="DT51" i="27"/>
  <c r="DT55" i="27" s="1"/>
  <c r="P50" i="27"/>
  <c r="P54" i="27" s="1"/>
  <c r="AV50" i="27"/>
  <c r="AV54" i="27" s="1"/>
  <c r="BD50" i="27"/>
  <c r="BD54" i="27" s="1"/>
  <c r="BL50" i="27"/>
  <c r="BL54" i="27" s="1"/>
  <c r="CB50" i="27"/>
  <c r="CB54" i="27" s="1"/>
  <c r="DR50" i="27"/>
  <c r="DR54" i="27" s="1"/>
  <c r="J51" i="27"/>
  <c r="J55" i="27" s="1"/>
  <c r="AH51" i="27"/>
  <c r="AH55" i="27" s="1"/>
  <c r="AX51" i="27"/>
  <c r="AX55" i="27" s="1"/>
  <c r="BF51" i="27"/>
  <c r="BF55" i="27" s="1"/>
  <c r="CD51" i="27"/>
  <c r="CD55" i="27" s="1"/>
  <c r="CR51" i="27"/>
  <c r="CR55" i="27" s="1"/>
  <c r="DU51" i="27"/>
  <c r="DU55" i="27" s="1"/>
  <c r="Q50" i="27"/>
  <c r="Q54" i="27" s="1"/>
  <c r="AG50" i="27"/>
  <c r="AG54" i="27" s="1"/>
  <c r="AO50" i="27"/>
  <c r="AO54" i="27" s="1"/>
  <c r="CC50" i="27"/>
  <c r="CC54" i="27" s="1"/>
  <c r="CQ50" i="27"/>
  <c r="CQ54" i="27" s="1"/>
  <c r="DK50" i="27"/>
  <c r="DK54" i="27" s="1"/>
  <c r="EC50" i="27"/>
  <c r="EC54" i="27" s="1"/>
  <c r="K51" i="27"/>
  <c r="K55" i="27" s="1"/>
  <c r="S51" i="27"/>
  <c r="S55" i="27" s="1"/>
  <c r="AQ51" i="27"/>
  <c r="AQ55" i="27" s="1"/>
  <c r="AY51" i="27"/>
  <c r="AY55" i="27" s="1"/>
  <c r="BG51" i="27"/>
  <c r="BG55" i="27" s="1"/>
  <c r="BO51" i="27"/>
  <c r="BO55" i="27" s="1"/>
  <c r="BW51" i="27"/>
  <c r="BW55" i="27" s="1"/>
  <c r="CE51" i="27"/>
  <c r="CE55" i="27" s="1"/>
  <c r="F93" i="24"/>
  <c r="T93" i="24"/>
  <c r="AU93" i="24"/>
  <c r="BQ93" i="24"/>
  <c r="BZ93" i="24"/>
  <c r="AU109" i="24"/>
  <c r="BQ109" i="24"/>
  <c r="BZ109" i="24"/>
  <c r="F92" i="24"/>
  <c r="T92" i="24"/>
  <c r="AU92" i="24"/>
  <c r="BZ92" i="24"/>
  <c r="BQ92" i="24"/>
  <c r="F45" i="24"/>
  <c r="T45" i="24"/>
  <c r="AU45" i="24"/>
  <c r="BQ45" i="24"/>
  <c r="F41" i="24"/>
  <c r="T41" i="24"/>
  <c r="AU41" i="24"/>
  <c r="BQ41" i="24"/>
  <c r="F89" i="24"/>
  <c r="T89" i="24"/>
  <c r="AU89" i="24"/>
  <c r="BQ89" i="24"/>
  <c r="BZ89" i="24"/>
  <c r="F88" i="24"/>
  <c r="T88" i="24"/>
  <c r="AU88" i="24"/>
  <c r="T109" i="24"/>
  <c r="BZ88" i="24"/>
  <c r="EJ51" i="24"/>
  <c r="BZ90" i="24"/>
  <c r="BZ86" i="24"/>
  <c r="BQ90" i="24"/>
  <c r="BQ86" i="24"/>
  <c r="BZ43" i="24"/>
  <c r="BZ39" i="24"/>
  <c r="Y56" i="27" l="1"/>
  <c r="Y88" i="28" s="1"/>
  <c r="Y81" i="28" s="1"/>
  <c r="DV103" i="28"/>
  <c r="X56" i="27"/>
  <c r="X88" i="28" s="1"/>
  <c r="X81" i="28" s="1"/>
  <c r="DV56" i="27"/>
  <c r="DV88" i="28" s="1"/>
  <c r="DV81" i="28" s="1"/>
  <c r="F45" i="74" s="1"/>
  <c r="Y79" i="27"/>
  <c r="Y110" i="28" s="1"/>
  <c r="Y103" i="28" s="1"/>
  <c r="X79" i="27"/>
  <c r="X110" i="28" s="1"/>
  <c r="X103" i="28" s="1"/>
  <c r="DS79" i="27"/>
  <c r="DS110" i="28" s="1"/>
  <c r="DS103" i="28" s="1"/>
  <c r="F46" i="55" s="1"/>
  <c r="Z79" i="27"/>
  <c r="Z110" i="28" s="1"/>
  <c r="Z103" i="28" s="1"/>
  <c r="DM56" i="27"/>
  <c r="X115" i="24"/>
  <c r="X118" i="24" s="1"/>
  <c r="DX56" i="27"/>
  <c r="DX88" i="28" s="1"/>
  <c r="DX81" i="28" s="1"/>
  <c r="DS56" i="27"/>
  <c r="DS88" i="28" s="1"/>
  <c r="DS81" i="28" s="1"/>
  <c r="F46" i="74" s="1"/>
  <c r="Z56" i="27"/>
  <c r="Z88" i="28" s="1"/>
  <c r="Z81" i="28" s="1"/>
  <c r="I56" i="27"/>
  <c r="AD56" i="27"/>
  <c r="AD88" i="28" s="1"/>
  <c r="AD81" i="28" s="1"/>
  <c r="AB64" i="24"/>
  <c r="X73" i="24"/>
  <c r="X76" i="24" s="1"/>
  <c r="X64" i="24"/>
  <c r="AB51" i="24"/>
  <c r="AB67" i="24" s="1"/>
  <c r="X51" i="24"/>
  <c r="X67" i="24" s="1"/>
  <c r="X121" i="24"/>
  <c r="X124" i="24" s="1"/>
  <c r="X112" i="24"/>
  <c r="AC79" i="27"/>
  <c r="AC110" i="28" s="1"/>
  <c r="AC103" i="28" s="1"/>
  <c r="F121" i="24"/>
  <c r="F124" i="24" s="1"/>
  <c r="AB115" i="24"/>
  <c r="AB118" i="24" s="1"/>
  <c r="AC56" i="27"/>
  <c r="AC88" i="28" s="1"/>
  <c r="AC81" i="28" s="1"/>
  <c r="AD79" i="27"/>
  <c r="AD110" i="28" s="1"/>
  <c r="AD103" i="28" s="1"/>
  <c r="AB79" i="27"/>
  <c r="AB110" i="28" s="1"/>
  <c r="AB103" i="28" s="1"/>
  <c r="AB112" i="24"/>
  <c r="AB121" i="24"/>
  <c r="AB124" i="24" s="1"/>
  <c r="AB56" i="27"/>
  <c r="AB88" i="28" s="1"/>
  <c r="AB81" i="28" s="1"/>
  <c r="I79" i="27"/>
  <c r="AA79" i="27"/>
  <c r="AA110" i="28" s="1"/>
  <c r="AA103" i="28" s="1"/>
  <c r="AA56" i="27"/>
  <c r="AA88" i="28" s="1"/>
  <c r="AA81" i="28" s="1"/>
  <c r="AE56" i="27"/>
  <c r="AE79" i="27"/>
  <c r="N56" i="27"/>
  <c r="N88" i="28" s="1"/>
  <c r="BR56" i="27"/>
  <c r="BR88" i="28" s="1"/>
  <c r="BR81" i="28" s="1"/>
  <c r="CK56" i="27"/>
  <c r="CK88" i="28" s="1"/>
  <c r="CK81" i="28" s="1"/>
  <c r="T47" i="36" s="1"/>
  <c r="S56" i="27"/>
  <c r="U88" i="28" s="1"/>
  <c r="U81" i="28" s="1"/>
  <c r="DE56" i="27"/>
  <c r="DE88" i="28" s="1"/>
  <c r="DE81" i="28" s="1"/>
  <c r="DF56" i="27"/>
  <c r="DF88" i="28" s="1"/>
  <c r="DF81" i="28" s="1"/>
  <c r="AK56" i="27"/>
  <c r="AK88" i="28" s="1"/>
  <c r="AK81" i="28" s="1"/>
  <c r="CD56" i="27"/>
  <c r="CD88" i="28" s="1"/>
  <c r="CD81" i="28" s="1"/>
  <c r="F53" i="51" s="1"/>
  <c r="CE56" i="27"/>
  <c r="CE88" i="28" s="1"/>
  <c r="CE81" i="28" s="1"/>
  <c r="F51" i="51" s="1"/>
  <c r="BG56" i="27"/>
  <c r="BG88" i="28" s="1"/>
  <c r="BG81" i="28" s="1"/>
  <c r="F46" i="52" s="1"/>
  <c r="CF56" i="27"/>
  <c r="CF88" i="28" s="1"/>
  <c r="CF81" i="28" s="1"/>
  <c r="F54" i="51" s="1"/>
  <c r="CL56" i="27"/>
  <c r="CL88" i="28" s="1"/>
  <c r="V47" i="39" s="1"/>
  <c r="AR56" i="27"/>
  <c r="AR88" i="28" s="1"/>
  <c r="AR81" i="28" s="1"/>
  <c r="J56" i="27"/>
  <c r="G88" i="28" s="1"/>
  <c r="G81" i="28" s="1"/>
  <c r="E62" i="42" s="1"/>
  <c r="ED56" i="27"/>
  <c r="ED88" i="28" s="1"/>
  <c r="ED81" i="28" s="1"/>
  <c r="AH47" i="36" s="1"/>
  <c r="AS56" i="27"/>
  <c r="AS88" i="28" s="1"/>
  <c r="AS81" i="28" s="1"/>
  <c r="AM56" i="27"/>
  <c r="AM88" i="28" s="1"/>
  <c r="AM81" i="28" s="1"/>
  <c r="DJ26" i="23"/>
  <c r="DJ78" i="23" s="1"/>
  <c r="DJ104" i="23" s="1"/>
  <c r="DJ24" i="23"/>
  <c r="DJ76" i="23" s="1"/>
  <c r="DJ102" i="23" s="1"/>
  <c r="DJ20" i="23"/>
  <c r="DJ72" i="23" s="1"/>
  <c r="DJ25" i="23"/>
  <c r="DJ77" i="23" s="1"/>
  <c r="DJ103" i="23" s="1"/>
  <c r="DJ22" i="23"/>
  <c r="DJ74" i="23" s="1"/>
  <c r="DJ100" i="23" s="1"/>
  <c r="DJ27" i="23"/>
  <c r="DJ79" i="23" s="1"/>
  <c r="DJ105" i="23" s="1"/>
  <c r="DJ21" i="23"/>
  <c r="DJ73" i="23" s="1"/>
  <c r="DJ99" i="23" s="1"/>
  <c r="DJ28" i="23"/>
  <c r="DJ80" i="23" s="1"/>
  <c r="DJ23" i="23"/>
  <c r="DJ75" i="23" s="1"/>
  <c r="DJ101" i="23" s="1"/>
  <c r="DJ29" i="23"/>
  <c r="DJ81" i="23" s="1"/>
  <c r="DJ107" i="23" s="1"/>
  <c r="DF21" i="23"/>
  <c r="DF73" i="23" s="1"/>
  <c r="DF99" i="23" s="1"/>
  <c r="DF20" i="23"/>
  <c r="DF72" i="23" s="1"/>
  <c r="DF27" i="23"/>
  <c r="DF79" i="23" s="1"/>
  <c r="DF105" i="23" s="1"/>
  <c r="DF29" i="23"/>
  <c r="DF81" i="23" s="1"/>
  <c r="DF107" i="23" s="1"/>
  <c r="DF26" i="23"/>
  <c r="DF78" i="23" s="1"/>
  <c r="DF104" i="23" s="1"/>
  <c r="DF25" i="23"/>
  <c r="DF77" i="23" s="1"/>
  <c r="DF103" i="23" s="1"/>
  <c r="DF22" i="23"/>
  <c r="DF74" i="23" s="1"/>
  <c r="DF100" i="23" s="1"/>
  <c r="DF23" i="23"/>
  <c r="DF75" i="23" s="1"/>
  <c r="DF101" i="23" s="1"/>
  <c r="DF28" i="23"/>
  <c r="DF80" i="23" s="1"/>
  <c r="DF24" i="23"/>
  <c r="DF76" i="23" s="1"/>
  <c r="DF102" i="23" s="1"/>
  <c r="DH24" i="23"/>
  <c r="DH76" i="23" s="1"/>
  <c r="DH102" i="23" s="1"/>
  <c r="DH21" i="23"/>
  <c r="DH73" i="23" s="1"/>
  <c r="DH99" i="23" s="1"/>
  <c r="DH23" i="23"/>
  <c r="DH75" i="23" s="1"/>
  <c r="DH101" i="23" s="1"/>
  <c r="DH27" i="23"/>
  <c r="DH79" i="23" s="1"/>
  <c r="DH105" i="23" s="1"/>
  <c r="DH22" i="23"/>
  <c r="DH74" i="23" s="1"/>
  <c r="DH100" i="23" s="1"/>
  <c r="DH29" i="23"/>
  <c r="DH81" i="23" s="1"/>
  <c r="DH107" i="23" s="1"/>
  <c r="DH20" i="23"/>
  <c r="DH72" i="23" s="1"/>
  <c r="DH28" i="23"/>
  <c r="DH80" i="23" s="1"/>
  <c r="DH25" i="23"/>
  <c r="DH77" i="23" s="1"/>
  <c r="DH103" i="23" s="1"/>
  <c r="DH26" i="23"/>
  <c r="DH78" i="23" s="1"/>
  <c r="DH104" i="23" s="1"/>
  <c r="DI24" i="23"/>
  <c r="DI76" i="23" s="1"/>
  <c r="DI102" i="23" s="1"/>
  <c r="DI20" i="23"/>
  <c r="DI72" i="23" s="1"/>
  <c r="DI28" i="23"/>
  <c r="DI80" i="23" s="1"/>
  <c r="DI25" i="23"/>
  <c r="DI77" i="23" s="1"/>
  <c r="DI103" i="23" s="1"/>
  <c r="DI21" i="23"/>
  <c r="DI73" i="23" s="1"/>
  <c r="DI99" i="23" s="1"/>
  <c r="DI26" i="23"/>
  <c r="DI78" i="23" s="1"/>
  <c r="DI104" i="23" s="1"/>
  <c r="DI22" i="23"/>
  <c r="DI74" i="23" s="1"/>
  <c r="DI100" i="23" s="1"/>
  <c r="DI29" i="23"/>
  <c r="DI81" i="23" s="1"/>
  <c r="DI107" i="23" s="1"/>
  <c r="DI27" i="23"/>
  <c r="DI79" i="23" s="1"/>
  <c r="DI105" i="23" s="1"/>
  <c r="DI23" i="23"/>
  <c r="DI75" i="23" s="1"/>
  <c r="DI101" i="23" s="1"/>
  <c r="BK56" i="27"/>
  <c r="BK88" i="28" s="1"/>
  <c r="BK81" i="28" s="1"/>
  <c r="Y47" i="36" s="1"/>
  <c r="CT56" i="27"/>
  <c r="CT88" i="28" s="1"/>
  <c r="CI56" i="27"/>
  <c r="CI88" i="28" s="1"/>
  <c r="DI56" i="27"/>
  <c r="DI88" i="28" s="1"/>
  <c r="DI81" i="28" s="1"/>
  <c r="DJ56" i="27"/>
  <c r="DJ88" i="28" s="1"/>
  <c r="DJ81" i="28" s="1"/>
  <c r="DJ73" i="27"/>
  <c r="DJ77" i="27" s="1"/>
  <c r="DH74" i="27"/>
  <c r="DH78" i="27" s="1"/>
  <c r="AY73" i="27"/>
  <c r="AY77" i="27" s="1"/>
  <c r="DF74" i="27"/>
  <c r="DF78" i="27" s="1"/>
  <c r="DH73" i="27"/>
  <c r="DH77" i="27" s="1"/>
  <c r="DU56" i="27"/>
  <c r="DU88" i="28" s="1"/>
  <c r="DU81" i="28" s="1"/>
  <c r="AE47" i="36" s="1"/>
  <c r="DZ56" i="27"/>
  <c r="DZ88" i="28" s="1"/>
  <c r="DZ81" i="28" s="1"/>
  <c r="DH56" i="27"/>
  <c r="DH88" i="28" s="1"/>
  <c r="DH81" i="28" s="1"/>
  <c r="DE74" i="27"/>
  <c r="DE78" i="27" s="1"/>
  <c r="DJ74" i="27"/>
  <c r="DJ78" i="27" s="1"/>
  <c r="DO56" i="27"/>
  <c r="DO88" i="28" s="1"/>
  <c r="DO81" i="28" s="1"/>
  <c r="F54" i="74" s="1"/>
  <c r="DI74" i="27"/>
  <c r="DI78" i="27" s="1"/>
  <c r="DL56" i="27"/>
  <c r="DL88" i="28" s="1"/>
  <c r="DL81" i="28" s="1"/>
  <c r="F50" i="74" s="1"/>
  <c r="AL56" i="27"/>
  <c r="AL88" i="28" s="1"/>
  <c r="AL81" i="28" s="1"/>
  <c r="DF73" i="27"/>
  <c r="DF77" i="27" s="1"/>
  <c r="DI73" i="27"/>
  <c r="DI77" i="27" s="1"/>
  <c r="BW56" i="27"/>
  <c r="BW88" i="28" s="1"/>
  <c r="BW81" i="28" s="1"/>
  <c r="CR56" i="27"/>
  <c r="CR88" i="28" s="1"/>
  <c r="CR81" i="28" s="1"/>
  <c r="F52" i="47" s="1"/>
  <c r="CA56" i="27"/>
  <c r="CA88" i="28" s="1"/>
  <c r="CA81" i="28" s="1"/>
  <c r="F46" i="51" s="1"/>
  <c r="DE73" i="27"/>
  <c r="DE77" i="27" s="1"/>
  <c r="CH73" i="27"/>
  <c r="CH77" i="27" s="1"/>
  <c r="DW56" i="27"/>
  <c r="DW88" i="28" s="1"/>
  <c r="CL73" i="27"/>
  <c r="CL77" i="27" s="1"/>
  <c r="CJ73" i="27"/>
  <c r="CJ77" i="27" s="1"/>
  <c r="CK73" i="27"/>
  <c r="CK77" i="27" s="1"/>
  <c r="CM73" i="27"/>
  <c r="CM77" i="27" s="1"/>
  <c r="DB56" i="27"/>
  <c r="DB88" i="28" s="1"/>
  <c r="DB81" i="28" s="1"/>
  <c r="CJ56" i="27"/>
  <c r="CJ88" i="28" s="1"/>
  <c r="CL74" i="27"/>
  <c r="CL78" i="27" s="1"/>
  <c r="CJ74" i="27"/>
  <c r="CJ78" i="27" s="1"/>
  <c r="CI74" i="27"/>
  <c r="CI78" i="27" s="1"/>
  <c r="AJ56" i="27"/>
  <c r="AJ88" i="28" s="1"/>
  <c r="AJ81" i="28" s="1"/>
  <c r="CM74" i="27"/>
  <c r="CM78" i="27" s="1"/>
  <c r="BO56" i="27"/>
  <c r="BO88" i="28" s="1"/>
  <c r="BO81" i="28" s="1"/>
  <c r="AZ56" i="27"/>
  <c r="AZ88" i="28" s="1"/>
  <c r="AZ81" i="28" s="1"/>
  <c r="F51" i="47" s="1"/>
  <c r="CH56" i="27"/>
  <c r="CH88" i="28" s="1"/>
  <c r="CH81" i="28" s="1"/>
  <c r="CI73" i="27"/>
  <c r="CI77" i="27" s="1"/>
  <c r="CH74" i="27"/>
  <c r="CH78" i="27" s="1"/>
  <c r="E56" i="27"/>
  <c r="CM56" i="27"/>
  <c r="CM88" i="28" s="1"/>
  <c r="CK74" i="27"/>
  <c r="CK78" i="27" s="1"/>
  <c r="DA56" i="27"/>
  <c r="DA88" i="28" s="1"/>
  <c r="DA81" i="28" s="1"/>
  <c r="BX56" i="27"/>
  <c r="BX88" i="28" s="1"/>
  <c r="BX81" i="28" s="1"/>
  <c r="CY56" i="27"/>
  <c r="CY88" i="28" s="1"/>
  <c r="DD56" i="27"/>
  <c r="DD88" i="28" s="1"/>
  <c r="DD81" i="28" s="1"/>
  <c r="DC56" i="27"/>
  <c r="DC88" i="28" s="1"/>
  <c r="DC81" i="28" s="1"/>
  <c r="CZ56" i="27"/>
  <c r="CZ88" i="28" s="1"/>
  <c r="CZ81" i="28" s="1"/>
  <c r="DD73" i="27"/>
  <c r="DD77" i="27" s="1"/>
  <c r="CY74" i="27"/>
  <c r="CY78" i="27" s="1"/>
  <c r="DA73" i="27"/>
  <c r="DA77" i="27" s="1"/>
  <c r="DB74" i="27"/>
  <c r="DB78" i="27" s="1"/>
  <c r="DD74" i="27"/>
  <c r="DD78" i="27" s="1"/>
  <c r="DC73" i="27"/>
  <c r="DC77" i="27" s="1"/>
  <c r="CZ73" i="27"/>
  <c r="CZ77" i="27" s="1"/>
  <c r="CZ74" i="27"/>
  <c r="CZ78" i="27" s="1"/>
  <c r="DC74" i="27"/>
  <c r="DC78" i="27" s="1"/>
  <c r="CY73" i="27"/>
  <c r="CY77" i="27" s="1"/>
  <c r="DA74" i="27"/>
  <c r="DA78" i="27" s="1"/>
  <c r="DB73" i="27"/>
  <c r="DB77" i="27" s="1"/>
  <c r="DM88" i="28"/>
  <c r="DM81" i="28" s="1"/>
  <c r="F52" i="74" s="1"/>
  <c r="CT81" i="28"/>
  <c r="F55" i="51" s="1"/>
  <c r="L73" i="27"/>
  <c r="L77" i="27" s="1"/>
  <c r="BQ56" i="27"/>
  <c r="BQ88" i="28" s="1"/>
  <c r="BQ81" i="28" s="1"/>
  <c r="CN56" i="27"/>
  <c r="CN88" i="28" s="1"/>
  <c r="CG56" i="27"/>
  <c r="CG88" i="28" s="1"/>
  <c r="CG81" i="28" s="1"/>
  <c r="AB47" i="36" s="1"/>
  <c r="AY56" i="27"/>
  <c r="AY88" i="28" s="1"/>
  <c r="BN56" i="27"/>
  <c r="BN88" i="28" s="1"/>
  <c r="BN81" i="28" s="1"/>
  <c r="AU56" i="27"/>
  <c r="AU88" i="28" s="1"/>
  <c r="BH56" i="27"/>
  <c r="BH88" i="28" s="1"/>
  <c r="EC79" i="27"/>
  <c r="EC110" i="28" s="1"/>
  <c r="F73" i="24"/>
  <c r="F76" i="24" s="1"/>
  <c r="H56" i="27"/>
  <c r="F88" i="28" s="1"/>
  <c r="BB56" i="27"/>
  <c r="BB88" i="28" s="1"/>
  <c r="BB81" i="28" s="1"/>
  <c r="R47" i="36" s="1"/>
  <c r="BP56" i="27"/>
  <c r="BP88" i="28" s="1"/>
  <c r="BP81" i="28" s="1"/>
  <c r="F115" i="24"/>
  <c r="CS56" i="27"/>
  <c r="CS88" i="28" s="1"/>
  <c r="AP56" i="27"/>
  <c r="AP88" i="28" s="1"/>
  <c r="AP81" i="28" s="1"/>
  <c r="W56" i="27"/>
  <c r="CC56" i="27"/>
  <c r="CC88" i="28" s="1"/>
  <c r="CC81" i="28" s="1"/>
  <c r="AA47" i="36" s="1"/>
  <c r="AU115" i="24"/>
  <c r="AU118" i="24" s="1"/>
  <c r="F56" i="27"/>
  <c r="CV56" i="27"/>
  <c r="CV88" i="28" s="1"/>
  <c r="CV81" i="28" s="1"/>
  <c r="AO79" i="27"/>
  <c r="AO110" i="28" s="1"/>
  <c r="AO103" i="28" s="1"/>
  <c r="T56" i="27"/>
  <c r="V88" i="28" s="1"/>
  <c r="V81" i="28" s="1"/>
  <c r="D56" i="27"/>
  <c r="F73" i="27"/>
  <c r="F77" i="27" s="1"/>
  <c r="BI74" i="27"/>
  <c r="BI78" i="27" s="1"/>
  <c r="DM73" i="27"/>
  <c r="DM77" i="27" s="1"/>
  <c r="BY56" i="27"/>
  <c r="BY88" i="28" s="1"/>
  <c r="BY81" i="28" s="1"/>
  <c r="CQ74" i="27"/>
  <c r="CQ78" i="27" s="1"/>
  <c r="Q74" i="27"/>
  <c r="Q78" i="27" s="1"/>
  <c r="BF56" i="27"/>
  <c r="BF88" i="28" s="1"/>
  <c r="EA56" i="27"/>
  <c r="EA88" i="28" s="1"/>
  <c r="EA81" i="28" s="1"/>
  <c r="CW56" i="27"/>
  <c r="CW88" i="28" s="1"/>
  <c r="AT56" i="27"/>
  <c r="AT88" i="28" s="1"/>
  <c r="AT81" i="28" s="1"/>
  <c r="CO56" i="27"/>
  <c r="CO88" i="28" s="1"/>
  <c r="DP56" i="27"/>
  <c r="R56" i="27"/>
  <c r="V56" i="27"/>
  <c r="L56" i="27"/>
  <c r="L88" i="28" s="1"/>
  <c r="K56" i="27"/>
  <c r="I88" i="28" s="1"/>
  <c r="I81" i="28" s="1"/>
  <c r="BE56" i="27"/>
  <c r="BE88" i="28" s="1"/>
  <c r="AH56" i="27"/>
  <c r="AH88" i="28" s="1"/>
  <c r="AH81" i="28" s="1"/>
  <c r="BT56" i="27"/>
  <c r="BT88" i="28" s="1"/>
  <c r="BT81" i="28" s="1"/>
  <c r="Z47" i="36" s="1"/>
  <c r="O56" i="27"/>
  <c r="R88" i="28" s="1"/>
  <c r="BZ56" i="27"/>
  <c r="BZ88" i="28" s="1"/>
  <c r="DY56" i="27"/>
  <c r="DY88" i="28" s="1"/>
  <c r="DY81" i="28" s="1"/>
  <c r="BS56" i="27"/>
  <c r="BS88" i="28" s="1"/>
  <c r="BS81" i="28" s="1"/>
  <c r="CX56" i="27"/>
  <c r="CX88" i="28" s="1"/>
  <c r="AF56" i="27"/>
  <c r="BJ56" i="27"/>
  <c r="BJ88" i="28" s="1"/>
  <c r="BJ81" i="28" s="1"/>
  <c r="X47" i="36" s="1"/>
  <c r="DN56" i="27"/>
  <c r="AQ56" i="27"/>
  <c r="AQ88" i="28" s="1"/>
  <c r="AI56" i="27"/>
  <c r="AI88" i="28" s="1"/>
  <c r="AI81" i="28" s="1"/>
  <c r="AX56" i="27"/>
  <c r="AX88" i="28" s="1"/>
  <c r="DQ56" i="27"/>
  <c r="DQ88" i="28" s="1"/>
  <c r="AU73" i="24"/>
  <c r="AU76" i="24" s="1"/>
  <c r="CP56" i="27"/>
  <c r="CP88" i="28" s="1"/>
  <c r="CP81" i="28" s="1"/>
  <c r="BE73" i="27"/>
  <c r="BE77" i="27" s="1"/>
  <c r="BT73" i="27"/>
  <c r="BT77" i="27" s="1"/>
  <c r="T73" i="24"/>
  <c r="DT56" i="27"/>
  <c r="DT88" i="28" s="1"/>
  <c r="DT81" i="28" s="1"/>
  <c r="F49" i="74" s="1"/>
  <c r="AO56" i="27"/>
  <c r="AO88" i="28" s="1"/>
  <c r="AO81" i="28" s="1"/>
  <c r="BD56" i="27"/>
  <c r="BD88" i="28" s="1"/>
  <c r="DT79" i="27"/>
  <c r="DT110" i="28" s="1"/>
  <c r="DT103" i="28" s="1"/>
  <c r="F49" i="55" s="1"/>
  <c r="H74" i="27"/>
  <c r="H78" i="27" s="1"/>
  <c r="CW73" i="27"/>
  <c r="CW77" i="27" s="1"/>
  <c r="CU74" i="27"/>
  <c r="CU78" i="27" s="1"/>
  <c r="BI56" i="27"/>
  <c r="BI88" i="28" s="1"/>
  <c r="BI81" i="28" s="1"/>
  <c r="BS73" i="27"/>
  <c r="BS77" i="27" s="1"/>
  <c r="BQ74" i="27"/>
  <c r="BQ78" i="27" s="1"/>
  <c r="CE73" i="27"/>
  <c r="CE77" i="27" s="1"/>
  <c r="CF74" i="27"/>
  <c r="CF78" i="27" s="1"/>
  <c r="AH73" i="27"/>
  <c r="AH77" i="27" s="1"/>
  <c r="AI74" i="27"/>
  <c r="AI78" i="27" s="1"/>
  <c r="Q73" i="27"/>
  <c r="Q77" i="27" s="1"/>
  <c r="R74" i="27"/>
  <c r="R78" i="27" s="1"/>
  <c r="R79" i="27" s="1"/>
  <c r="BU56" i="27"/>
  <c r="BU88" i="28" s="1"/>
  <c r="BU81" i="28" s="1"/>
  <c r="P56" i="27"/>
  <c r="S88" i="28" s="1"/>
  <c r="BF74" i="27"/>
  <c r="BF78" i="27" s="1"/>
  <c r="M74" i="27"/>
  <c r="M78" i="27" s="1"/>
  <c r="ED73" i="27"/>
  <c r="ED77" i="27" s="1"/>
  <c r="BV56" i="27"/>
  <c r="BV88" i="28" s="1"/>
  <c r="BV81" i="28" s="1"/>
  <c r="S73" i="27"/>
  <c r="S77" i="27" s="1"/>
  <c r="S79" i="27" s="1"/>
  <c r="T74" i="27"/>
  <c r="T78" i="27" s="1"/>
  <c r="DU73" i="27"/>
  <c r="DU77" i="27" s="1"/>
  <c r="CD73" i="27"/>
  <c r="CD77" i="27" s="1"/>
  <c r="CD79" i="27" s="1"/>
  <c r="CD110" i="28" s="1"/>
  <c r="CE74" i="27"/>
  <c r="CE78" i="27" s="1"/>
  <c r="DK73" i="27"/>
  <c r="DK77" i="27" s="1"/>
  <c r="DL74" i="27"/>
  <c r="DL78" i="27" s="1"/>
  <c r="AV73" i="27"/>
  <c r="AV77" i="27" s="1"/>
  <c r="AW74" i="27"/>
  <c r="AW78" i="27" s="1"/>
  <c r="AW79" i="27" s="1"/>
  <c r="AW110" i="28" s="1"/>
  <c r="AM73" i="27"/>
  <c r="AM77" i="27" s="1"/>
  <c r="AK74" i="27"/>
  <c r="AK78" i="27" s="1"/>
  <c r="BU74" i="27"/>
  <c r="BU78" i="27" s="1"/>
  <c r="O73" i="27"/>
  <c r="O77" i="27" s="1"/>
  <c r="ED74" i="27"/>
  <c r="ED78" i="27" s="1"/>
  <c r="CQ56" i="27"/>
  <c r="CQ88" i="28" s="1"/>
  <c r="Q56" i="27"/>
  <c r="DR56" i="27"/>
  <c r="DR88" i="28" s="1"/>
  <c r="AN56" i="27"/>
  <c r="AN88" i="28" s="1"/>
  <c r="AN81" i="28" s="1"/>
  <c r="BC56" i="27"/>
  <c r="BC88" i="28" s="1"/>
  <c r="CU56" i="27"/>
  <c r="CU88" i="28" s="1"/>
  <c r="CU81" i="28" s="1"/>
  <c r="CX73" i="27"/>
  <c r="CX77" i="27" s="1"/>
  <c r="DK74" i="27"/>
  <c r="DK78" i="27" s="1"/>
  <c r="EA73" i="27"/>
  <c r="EA77" i="27" s="1"/>
  <c r="DY74" i="27"/>
  <c r="DY78" i="27" s="1"/>
  <c r="BG73" i="27"/>
  <c r="BG77" i="27" s="1"/>
  <c r="BH74" i="27"/>
  <c r="BH78" i="27" s="1"/>
  <c r="M56" i="27"/>
  <c r="K88" i="28" s="1"/>
  <c r="K81" i="28" s="1"/>
  <c r="AX73" i="27"/>
  <c r="AX77" i="27" s="1"/>
  <c r="AY74" i="27"/>
  <c r="AY78" i="27" s="1"/>
  <c r="BC73" i="27"/>
  <c r="BC77" i="27" s="1"/>
  <c r="BA74" i="27"/>
  <c r="BA78" i="27" s="1"/>
  <c r="P73" i="27"/>
  <c r="P77" i="27" s="1"/>
  <c r="W73" i="27"/>
  <c r="W77" i="27" s="1"/>
  <c r="U74" i="27"/>
  <c r="U78" i="27" s="1"/>
  <c r="DW73" i="27"/>
  <c r="DW77" i="27" s="1"/>
  <c r="DX74" i="27"/>
  <c r="DX78" i="27" s="1"/>
  <c r="BK73" i="27"/>
  <c r="BK77" i="27" s="1"/>
  <c r="K73" i="27"/>
  <c r="K77" i="27" s="1"/>
  <c r="L74" i="27"/>
  <c r="L78" i="27" s="1"/>
  <c r="BU73" i="27"/>
  <c r="BU77" i="27" s="1"/>
  <c r="BV74" i="27"/>
  <c r="BV78" i="27" s="1"/>
  <c r="BV79" i="27" s="1"/>
  <c r="BV110" i="28" s="1"/>
  <c r="BV103" i="28" s="1"/>
  <c r="BL73" i="27"/>
  <c r="BL77" i="27" s="1"/>
  <c r="BM74" i="27"/>
  <c r="BM78" i="27" s="1"/>
  <c r="J73" i="27"/>
  <c r="J77" i="27" s="1"/>
  <c r="K74" i="27"/>
  <c r="K78" i="27" s="1"/>
  <c r="AG73" i="27"/>
  <c r="AG77" i="27" s="1"/>
  <c r="AH74" i="27"/>
  <c r="AH78" i="27" s="1"/>
  <c r="CO73" i="27"/>
  <c r="CO77" i="27" s="1"/>
  <c r="CG74" i="27"/>
  <c r="CG78" i="27" s="1"/>
  <c r="BA56" i="27"/>
  <c r="BA88" i="28" s="1"/>
  <c r="BW73" i="27"/>
  <c r="BW77" i="27" s="1"/>
  <c r="BW79" i="27" s="1"/>
  <c r="BW110" i="28" s="1"/>
  <c r="BW103" i="28" s="1"/>
  <c r="BX74" i="27"/>
  <c r="BX78" i="27" s="1"/>
  <c r="BN73" i="27"/>
  <c r="BN77" i="27" s="1"/>
  <c r="BN79" i="27" s="1"/>
  <c r="BN110" i="28" s="1"/>
  <c r="BN103" i="28" s="1"/>
  <c r="AP73" i="27"/>
  <c r="AP77" i="27" s="1"/>
  <c r="CC74" i="27"/>
  <c r="CC78" i="27" s="1"/>
  <c r="BE74" i="27"/>
  <c r="BE78" i="27" s="1"/>
  <c r="AF73" i="27"/>
  <c r="AF77" i="27" s="1"/>
  <c r="AG74" i="27"/>
  <c r="AG78" i="27" s="1"/>
  <c r="AU73" i="27"/>
  <c r="AU77" i="27" s="1"/>
  <c r="AS74" i="27"/>
  <c r="AS78" i="27" s="1"/>
  <c r="DL73" i="27"/>
  <c r="DL77" i="27" s="1"/>
  <c r="DM74" i="27"/>
  <c r="DM78" i="27" s="1"/>
  <c r="CQ73" i="27"/>
  <c r="CQ77" i="27" s="1"/>
  <c r="CR74" i="27"/>
  <c r="CR78" i="27" s="1"/>
  <c r="CR79" i="27" s="1"/>
  <c r="CR110" i="28" s="1"/>
  <c r="AB47" i="38" s="1"/>
  <c r="CS73" i="27"/>
  <c r="CS77" i="27" s="1"/>
  <c r="CS79" i="27" s="1"/>
  <c r="CS110" i="28" s="1"/>
  <c r="AC47" i="38" s="1"/>
  <c r="CT74" i="27"/>
  <c r="CT78" i="27" s="1"/>
  <c r="BO73" i="27"/>
  <c r="BO77" i="27" s="1"/>
  <c r="BP74" i="27"/>
  <c r="BP78" i="27" s="1"/>
  <c r="U56" i="27"/>
  <c r="AQ73" i="27"/>
  <c r="AQ77" i="27" s="1"/>
  <c r="AR74" i="27"/>
  <c r="AR78" i="27" s="1"/>
  <c r="BF73" i="27"/>
  <c r="BF77" i="27" s="1"/>
  <c r="BG74" i="27"/>
  <c r="BG78" i="27" s="1"/>
  <c r="AI73" i="27"/>
  <c r="AI77" i="27" s="1"/>
  <c r="EB73" i="27"/>
  <c r="EB77" i="27" s="1"/>
  <c r="DZ74" i="27"/>
  <c r="DZ78" i="27" s="1"/>
  <c r="DQ73" i="27"/>
  <c r="DQ77" i="27" s="1"/>
  <c r="DO74" i="27"/>
  <c r="DO78" i="27" s="1"/>
  <c r="T88" i="28"/>
  <c r="T51" i="24"/>
  <c r="T67" i="24" s="1"/>
  <c r="AU51" i="24"/>
  <c r="AU67" i="24" s="1"/>
  <c r="BQ51" i="24"/>
  <c r="BQ67" i="24" s="1"/>
  <c r="BZ51" i="24"/>
  <c r="BZ67" i="24" s="1"/>
  <c r="F51" i="24"/>
  <c r="F67" i="24" s="1"/>
  <c r="BZ73" i="24"/>
  <c r="BZ76" i="24" s="1"/>
  <c r="BZ64" i="24"/>
  <c r="AU112" i="24"/>
  <c r="AU121" i="24"/>
  <c r="AU124" i="24" s="1"/>
  <c r="BP73" i="27"/>
  <c r="BP77" i="27" s="1"/>
  <c r="V74" i="27"/>
  <c r="V78" i="27" s="1"/>
  <c r="CV74" i="27"/>
  <c r="CV78" i="27" s="1"/>
  <c r="EC56" i="27"/>
  <c r="EC88" i="28" s="1"/>
  <c r="EC81" i="28" s="1"/>
  <c r="AW56" i="27"/>
  <c r="AW88" i="28" s="1"/>
  <c r="BL56" i="27"/>
  <c r="BL88" i="28" s="1"/>
  <c r="BL81" i="28" s="1"/>
  <c r="BA73" i="27"/>
  <c r="BA77" i="27" s="1"/>
  <c r="F74" i="27"/>
  <c r="F78" i="27" s="1"/>
  <c r="CA74" i="27"/>
  <c r="CA78" i="27" s="1"/>
  <c r="CA79" i="27" s="1"/>
  <c r="CA110" i="28" s="1"/>
  <c r="AL73" i="27"/>
  <c r="AL77" i="27" s="1"/>
  <c r="DP73" i="27"/>
  <c r="DP77" i="27" s="1"/>
  <c r="BL74" i="27"/>
  <c r="BL78" i="27" s="1"/>
  <c r="BH73" i="27"/>
  <c r="BH77" i="27" s="1"/>
  <c r="AL74" i="27"/>
  <c r="AL78" i="27" s="1"/>
  <c r="BI73" i="27"/>
  <c r="BI77" i="27" s="1"/>
  <c r="O74" i="27"/>
  <c r="O78" i="27" s="1"/>
  <c r="CO74" i="27"/>
  <c r="CO78" i="27" s="1"/>
  <c r="AT73" i="27"/>
  <c r="AT77" i="27" s="1"/>
  <c r="DZ73" i="27"/>
  <c r="DZ77" i="27" s="1"/>
  <c r="BT74" i="27"/>
  <c r="BT78" i="27" s="1"/>
  <c r="BQ121" i="24"/>
  <c r="BQ124" i="24" s="1"/>
  <c r="BQ112" i="24"/>
  <c r="CN74" i="27"/>
  <c r="CN78" i="27" s="1"/>
  <c r="BS74" i="27"/>
  <c r="BS78" i="27" s="1"/>
  <c r="CV73" i="27"/>
  <c r="CV77" i="27" s="1"/>
  <c r="BX73" i="27"/>
  <c r="BX77" i="27" s="1"/>
  <c r="DP74" i="27"/>
  <c r="DP78" i="27" s="1"/>
  <c r="CF73" i="27"/>
  <c r="CF77" i="27" s="1"/>
  <c r="AT74" i="27"/>
  <c r="AT78" i="27" s="1"/>
  <c r="DK56" i="27"/>
  <c r="AG56" i="27"/>
  <c r="AG88" i="28" s="1"/>
  <c r="AG81" i="28" s="1"/>
  <c r="EB56" i="27"/>
  <c r="EB88" i="28" s="1"/>
  <c r="EB81" i="28" s="1"/>
  <c r="AV56" i="27"/>
  <c r="AV88" i="28" s="1"/>
  <c r="BQ73" i="27"/>
  <c r="BQ77" i="27" s="1"/>
  <c r="W74" i="27"/>
  <c r="W78" i="27" s="1"/>
  <c r="CW74" i="27"/>
  <c r="CW78" i="27" s="1"/>
  <c r="BB73" i="27"/>
  <c r="BB77" i="27" s="1"/>
  <c r="G74" i="27"/>
  <c r="G78" i="27" s="1"/>
  <c r="G79" i="27" s="1"/>
  <c r="E110" i="28" s="1"/>
  <c r="CB74" i="27"/>
  <c r="CB78" i="27" s="1"/>
  <c r="T73" i="27"/>
  <c r="T77" i="27" s="1"/>
  <c r="CT73" i="27"/>
  <c r="CT77" i="27" s="1"/>
  <c r="BB74" i="27"/>
  <c r="BB78" i="27" s="1"/>
  <c r="D79" i="27"/>
  <c r="BY73" i="27"/>
  <c r="BY77" i="27" s="1"/>
  <c r="BY79" i="27" s="1"/>
  <c r="BY110" i="28" s="1"/>
  <c r="BY103" i="28" s="1"/>
  <c r="AM74" i="27"/>
  <c r="AM78" i="27" s="1"/>
  <c r="DQ74" i="27"/>
  <c r="DQ78" i="27" s="1"/>
  <c r="BJ73" i="27"/>
  <c r="BJ77" i="27" s="1"/>
  <c r="P74" i="27"/>
  <c r="P78" i="27" s="1"/>
  <c r="CP74" i="27"/>
  <c r="CP78" i="27" s="1"/>
  <c r="DY73" i="27"/>
  <c r="DY77" i="27" s="1"/>
  <c r="BD74" i="27"/>
  <c r="BD78" i="27" s="1"/>
  <c r="BQ64" i="24"/>
  <c r="BQ73" i="24"/>
  <c r="BQ76" i="24" s="1"/>
  <c r="T112" i="24"/>
  <c r="T121" i="24"/>
  <c r="T124" i="24" s="1"/>
  <c r="BQ115" i="24"/>
  <c r="AJ73" i="27"/>
  <c r="AJ77" i="27" s="1"/>
  <c r="DN73" i="27"/>
  <c r="DN77" i="27" s="1"/>
  <c r="DN79" i="27" s="1"/>
  <c r="BJ74" i="27"/>
  <c r="BJ78" i="27" s="1"/>
  <c r="M73" i="27"/>
  <c r="M77" i="27" s="1"/>
  <c r="CG73" i="27"/>
  <c r="CG77" i="27" s="1"/>
  <c r="AU74" i="27"/>
  <c r="AU78" i="27" s="1"/>
  <c r="EA74" i="27"/>
  <c r="EA78" i="27" s="1"/>
  <c r="BR73" i="27"/>
  <c r="BR77" i="27" s="1"/>
  <c r="AF74" i="27"/>
  <c r="AF78" i="27" s="1"/>
  <c r="CX74" i="27"/>
  <c r="CX78" i="27" s="1"/>
  <c r="AS73" i="27"/>
  <c r="AS77" i="27" s="1"/>
  <c r="DX73" i="27"/>
  <c r="DX77" i="27" s="1"/>
  <c r="U73" i="27"/>
  <c r="U77" i="27" s="1"/>
  <c r="CU73" i="27"/>
  <c r="CU77" i="27" s="1"/>
  <c r="BC74" i="27"/>
  <c r="BC78" i="27" s="1"/>
  <c r="E73" i="27"/>
  <c r="E77" i="27" s="1"/>
  <c r="BZ73" i="27"/>
  <c r="BZ77" i="27" s="1"/>
  <c r="AN74" i="27"/>
  <c r="AN78" i="27" s="1"/>
  <c r="DR74" i="27"/>
  <c r="DR78" i="27" s="1"/>
  <c r="DR79" i="27" s="1"/>
  <c r="DR110" i="28" s="1"/>
  <c r="DR103" i="28" s="1"/>
  <c r="N74" i="27"/>
  <c r="N78" i="27" s="1"/>
  <c r="V73" i="27"/>
  <c r="V77" i="27" s="1"/>
  <c r="AR73" i="27"/>
  <c r="AR77" i="27" s="1"/>
  <c r="BR74" i="27"/>
  <c r="BR78" i="27" s="1"/>
  <c r="BZ115" i="24"/>
  <c r="BZ121" i="24"/>
  <c r="BZ124" i="24" s="1"/>
  <c r="BZ112" i="24"/>
  <c r="AZ73" i="27"/>
  <c r="AZ77" i="27" s="1"/>
  <c r="AZ79" i="27" s="1"/>
  <c r="AZ110" i="28" s="1"/>
  <c r="E74" i="27"/>
  <c r="E78" i="27" s="1"/>
  <c r="BZ74" i="27"/>
  <c r="BZ78" i="27" s="1"/>
  <c r="BM56" i="27"/>
  <c r="BM88" i="28" s="1"/>
  <c r="BM81" i="28" s="1"/>
  <c r="CB56" i="27"/>
  <c r="CB88" i="28" s="1"/>
  <c r="G56" i="27"/>
  <c r="E88" i="28" s="1"/>
  <c r="E81" i="28" s="1"/>
  <c r="AK73" i="27"/>
  <c r="AK77" i="27" s="1"/>
  <c r="DO73" i="27"/>
  <c r="DO77" i="27" s="1"/>
  <c r="BK74" i="27"/>
  <c r="BK78" i="27" s="1"/>
  <c r="N73" i="27"/>
  <c r="N77" i="27" s="1"/>
  <c r="CN73" i="27"/>
  <c r="CN77" i="27" s="1"/>
  <c r="AV74" i="27"/>
  <c r="AV78" i="27" s="1"/>
  <c r="EB74" i="27"/>
  <c r="EB78" i="27" s="1"/>
  <c r="F127" i="24" l="1"/>
  <c r="F130" i="24" s="1"/>
  <c r="F142" i="24" s="1"/>
  <c r="F113" i="28" s="1"/>
  <c r="F106" i="28" s="1"/>
  <c r="F99" i="28" s="1"/>
  <c r="X70" i="24"/>
  <c r="X79" i="24"/>
  <c r="X82" i="24" s="1"/>
  <c r="X140" i="24" s="1"/>
  <c r="X91" i="28" s="1"/>
  <c r="X127" i="24"/>
  <c r="X130" i="24" s="1"/>
  <c r="X142" i="24" s="1"/>
  <c r="X113" i="28" s="1"/>
  <c r="W88" i="28"/>
  <c r="D47" i="39" s="1"/>
  <c r="AB70" i="24"/>
  <c r="AB79" i="24"/>
  <c r="AB82" i="24" s="1"/>
  <c r="AB140" i="24" s="1"/>
  <c r="AB91" i="28" s="1"/>
  <c r="AE110" i="28"/>
  <c r="AE103" i="28" s="1"/>
  <c r="E47" i="32" s="1"/>
  <c r="AE88" i="28"/>
  <c r="AE81" i="28" s="1"/>
  <c r="E47" i="36" s="1"/>
  <c r="AB127" i="24"/>
  <c r="AB130" i="24" s="1"/>
  <c r="AB142" i="24" s="1"/>
  <c r="AB113" i="28" s="1"/>
  <c r="Q88" i="28"/>
  <c r="Q81" i="28" s="1"/>
  <c r="E54" i="42" s="1"/>
  <c r="O88" i="28"/>
  <c r="O81" i="28" s="1"/>
  <c r="E49" i="42" s="1"/>
  <c r="EA79" i="27"/>
  <c r="EA110" i="28" s="1"/>
  <c r="EA103" i="28" s="1"/>
  <c r="F46" i="54" s="1"/>
  <c r="AI47" i="39"/>
  <c r="H88" i="28"/>
  <c r="H81" i="28" s="1"/>
  <c r="E48" i="42" s="1"/>
  <c r="CQ79" i="27"/>
  <c r="CQ110" i="28" s="1"/>
  <c r="AF88" i="28"/>
  <c r="AF81" i="28" s="1"/>
  <c r="L79" i="27"/>
  <c r="J110" i="28" s="1"/>
  <c r="J47" i="39"/>
  <c r="U47" i="39"/>
  <c r="L47" i="39"/>
  <c r="AY79" i="27"/>
  <c r="AY110" i="28" s="1"/>
  <c r="AY103" i="28" s="1"/>
  <c r="F53" i="43" s="1"/>
  <c r="AA47" i="39"/>
  <c r="Z47" i="39"/>
  <c r="CL81" i="28"/>
  <c r="U47" i="36" s="1"/>
  <c r="O79" i="27"/>
  <c r="R110" i="28" s="1"/>
  <c r="BQ79" i="27"/>
  <c r="BQ110" i="28" s="1"/>
  <c r="BQ103" i="28" s="1"/>
  <c r="F79" i="27"/>
  <c r="AF47" i="39"/>
  <c r="AN79" i="27"/>
  <c r="AN110" i="28" s="1"/>
  <c r="AN103" i="28" s="1"/>
  <c r="M47" i="32" s="1"/>
  <c r="CL79" i="27"/>
  <c r="CL110" i="28" s="1"/>
  <c r="AJ79" i="27"/>
  <c r="AJ110" i="28" s="1"/>
  <c r="AJ103" i="28" s="1"/>
  <c r="I47" i="32" s="1"/>
  <c r="DO79" i="27"/>
  <c r="DO110" i="28" s="1"/>
  <c r="DO103" i="28" s="1"/>
  <c r="F54" i="55" s="1"/>
  <c r="BI79" i="27"/>
  <c r="BI110" i="28" s="1"/>
  <c r="BI103" i="28" s="1"/>
  <c r="W47" i="32" s="1"/>
  <c r="BF79" i="27"/>
  <c r="BF110" i="28" s="1"/>
  <c r="BF103" i="28" s="1"/>
  <c r="F50" i="50" s="1"/>
  <c r="H79" i="27"/>
  <c r="F110" i="28" s="1"/>
  <c r="F103" i="28" s="1"/>
  <c r="DF79" i="27"/>
  <c r="DF110" i="28" s="1"/>
  <c r="DF103" i="28" s="1"/>
  <c r="G52" i="63" s="1"/>
  <c r="CM81" i="28"/>
  <c r="V47" i="36" s="1"/>
  <c r="W47" i="39"/>
  <c r="CJ81" i="28"/>
  <c r="T47" i="39"/>
  <c r="CI81" i="28"/>
  <c r="S47" i="36" s="1"/>
  <c r="S47" i="39"/>
  <c r="DU79" i="27"/>
  <c r="DU110" i="28" s="1"/>
  <c r="AF47" i="38" s="1"/>
  <c r="DJ79" i="27"/>
  <c r="DJ110" i="28" s="1"/>
  <c r="DJ103" i="28" s="1"/>
  <c r="G55" i="63" s="1"/>
  <c r="AC47" i="39"/>
  <c r="DW81" i="28"/>
  <c r="AH47" i="39"/>
  <c r="T76" i="24"/>
  <c r="T79" i="24"/>
  <c r="DF98" i="23"/>
  <c r="DF108" i="23" s="1"/>
  <c r="DF114" i="28" s="1"/>
  <c r="DF107" i="28" s="1"/>
  <c r="DF100" i="28" s="1"/>
  <c r="DF82" i="23"/>
  <c r="DF92" i="28" s="1"/>
  <c r="DF85" i="28" s="1"/>
  <c r="DF78" i="28" s="1"/>
  <c r="DJ98" i="23"/>
  <c r="DJ108" i="23" s="1"/>
  <c r="DJ114" i="28" s="1"/>
  <c r="DJ107" i="28" s="1"/>
  <c r="DJ100" i="28" s="1"/>
  <c r="DJ82" i="23"/>
  <c r="DJ92" i="28" s="1"/>
  <c r="DJ85" i="28" s="1"/>
  <c r="DJ78" i="28" s="1"/>
  <c r="DH98" i="23"/>
  <c r="DH108" i="23" s="1"/>
  <c r="DH114" i="28" s="1"/>
  <c r="DH107" i="28" s="1"/>
  <c r="DH100" i="28" s="1"/>
  <c r="DH82" i="23"/>
  <c r="DH92" i="28" s="1"/>
  <c r="DH85" i="28" s="1"/>
  <c r="DH78" i="28" s="1"/>
  <c r="DI82" i="23"/>
  <c r="DI92" i="28" s="1"/>
  <c r="DI85" i="28" s="1"/>
  <c r="DI78" i="28" s="1"/>
  <c r="DI98" i="23"/>
  <c r="DI108" i="23" s="1"/>
  <c r="DI114" i="28" s="1"/>
  <c r="DI107" i="28" s="1"/>
  <c r="DI100" i="28" s="1"/>
  <c r="CU79" i="27"/>
  <c r="CU110" i="28" s="1"/>
  <c r="CU103" i="28" s="1"/>
  <c r="I47" i="39"/>
  <c r="K47" i="39"/>
  <c r="CX79" i="27"/>
  <c r="CX110" i="28" s="1"/>
  <c r="CX103" i="28" s="1"/>
  <c r="F52" i="48" s="1"/>
  <c r="DE79" i="27"/>
  <c r="DE110" i="28" s="1"/>
  <c r="DE103" i="28" s="1"/>
  <c r="G51" i="63" s="1"/>
  <c r="DI79" i="27"/>
  <c r="DI110" i="28" s="1"/>
  <c r="DI103" i="28" s="1"/>
  <c r="G54" i="63" s="1"/>
  <c r="BD79" i="27"/>
  <c r="BD110" i="28" s="1"/>
  <c r="BD103" i="28" s="1"/>
  <c r="F49" i="50" s="1"/>
  <c r="DW79" i="27"/>
  <c r="DW110" i="28" s="1"/>
  <c r="DH79" i="27"/>
  <c r="DH110" i="28" s="1"/>
  <c r="DH103" i="28" s="1"/>
  <c r="CJ79" i="27"/>
  <c r="CJ110" i="28" s="1"/>
  <c r="T47" i="38" s="1"/>
  <c r="CM79" i="27"/>
  <c r="CM110" i="28" s="1"/>
  <c r="W47" i="38" s="1"/>
  <c r="CH79" i="27"/>
  <c r="CH110" i="28" s="1"/>
  <c r="CH103" i="28" s="1"/>
  <c r="CI79" i="27"/>
  <c r="CI110" i="28" s="1"/>
  <c r="CK79" i="27"/>
  <c r="CK110" i="28" s="1"/>
  <c r="U47" i="38" s="1"/>
  <c r="AU79" i="27"/>
  <c r="AU110" i="28" s="1"/>
  <c r="AU103" i="28" s="1"/>
  <c r="F47" i="43" s="1"/>
  <c r="AP79" i="27"/>
  <c r="AP110" i="28" s="1"/>
  <c r="AP103" i="28" s="1"/>
  <c r="O47" i="32" s="1"/>
  <c r="BS79" i="27"/>
  <c r="BS110" i="28" s="1"/>
  <c r="BS103" i="28" s="1"/>
  <c r="CB79" i="27"/>
  <c r="CB110" i="28" s="1"/>
  <c r="CB103" i="28" s="1"/>
  <c r="F48" i="48" s="1"/>
  <c r="Y47" i="39"/>
  <c r="D88" i="28"/>
  <c r="D81" i="28" s="1"/>
  <c r="C47" i="36" s="1"/>
  <c r="AB47" i="39"/>
  <c r="DC79" i="27"/>
  <c r="DC110" i="28" s="1"/>
  <c r="DC103" i="28" s="1"/>
  <c r="G49" i="63" s="1"/>
  <c r="CY79" i="27"/>
  <c r="CY110" i="28" s="1"/>
  <c r="DD79" i="27"/>
  <c r="DD110" i="28" s="1"/>
  <c r="DD103" i="28" s="1"/>
  <c r="G50" i="63" s="1"/>
  <c r="CZ79" i="27"/>
  <c r="CZ110" i="28" s="1"/>
  <c r="CZ103" i="28" s="1"/>
  <c r="G46" i="63" s="1"/>
  <c r="DB79" i="27"/>
  <c r="DB110" i="28" s="1"/>
  <c r="DB103" i="28" s="1"/>
  <c r="G48" i="63" s="1"/>
  <c r="J79" i="27"/>
  <c r="G110" i="28" s="1"/>
  <c r="G103" i="28" s="1"/>
  <c r="BU79" i="27"/>
  <c r="BU110" i="28" s="1"/>
  <c r="BU103" i="28" s="1"/>
  <c r="AX79" i="27"/>
  <c r="AX110" i="28" s="1"/>
  <c r="Q47" i="38" s="1"/>
  <c r="DA79" i="27"/>
  <c r="DA110" i="28" s="1"/>
  <c r="DA103" i="28" s="1"/>
  <c r="G47" i="63" s="1"/>
  <c r="CP79" i="27"/>
  <c r="CP110" i="28" s="1"/>
  <c r="AM79" i="27"/>
  <c r="AM110" i="28" s="1"/>
  <c r="AM103" i="28" s="1"/>
  <c r="AK79" i="27"/>
  <c r="AK110" i="28" s="1"/>
  <c r="AK103" i="28" s="1"/>
  <c r="AR79" i="27"/>
  <c r="AR110" i="28" s="1"/>
  <c r="AR103" i="28" s="1"/>
  <c r="DX79" i="27"/>
  <c r="DX110" i="28" s="1"/>
  <c r="DX103" i="28" s="1"/>
  <c r="F47" i="54" s="1"/>
  <c r="J88" i="28"/>
  <c r="J81" i="28" s="1"/>
  <c r="E50" i="42" s="1"/>
  <c r="DN110" i="28"/>
  <c r="DN103" i="28" s="1"/>
  <c r="F53" i="55" s="1"/>
  <c r="DK88" i="28"/>
  <c r="DK81" i="28" s="1"/>
  <c r="F51" i="74" s="1"/>
  <c r="BL79" i="27"/>
  <c r="BL110" i="28" s="1"/>
  <c r="BL103" i="28" s="1"/>
  <c r="Q79" i="27"/>
  <c r="DP88" i="28"/>
  <c r="DP81" i="28" s="1"/>
  <c r="F47" i="74" s="1"/>
  <c r="CT79" i="27"/>
  <c r="CT110" i="28" s="1"/>
  <c r="CT103" i="28" s="1"/>
  <c r="F55" i="48" s="1"/>
  <c r="DN88" i="28"/>
  <c r="DN81" i="28" s="1"/>
  <c r="F53" i="74" s="1"/>
  <c r="H47" i="39"/>
  <c r="L81" i="28"/>
  <c r="E60" i="42" s="1"/>
  <c r="AF79" i="27"/>
  <c r="AY81" i="28"/>
  <c r="F53" i="47" s="1"/>
  <c r="AX81" i="28"/>
  <c r="Q47" i="36" s="1"/>
  <c r="BC81" i="28"/>
  <c r="F45" i="52" s="1"/>
  <c r="BZ81" i="28"/>
  <c r="F47" i="51" s="1"/>
  <c r="BH81" i="28"/>
  <c r="F47" i="52" s="1"/>
  <c r="E103" i="28"/>
  <c r="CS103" i="28"/>
  <c r="F56" i="48" s="1"/>
  <c r="DQ81" i="28"/>
  <c r="AC47" i="36" s="1"/>
  <c r="BF81" i="28"/>
  <c r="F50" i="52" s="1"/>
  <c r="CS81" i="28"/>
  <c r="F56" i="51" s="1"/>
  <c r="CG79" i="27"/>
  <c r="CG110" i="28" s="1"/>
  <c r="CG103" i="28" s="1"/>
  <c r="AB47" i="32" s="1"/>
  <c r="AW103" i="28"/>
  <c r="F48" i="43" s="1"/>
  <c r="CN79" i="27"/>
  <c r="CN110" i="28" s="1"/>
  <c r="X47" i="38" s="1"/>
  <c r="M79" i="27"/>
  <c r="K110" i="28" s="1"/>
  <c r="K103" i="28" s="1"/>
  <c r="E48" i="72" s="1"/>
  <c r="AV81" i="28"/>
  <c r="F46" i="47" s="1"/>
  <c r="BP79" i="27"/>
  <c r="BP110" i="28" s="1"/>
  <c r="BP103" i="28" s="1"/>
  <c r="CD103" i="28"/>
  <c r="F53" i="48" s="1"/>
  <c r="P47" i="39"/>
  <c r="AQ81" i="28"/>
  <c r="P47" i="36" s="1"/>
  <c r="R81" i="28"/>
  <c r="E55" i="42" s="1"/>
  <c r="EC103" i="28"/>
  <c r="F45" i="54" s="1"/>
  <c r="T81" i="28"/>
  <c r="E53" i="42" s="1"/>
  <c r="N47" i="38"/>
  <c r="AW81" i="28"/>
  <c r="F48" i="47" s="1"/>
  <c r="DR81" i="28"/>
  <c r="AD47" i="36" s="1"/>
  <c r="S81" i="28"/>
  <c r="E58" i="42" s="1"/>
  <c r="CO81" i="28"/>
  <c r="F55" i="47" s="1"/>
  <c r="AU81" i="28"/>
  <c r="F47" i="47" s="1"/>
  <c r="AZ103" i="28"/>
  <c r="F51" i="43" s="1"/>
  <c r="M88" i="28"/>
  <c r="R47" i="39"/>
  <c r="AE47" i="39"/>
  <c r="BH79" i="27"/>
  <c r="BH110" i="28" s="1"/>
  <c r="DM79" i="27"/>
  <c r="F81" i="28"/>
  <c r="E47" i="42" s="1"/>
  <c r="CN81" i="28"/>
  <c r="F56" i="47" s="1"/>
  <c r="N81" i="28"/>
  <c r="E59" i="42" s="1"/>
  <c r="E51" i="42"/>
  <c r="CR103" i="28"/>
  <c r="F52" i="43" s="1"/>
  <c r="AS79" i="27"/>
  <c r="AS110" i="28" s="1"/>
  <c r="AS103" i="28" s="1"/>
  <c r="CB81" i="28"/>
  <c r="F48" i="51" s="1"/>
  <c r="DQ79" i="27"/>
  <c r="DQ110" i="28" s="1"/>
  <c r="DQ103" i="28" s="1"/>
  <c r="AC47" i="32" s="1"/>
  <c r="CA103" i="28"/>
  <c r="F46" i="48" s="1"/>
  <c r="BA81" i="28"/>
  <c r="F54" i="47" s="1"/>
  <c r="CQ81" i="28"/>
  <c r="F49" i="47" s="1"/>
  <c r="BD81" i="28"/>
  <c r="F49" i="52" s="1"/>
  <c r="BE81" i="28"/>
  <c r="F48" i="52" s="1"/>
  <c r="CW81" i="28"/>
  <c r="F49" i="51" s="1"/>
  <c r="BM79" i="27"/>
  <c r="BM110" i="28" s="1"/>
  <c r="BM103" i="28" s="1"/>
  <c r="CX81" i="28"/>
  <c r="F52" i="51" s="1"/>
  <c r="F118" i="24"/>
  <c r="O47" i="39"/>
  <c r="N47" i="39"/>
  <c r="CF79" i="27"/>
  <c r="CF110" i="28" s="1"/>
  <c r="W79" i="27"/>
  <c r="M47" i="39"/>
  <c r="Q47" i="39"/>
  <c r="AF47" i="36"/>
  <c r="AG47" i="39"/>
  <c r="AV79" i="27"/>
  <c r="AV110" i="28" s="1"/>
  <c r="U79" i="27"/>
  <c r="BB79" i="27"/>
  <c r="BB110" i="28" s="1"/>
  <c r="BG79" i="27"/>
  <c r="BG110" i="28" s="1"/>
  <c r="CE79" i="27"/>
  <c r="CE110" i="28" s="1"/>
  <c r="BT79" i="27"/>
  <c r="BT110" i="28" s="1"/>
  <c r="BO79" i="27"/>
  <c r="BO110" i="28" s="1"/>
  <c r="BO103" i="28" s="1"/>
  <c r="DK79" i="27"/>
  <c r="N79" i="27"/>
  <c r="N110" i="28" s="1"/>
  <c r="BC79" i="27"/>
  <c r="BC110" i="28" s="1"/>
  <c r="DY79" i="27"/>
  <c r="DY110" i="28" s="1"/>
  <c r="AQ79" i="27"/>
  <c r="AQ110" i="28" s="1"/>
  <c r="AF47" i="32"/>
  <c r="AG47" i="38"/>
  <c r="DZ79" i="27"/>
  <c r="DZ110" i="28" s="1"/>
  <c r="P88" i="28"/>
  <c r="G47" i="39"/>
  <c r="AD47" i="39"/>
  <c r="AI79" i="27"/>
  <c r="AI110" i="28" s="1"/>
  <c r="T110" i="28"/>
  <c r="U110" i="28"/>
  <c r="E79" i="27"/>
  <c r="AT79" i="27"/>
  <c r="AT110" i="28" s="1"/>
  <c r="AT103" i="28" s="1"/>
  <c r="V79" i="27"/>
  <c r="T79" i="27"/>
  <c r="V110" i="28" s="1"/>
  <c r="BX79" i="27"/>
  <c r="BX110" i="28" s="1"/>
  <c r="BX103" i="28" s="1"/>
  <c r="BK79" i="27"/>
  <c r="BK110" i="28" s="1"/>
  <c r="P79" i="27"/>
  <c r="S110" i="28" s="1"/>
  <c r="CW79" i="27"/>
  <c r="CW110" i="28" s="1"/>
  <c r="CO79" i="27"/>
  <c r="CO110" i="28" s="1"/>
  <c r="Y47" i="38" s="1"/>
  <c r="BA79" i="27"/>
  <c r="BA110" i="28" s="1"/>
  <c r="AG79" i="27"/>
  <c r="AG110" i="28" s="1"/>
  <c r="AG103" i="28" s="1"/>
  <c r="CV79" i="27"/>
  <c r="CV110" i="28" s="1"/>
  <c r="CV103" i="28" s="1"/>
  <c r="DL79" i="27"/>
  <c r="K79" i="27"/>
  <c r="I110" i="28" s="1"/>
  <c r="I103" i="28" s="1"/>
  <c r="ED79" i="27"/>
  <c r="ED110" i="28" s="1"/>
  <c r="ED103" i="28" s="1"/>
  <c r="AH79" i="27"/>
  <c r="AH110" i="28" s="1"/>
  <c r="AH103" i="28" s="1"/>
  <c r="BE79" i="27"/>
  <c r="BE110" i="28" s="1"/>
  <c r="EB79" i="27"/>
  <c r="EB110" i="28" s="1"/>
  <c r="CC79" i="27"/>
  <c r="CC110" i="28" s="1"/>
  <c r="CC103" i="28" s="1"/>
  <c r="W47" i="36"/>
  <c r="X47" i="39"/>
  <c r="AU127" i="24"/>
  <c r="AU130" i="24" s="1"/>
  <c r="AU142" i="24" s="1"/>
  <c r="AU113" i="28" s="1"/>
  <c r="AU106" i="28" s="1"/>
  <c r="AU99" i="28" s="1"/>
  <c r="AD47" i="32"/>
  <c r="AE47" i="38"/>
  <c r="AU79" i="24"/>
  <c r="AU82" i="24" s="1"/>
  <c r="AU140" i="24" s="1"/>
  <c r="AU91" i="28" s="1"/>
  <c r="AU84" i="28" s="1"/>
  <c r="AU77" i="28" s="1"/>
  <c r="AU70" i="24"/>
  <c r="BQ70" i="24"/>
  <c r="BQ79" i="24"/>
  <c r="BQ82" i="24" s="1"/>
  <c r="BQ140" i="24" s="1"/>
  <c r="BQ91" i="28" s="1"/>
  <c r="BQ84" i="28" s="1"/>
  <c r="BQ77" i="28" s="1"/>
  <c r="BZ127" i="24"/>
  <c r="BZ130" i="24" s="1"/>
  <c r="BZ142" i="24" s="1"/>
  <c r="BZ113" i="28" s="1"/>
  <c r="BZ106" i="28" s="1"/>
  <c r="BZ99" i="28" s="1"/>
  <c r="BZ118" i="24"/>
  <c r="BQ127" i="24"/>
  <c r="BQ130" i="24" s="1"/>
  <c r="BQ142" i="24" s="1"/>
  <c r="BQ113" i="28" s="1"/>
  <c r="BQ106" i="28" s="1"/>
  <c r="BQ99" i="28" s="1"/>
  <c r="BQ118" i="24"/>
  <c r="M47" i="36"/>
  <c r="AL79" i="27"/>
  <c r="AL110" i="28" s="1"/>
  <c r="AL103" i="28" s="1"/>
  <c r="F45" i="47"/>
  <c r="L47" i="36"/>
  <c r="BR79" i="27"/>
  <c r="BR110" i="28" s="1"/>
  <c r="BR103" i="28" s="1"/>
  <c r="E56" i="42"/>
  <c r="N47" i="32"/>
  <c r="BZ79" i="24"/>
  <c r="BZ82" i="24" s="1"/>
  <c r="BZ140" i="24" s="1"/>
  <c r="BZ91" i="28" s="1"/>
  <c r="BZ84" i="28" s="1"/>
  <c r="BZ77" i="28" s="1"/>
  <c r="BZ70" i="24"/>
  <c r="I47" i="36"/>
  <c r="G47" i="36"/>
  <c r="F50" i="47"/>
  <c r="K47" i="36"/>
  <c r="J47" i="36"/>
  <c r="F79" i="24"/>
  <c r="F82" i="24" s="1"/>
  <c r="F140" i="24" s="1"/>
  <c r="F91" i="28" s="1"/>
  <c r="F84" i="28" s="1"/>
  <c r="F77" i="28" s="1"/>
  <c r="F70" i="24"/>
  <c r="F50" i="51"/>
  <c r="BJ79" i="27"/>
  <c r="BJ110" i="28" s="1"/>
  <c r="BJ103" i="28" s="1"/>
  <c r="F47" i="39"/>
  <c r="BZ79" i="27"/>
  <c r="BZ110" i="28" s="1"/>
  <c r="F45" i="51"/>
  <c r="O47" i="36"/>
  <c r="D110" i="28"/>
  <c r="D103" i="28" s="1"/>
  <c r="N47" i="36"/>
  <c r="DP79" i="27"/>
  <c r="H47" i="36"/>
  <c r="E47" i="39" l="1"/>
  <c r="AG47" i="36"/>
  <c r="F48" i="74"/>
  <c r="W81" i="28"/>
  <c r="D47" i="36" s="1"/>
  <c r="E47" i="38"/>
  <c r="L110" i="28"/>
  <c r="M110" i="28"/>
  <c r="M103" i="28" s="1"/>
  <c r="X106" i="28"/>
  <c r="X90" i="28"/>
  <c r="X84" i="28"/>
  <c r="W110" i="28"/>
  <c r="W103" i="28" s="1"/>
  <c r="D47" i="32" s="1"/>
  <c r="AB106" i="28"/>
  <c r="AB84" i="28"/>
  <c r="AB90" i="28"/>
  <c r="E47" i="41"/>
  <c r="E47" i="72"/>
  <c r="E62" i="41"/>
  <c r="E63" i="41"/>
  <c r="H110" i="28"/>
  <c r="H103" i="28" s="1"/>
  <c r="CP103" i="28"/>
  <c r="Z47" i="38"/>
  <c r="CQ103" i="28"/>
  <c r="F49" i="43" s="1"/>
  <c r="AA47" i="38"/>
  <c r="CL103" i="28"/>
  <c r="U47" i="32" s="1"/>
  <c r="T62" i="64" s="1"/>
  <c r="V47" i="38"/>
  <c r="I47" i="38"/>
  <c r="AF110" i="28"/>
  <c r="AF103" i="28" s="1"/>
  <c r="P110" i="28"/>
  <c r="P103" i="28" s="1"/>
  <c r="M47" i="38"/>
  <c r="L47" i="38"/>
  <c r="AX103" i="28"/>
  <c r="Q47" i="32" s="1"/>
  <c r="P47" i="64" s="1"/>
  <c r="DU103" i="28"/>
  <c r="AE47" i="32" s="1"/>
  <c r="AD62" i="69" s="1"/>
  <c r="DW103" i="28"/>
  <c r="AH47" i="38"/>
  <c r="CK103" i="28"/>
  <c r="T47" i="32" s="1"/>
  <c r="S47" i="64" s="1"/>
  <c r="J47" i="38"/>
  <c r="CI103" i="28"/>
  <c r="S47" i="32" s="1"/>
  <c r="R47" i="64" s="1"/>
  <c r="S47" i="38"/>
  <c r="CM103" i="28"/>
  <c r="V47" i="32" s="1"/>
  <c r="O47" i="38"/>
  <c r="CJ103" i="28"/>
  <c r="M47" i="64"/>
  <c r="M62" i="69"/>
  <c r="M47" i="69"/>
  <c r="M62" i="64"/>
  <c r="AE47" i="64"/>
  <c r="AE62" i="69"/>
  <c r="AE47" i="69"/>
  <c r="AE62" i="64"/>
  <c r="H47" i="69"/>
  <c r="H47" i="64"/>
  <c r="H62" i="64"/>
  <c r="H62" i="69"/>
  <c r="L62" i="69"/>
  <c r="L62" i="64"/>
  <c r="L47" i="64"/>
  <c r="L47" i="69"/>
  <c r="AB62" i="64"/>
  <c r="AB62" i="69"/>
  <c r="AB47" i="69"/>
  <c r="AB47" i="64"/>
  <c r="N62" i="69"/>
  <c r="N47" i="64"/>
  <c r="N62" i="64"/>
  <c r="N47" i="69"/>
  <c r="AC62" i="64"/>
  <c r="AC62" i="69"/>
  <c r="AC47" i="69"/>
  <c r="AC47" i="64"/>
  <c r="AA62" i="64"/>
  <c r="AA47" i="64"/>
  <c r="AA47" i="69"/>
  <c r="AA62" i="69"/>
  <c r="V47" i="69"/>
  <c r="V62" i="69"/>
  <c r="V62" i="64"/>
  <c r="V47" i="64"/>
  <c r="AD47" i="38"/>
  <c r="C47" i="39"/>
  <c r="Q110" i="28"/>
  <c r="Q103" i="28" s="1"/>
  <c r="DP110" i="28"/>
  <c r="DP103" i="28" s="1"/>
  <c r="DL110" i="28"/>
  <c r="DL103" i="28" s="1"/>
  <c r="F50" i="55" s="1"/>
  <c r="DK110" i="28"/>
  <c r="DK103" i="28" s="1"/>
  <c r="F51" i="55" s="1"/>
  <c r="DM110" i="28"/>
  <c r="DM103" i="28" s="1"/>
  <c r="F52" i="55" s="1"/>
  <c r="N103" i="28"/>
  <c r="BE103" i="28"/>
  <c r="F48" i="50" s="1"/>
  <c r="CF103" i="28"/>
  <c r="F54" i="48" s="1"/>
  <c r="CO103" i="28"/>
  <c r="F55" i="43" s="1"/>
  <c r="DZ103" i="28"/>
  <c r="F49" i="54" s="1"/>
  <c r="M81" i="28"/>
  <c r="E52" i="42" s="1"/>
  <c r="CN103" i="28"/>
  <c r="F56" i="43" s="1"/>
  <c r="O110" i="28"/>
  <c r="BA103" i="28"/>
  <c r="F54" i="43" s="1"/>
  <c r="CW103" i="28"/>
  <c r="F49" i="48" s="1"/>
  <c r="U103" i="28"/>
  <c r="BT103" i="28"/>
  <c r="Z47" i="32" s="1"/>
  <c r="BH103" i="28"/>
  <c r="F47" i="50" s="1"/>
  <c r="R103" i="28"/>
  <c r="P81" i="28"/>
  <c r="E61" i="42" s="1"/>
  <c r="S103" i="28"/>
  <c r="T103" i="28"/>
  <c r="CE103" i="28"/>
  <c r="F51" i="48" s="1"/>
  <c r="V103" i="28"/>
  <c r="BC103" i="28"/>
  <c r="F45" i="50" s="1"/>
  <c r="AV103" i="28"/>
  <c r="F46" i="43" s="1"/>
  <c r="J103" i="28"/>
  <c r="BK103" i="28"/>
  <c r="Y47" i="32" s="1"/>
  <c r="P47" i="38"/>
  <c r="AQ103" i="28"/>
  <c r="P47" i="32" s="1"/>
  <c r="BG103" i="28"/>
  <c r="F46" i="50" s="1"/>
  <c r="BZ103" i="28"/>
  <c r="F47" i="48" s="1"/>
  <c r="EB103" i="28"/>
  <c r="F50" i="54" s="1"/>
  <c r="L103" i="28"/>
  <c r="AI103" i="28"/>
  <c r="G47" i="32" s="1"/>
  <c r="DY103" i="28"/>
  <c r="F48" i="54" s="1"/>
  <c r="R47" i="38"/>
  <c r="BB103" i="28"/>
  <c r="R47" i="32" s="1"/>
  <c r="G47" i="38"/>
  <c r="F47" i="38"/>
  <c r="AA47" i="32"/>
  <c r="H47" i="38"/>
  <c r="AH47" i="32"/>
  <c r="AI47" i="38"/>
  <c r="E63" i="42"/>
  <c r="F47" i="36"/>
  <c r="F45" i="48"/>
  <c r="E57" i="42"/>
  <c r="C47" i="32"/>
  <c r="C47" i="38"/>
  <c r="K47" i="38"/>
  <c r="J47" i="32"/>
  <c r="X47" i="32"/>
  <c r="L47" i="32"/>
  <c r="F45" i="43"/>
  <c r="F50" i="48"/>
  <c r="F50" i="43"/>
  <c r="AG47" i="32" l="1"/>
  <c r="AF47" i="69" s="1"/>
  <c r="F48" i="55"/>
  <c r="F45" i="55"/>
  <c r="F47" i="55"/>
  <c r="D47" i="38"/>
  <c r="D62" i="64"/>
  <c r="D47" i="69"/>
  <c r="D62" i="69"/>
  <c r="D47" i="64"/>
  <c r="X77" i="28"/>
  <c r="X76" i="28" s="1"/>
  <c r="X83" i="28"/>
  <c r="X99" i="28"/>
  <c r="AB77" i="28"/>
  <c r="AB76" i="28" s="1"/>
  <c r="AB83" i="28"/>
  <c r="AB99" i="28"/>
  <c r="E50" i="41"/>
  <c r="E51" i="72"/>
  <c r="E53" i="41"/>
  <c r="E50" i="72"/>
  <c r="E55" i="41"/>
  <c r="E61" i="41"/>
  <c r="E58" i="41"/>
  <c r="E59" i="41"/>
  <c r="E51" i="41"/>
  <c r="E53" i="72"/>
  <c r="E56" i="41"/>
  <c r="E60" i="41"/>
  <c r="E54" i="41"/>
  <c r="E54" i="72"/>
  <c r="E57" i="41"/>
  <c r="E48" i="41"/>
  <c r="E49" i="72"/>
  <c r="E52" i="41"/>
  <c r="T47" i="69"/>
  <c r="T47" i="64"/>
  <c r="T62" i="69"/>
  <c r="U47" i="64"/>
  <c r="AD47" i="64"/>
  <c r="AD47" i="69"/>
  <c r="AD62" i="64"/>
  <c r="P47" i="69"/>
  <c r="P62" i="64"/>
  <c r="U47" i="69"/>
  <c r="P62" i="69"/>
  <c r="S62" i="64"/>
  <c r="R47" i="69"/>
  <c r="R62" i="64"/>
  <c r="S62" i="69"/>
  <c r="S47" i="69"/>
  <c r="U62" i="69"/>
  <c r="R62" i="69"/>
  <c r="U62" i="64"/>
  <c r="I62" i="64"/>
  <c r="I47" i="69"/>
  <c r="I62" i="69"/>
  <c r="I47" i="64"/>
  <c r="O47" i="69"/>
  <c r="O47" i="64"/>
  <c r="O62" i="69"/>
  <c r="O62" i="64"/>
  <c r="AG47" i="69"/>
  <c r="AG47" i="64"/>
  <c r="AG62" i="69"/>
  <c r="AG62" i="64"/>
  <c r="C62" i="64"/>
  <c r="C62" i="69"/>
  <c r="C47" i="69"/>
  <c r="C47" i="64"/>
  <c r="F62" i="69"/>
  <c r="F47" i="69"/>
  <c r="F47" i="64"/>
  <c r="F62" i="64"/>
  <c r="K62" i="64"/>
  <c r="K62" i="69"/>
  <c r="K47" i="69"/>
  <c r="K47" i="64"/>
  <c r="Q62" i="64"/>
  <c r="Q47" i="64"/>
  <c r="Q62" i="69"/>
  <c r="Q47" i="69"/>
  <c r="W47" i="69"/>
  <c r="W62" i="64"/>
  <c r="W47" i="64"/>
  <c r="W62" i="69"/>
  <c r="Y47" i="64"/>
  <c r="Y47" i="69"/>
  <c r="Y62" i="64"/>
  <c r="Y62" i="69"/>
  <c r="X62" i="69"/>
  <c r="X47" i="64"/>
  <c r="X62" i="64"/>
  <c r="X47" i="69"/>
  <c r="Z47" i="64"/>
  <c r="Z47" i="69"/>
  <c r="Z62" i="69"/>
  <c r="Z62" i="64"/>
  <c r="O103" i="28"/>
  <c r="H47" i="32"/>
  <c r="F47" i="32"/>
  <c r="D47" i="43"/>
  <c r="C47" i="41"/>
  <c r="K47" i="32"/>
  <c r="AF47" i="64" l="1"/>
  <c r="AF62" i="64"/>
  <c r="AF62" i="69"/>
  <c r="E49" i="41"/>
  <c r="E52" i="72"/>
  <c r="E47" i="64"/>
  <c r="E62" i="69"/>
  <c r="E47" i="69"/>
  <c r="E62" i="64"/>
  <c r="G47" i="69"/>
  <c r="G47" i="64"/>
  <c r="G62" i="64"/>
  <c r="G62" i="69"/>
  <c r="J62" i="69"/>
  <c r="J47" i="69"/>
  <c r="J47" i="64"/>
  <c r="J62" i="64"/>
  <c r="C47" i="42"/>
  <c r="D47" i="51"/>
  <c r="D47" i="48"/>
  <c r="D47" i="47"/>
  <c r="EI38" i="24"/>
  <c r="DV38" i="24" s="1"/>
  <c r="EI39" i="24"/>
  <c r="EI40" i="24"/>
  <c r="DV40" i="24" s="1"/>
  <c r="EI41" i="24"/>
  <c r="DV41" i="24" s="1"/>
  <c r="EI42" i="24"/>
  <c r="DV42" i="24" s="1"/>
  <c r="EI43" i="24"/>
  <c r="DV43" i="24" s="1"/>
  <c r="EI44" i="24"/>
  <c r="DV44" i="24" s="1"/>
  <c r="EI45" i="24"/>
  <c r="DV45" i="24" s="1"/>
  <c r="EJ67" i="24"/>
  <c r="EK67" i="24"/>
  <c r="Y61" i="24" s="1"/>
  <c r="EL67" i="24"/>
  <c r="EM67" i="24"/>
  <c r="DV61" i="24" s="1"/>
  <c r="EN67" i="24"/>
  <c r="EO67" i="24"/>
  <c r="EP67" i="24"/>
  <c r="EQ67" i="24" s="1"/>
  <c r="ER67" i="24"/>
  <c r="EI86" i="24"/>
  <c r="DV86" i="24" s="1"/>
  <c r="EI87" i="24"/>
  <c r="DV87" i="24" s="1"/>
  <c r="EI88" i="24"/>
  <c r="DV88" i="24" s="1"/>
  <c r="EI89" i="24"/>
  <c r="DV89" i="24" s="1"/>
  <c r="EI90" i="24"/>
  <c r="DV90" i="24" s="1"/>
  <c r="EI91" i="24"/>
  <c r="DV91" i="24" s="1"/>
  <c r="EI92" i="24"/>
  <c r="DV92" i="24" s="1"/>
  <c r="EI93" i="24"/>
  <c r="DV93" i="24" s="1"/>
  <c r="EJ115" i="24"/>
  <c r="EK115" i="24"/>
  <c r="Y109" i="24" s="1"/>
  <c r="EL115" i="24"/>
  <c r="EM115" i="24"/>
  <c r="DV109" i="24" s="1"/>
  <c r="EN115" i="24"/>
  <c r="EO115" i="24"/>
  <c r="EP115" i="24"/>
  <c r="EQ115" i="24" s="1"/>
  <c r="ER115" i="24"/>
  <c r="ED39" i="24" l="1"/>
  <c r="DV39" i="24"/>
  <c r="DV115" i="24"/>
  <c r="DV121" i="24"/>
  <c r="DV124" i="24" s="1"/>
  <c r="DV112" i="24"/>
  <c r="DV73" i="24"/>
  <c r="DV76" i="24" s="1"/>
  <c r="DV64" i="24"/>
  <c r="DS91" i="24"/>
  <c r="Y91" i="24"/>
  <c r="DR109" i="24"/>
  <c r="DR112" i="24" s="1"/>
  <c r="DS109" i="24"/>
  <c r="DS89" i="24"/>
  <c r="Y89" i="24"/>
  <c r="DR61" i="24"/>
  <c r="DR64" i="24" s="1"/>
  <c r="DS61" i="24"/>
  <c r="DS41" i="24"/>
  <c r="Y41" i="24"/>
  <c r="DS90" i="24"/>
  <c r="Y90" i="24"/>
  <c r="DS88" i="24"/>
  <c r="Y88" i="24"/>
  <c r="DS40" i="24"/>
  <c r="Y40" i="24"/>
  <c r="Y121" i="24"/>
  <c r="Y124" i="24" s="1"/>
  <c r="Y112" i="24"/>
  <c r="Y73" i="24"/>
  <c r="Y76" i="24" s="1"/>
  <c r="Y64" i="24"/>
  <c r="DS39" i="24"/>
  <c r="Y39" i="24"/>
  <c r="DS42" i="24"/>
  <c r="Y42" i="24"/>
  <c r="DS87" i="24"/>
  <c r="Y87" i="24"/>
  <c r="DS86" i="24"/>
  <c r="Y86" i="24"/>
  <c r="DS38" i="24"/>
  <c r="Y38" i="24"/>
  <c r="DS43" i="24"/>
  <c r="Y43" i="24"/>
  <c r="DS93" i="24"/>
  <c r="Y93" i="24"/>
  <c r="DS45" i="24"/>
  <c r="Y45" i="24"/>
  <c r="DS92" i="24"/>
  <c r="Y92" i="24"/>
  <c r="DS44" i="24"/>
  <c r="Y44" i="24"/>
  <c r="Z41" i="24"/>
  <c r="Z89" i="24"/>
  <c r="Z88" i="24"/>
  <c r="Z40" i="24"/>
  <c r="Z109" i="24"/>
  <c r="Z87" i="24"/>
  <c r="Z61" i="24"/>
  <c r="Z39" i="24"/>
  <c r="Z43" i="24"/>
  <c r="Z86" i="24"/>
  <c r="Z38" i="24"/>
  <c r="Z91" i="24"/>
  <c r="Z90" i="24"/>
  <c r="Z42" i="24"/>
  <c r="Z93" i="24"/>
  <c r="Z45" i="24"/>
  <c r="Z92" i="24"/>
  <c r="Z44" i="24"/>
  <c r="AD44" i="24"/>
  <c r="AC44" i="24"/>
  <c r="AC89" i="24"/>
  <c r="AD89" i="24"/>
  <c r="AD41" i="24"/>
  <c r="AC41" i="24"/>
  <c r="AC92" i="24"/>
  <c r="AD92" i="24"/>
  <c r="AC88" i="24"/>
  <c r="AD88" i="24"/>
  <c r="AC40" i="24"/>
  <c r="AD40" i="24"/>
  <c r="AC109" i="24"/>
  <c r="AD109" i="24"/>
  <c r="AC87" i="24"/>
  <c r="AD87" i="24"/>
  <c r="AC61" i="24"/>
  <c r="AD61" i="24"/>
  <c r="AD39" i="24"/>
  <c r="AC39" i="24"/>
  <c r="AC86" i="24"/>
  <c r="AD86" i="24"/>
  <c r="AC38" i="24"/>
  <c r="AD38" i="24"/>
  <c r="AC90" i="24"/>
  <c r="AD90" i="24"/>
  <c r="AD42" i="24"/>
  <c r="AC42" i="24"/>
  <c r="AC93" i="24"/>
  <c r="AD93" i="24"/>
  <c r="AD45" i="24"/>
  <c r="AC45" i="24"/>
  <c r="AC91" i="24"/>
  <c r="AD91" i="24"/>
  <c r="AC43" i="24"/>
  <c r="AD43" i="24"/>
  <c r="I92" i="24"/>
  <c r="I44" i="24"/>
  <c r="I91" i="24"/>
  <c r="I43" i="24"/>
  <c r="I90" i="24"/>
  <c r="I42" i="24"/>
  <c r="I93" i="24"/>
  <c r="I45" i="24"/>
  <c r="I89" i="24"/>
  <c r="I41" i="24"/>
  <c r="I86" i="24"/>
  <c r="I38" i="24"/>
  <c r="I88" i="24"/>
  <c r="I40" i="24"/>
  <c r="I109" i="24"/>
  <c r="I112" i="24" s="1"/>
  <c r="I87" i="24"/>
  <c r="I61" i="24"/>
  <c r="I73" i="24" s="1"/>
  <c r="I76" i="24" s="1"/>
  <c r="I39" i="24"/>
  <c r="AA45" i="24"/>
  <c r="AA42" i="24"/>
  <c r="AA44" i="24"/>
  <c r="AA91" i="24"/>
  <c r="AA41" i="24"/>
  <c r="AA88" i="24"/>
  <c r="AA40" i="24"/>
  <c r="AA43" i="24"/>
  <c r="AA90" i="24"/>
  <c r="AA109" i="24"/>
  <c r="AA87" i="24"/>
  <c r="AA61" i="24"/>
  <c r="AA39" i="24"/>
  <c r="AA93" i="24"/>
  <c r="AA92" i="24"/>
  <c r="AA89" i="24"/>
  <c r="AA86" i="24"/>
  <c r="AA38" i="24"/>
  <c r="AE93" i="24"/>
  <c r="AE92" i="24"/>
  <c r="AE44" i="24"/>
  <c r="AE42" i="24"/>
  <c r="AE45" i="24"/>
  <c r="AE43" i="24"/>
  <c r="AE90" i="24"/>
  <c r="AE41" i="24"/>
  <c r="AE91" i="24"/>
  <c r="AE40" i="24"/>
  <c r="AE109" i="24"/>
  <c r="AE112" i="24" s="1"/>
  <c r="AE87" i="24"/>
  <c r="AE61" i="24"/>
  <c r="AE73" i="24" s="1"/>
  <c r="AE76" i="24" s="1"/>
  <c r="AE39" i="24"/>
  <c r="AE89" i="24"/>
  <c r="AE88" i="24"/>
  <c r="AE86" i="24"/>
  <c r="AE38" i="24"/>
  <c r="AF91" i="24"/>
  <c r="AF90" i="24"/>
  <c r="AF42" i="24"/>
  <c r="AF93" i="24"/>
  <c r="AF44" i="24"/>
  <c r="AF41" i="24"/>
  <c r="AF92" i="24"/>
  <c r="AF43" i="24"/>
  <c r="AF88" i="24"/>
  <c r="AF40" i="24"/>
  <c r="AF109" i="24"/>
  <c r="AF87" i="24"/>
  <c r="AF61" i="24"/>
  <c r="AF39" i="24"/>
  <c r="AF45" i="24"/>
  <c r="AF89" i="24"/>
  <c r="AF86" i="24"/>
  <c r="AF38" i="24"/>
  <c r="DE86" i="24"/>
  <c r="DF86" i="24"/>
  <c r="DH86" i="24"/>
  <c r="DI86" i="24"/>
  <c r="DJ86" i="24"/>
  <c r="DE38" i="24"/>
  <c r="DF38" i="24"/>
  <c r="DI38" i="24"/>
  <c r="DH38" i="24"/>
  <c r="DJ38" i="24"/>
  <c r="DE93" i="24"/>
  <c r="DF93" i="24"/>
  <c r="DJ93" i="24"/>
  <c r="DH93" i="24"/>
  <c r="DI93" i="24"/>
  <c r="DE45" i="24"/>
  <c r="DF45" i="24"/>
  <c r="DJ45" i="24"/>
  <c r="DH45" i="24"/>
  <c r="DI45" i="24"/>
  <c r="DE92" i="24"/>
  <c r="DF92" i="24"/>
  <c r="DI92" i="24"/>
  <c r="DH92" i="24"/>
  <c r="DJ92" i="24"/>
  <c r="DE44" i="24"/>
  <c r="DF44" i="24"/>
  <c r="DH44" i="24"/>
  <c r="DI44" i="24"/>
  <c r="DJ44" i="24"/>
  <c r="DE90" i="24"/>
  <c r="DF90" i="24"/>
  <c r="DJ90" i="24"/>
  <c r="DH90" i="24"/>
  <c r="DI90" i="24"/>
  <c r="DE42" i="24"/>
  <c r="DF42" i="24"/>
  <c r="DH42" i="24"/>
  <c r="DJ42" i="24"/>
  <c r="DI42" i="24"/>
  <c r="DF61" i="24"/>
  <c r="DJ61" i="24"/>
  <c r="DI61" i="24"/>
  <c r="DH61" i="24"/>
  <c r="DE39" i="24"/>
  <c r="DF39" i="24"/>
  <c r="DI39" i="24"/>
  <c r="DJ39" i="24"/>
  <c r="DH39" i="24"/>
  <c r="DE43" i="24"/>
  <c r="DF43" i="24"/>
  <c r="DI43" i="24"/>
  <c r="DJ43" i="24"/>
  <c r="DH43" i="24"/>
  <c r="DE41" i="24"/>
  <c r="DF41" i="24"/>
  <c r="DI41" i="24"/>
  <c r="DJ41" i="24"/>
  <c r="DH41" i="24"/>
  <c r="DF109" i="24"/>
  <c r="DJ109" i="24"/>
  <c r="DI109" i="24"/>
  <c r="DH109" i="24"/>
  <c r="DE87" i="24"/>
  <c r="DF87" i="24"/>
  <c r="DI87" i="24"/>
  <c r="DH87" i="24"/>
  <c r="DJ87" i="24"/>
  <c r="DE91" i="24"/>
  <c r="DF91" i="24"/>
  <c r="DI91" i="24"/>
  <c r="DJ91" i="24"/>
  <c r="DH91" i="24"/>
  <c r="DE89" i="24"/>
  <c r="DF89" i="24"/>
  <c r="DH89" i="24"/>
  <c r="DJ89" i="24"/>
  <c r="DI89" i="24"/>
  <c r="DE88" i="24"/>
  <c r="DF88" i="24"/>
  <c r="DH88" i="24"/>
  <c r="DI88" i="24"/>
  <c r="DJ88" i="24"/>
  <c r="DE40" i="24"/>
  <c r="DF40" i="24"/>
  <c r="DH40" i="24"/>
  <c r="DJ40" i="24"/>
  <c r="DI40" i="24"/>
  <c r="CI109" i="24"/>
  <c r="CJ109" i="24"/>
  <c r="CK109" i="24"/>
  <c r="CL109" i="24"/>
  <c r="CM109" i="24"/>
  <c r="CH87" i="24"/>
  <c r="CI87" i="24"/>
  <c r="CJ87" i="24"/>
  <c r="CK87" i="24"/>
  <c r="CL87" i="24"/>
  <c r="CM87" i="24"/>
  <c r="CI61" i="24"/>
  <c r="CJ61" i="24"/>
  <c r="CM61" i="24"/>
  <c r="CL61" i="24"/>
  <c r="CK61" i="24"/>
  <c r="CH39" i="24"/>
  <c r="CI39" i="24"/>
  <c r="CJ39" i="24"/>
  <c r="CM39" i="24"/>
  <c r="CL39" i="24"/>
  <c r="CK39" i="24"/>
  <c r="CH86" i="24"/>
  <c r="CI86" i="24"/>
  <c r="CJ86" i="24"/>
  <c r="CK86" i="24"/>
  <c r="CM86" i="24"/>
  <c r="CL86" i="24"/>
  <c r="DQ38" i="24"/>
  <c r="CH38" i="24"/>
  <c r="CI38" i="24"/>
  <c r="CJ38" i="24"/>
  <c r="CM38" i="24"/>
  <c r="CL38" i="24"/>
  <c r="CK38" i="24"/>
  <c r="CH44" i="24"/>
  <c r="CI44" i="24"/>
  <c r="CJ44" i="24"/>
  <c r="CK44" i="24"/>
  <c r="CM44" i="24"/>
  <c r="CL44" i="24"/>
  <c r="CH45" i="24"/>
  <c r="CI45" i="24"/>
  <c r="CJ45" i="24"/>
  <c r="CK45" i="24"/>
  <c r="CL45" i="24"/>
  <c r="CM45" i="24"/>
  <c r="CH43" i="24"/>
  <c r="CI43" i="24"/>
  <c r="CJ43" i="24"/>
  <c r="CM43" i="24"/>
  <c r="CL43" i="24"/>
  <c r="CK43" i="24"/>
  <c r="CH93" i="24"/>
  <c r="CI93" i="24"/>
  <c r="CJ93" i="24"/>
  <c r="CM93" i="24"/>
  <c r="CL93" i="24"/>
  <c r="CK93" i="24"/>
  <c r="CH92" i="24"/>
  <c r="CI92" i="24"/>
  <c r="CJ92" i="24"/>
  <c r="CM92" i="24"/>
  <c r="CK92" i="24"/>
  <c r="CL92" i="24"/>
  <c r="CH91" i="24"/>
  <c r="CI91" i="24"/>
  <c r="CJ91" i="24"/>
  <c r="CK91" i="24"/>
  <c r="CL91" i="24"/>
  <c r="CM91" i="24"/>
  <c r="CH90" i="24"/>
  <c r="CI90" i="24"/>
  <c r="CJ90" i="24"/>
  <c r="CM90" i="24"/>
  <c r="CK90" i="24"/>
  <c r="CL90" i="24"/>
  <c r="CH42" i="24"/>
  <c r="CI42" i="24"/>
  <c r="CJ42" i="24"/>
  <c r="CL42" i="24"/>
  <c r="CK42" i="24"/>
  <c r="CM42" i="24"/>
  <c r="CH41" i="24"/>
  <c r="CI41" i="24"/>
  <c r="CJ41" i="24"/>
  <c r="CL41" i="24"/>
  <c r="CK41" i="24"/>
  <c r="CM41" i="24"/>
  <c r="CX89" i="24"/>
  <c r="CH89" i="24"/>
  <c r="CI89" i="24"/>
  <c r="CJ89" i="24"/>
  <c r="CK89" i="24"/>
  <c r="CL89" i="24"/>
  <c r="CM89" i="24"/>
  <c r="CH88" i="24"/>
  <c r="CI88" i="24"/>
  <c r="CJ88" i="24"/>
  <c r="CL88" i="24"/>
  <c r="CM88" i="24"/>
  <c r="CK88" i="24"/>
  <c r="CH40" i="24"/>
  <c r="CI40" i="24"/>
  <c r="CJ40" i="24"/>
  <c r="CL40" i="24"/>
  <c r="CK40" i="24"/>
  <c r="CM40" i="24"/>
  <c r="CP89" i="24"/>
  <c r="CX90" i="24"/>
  <c r="CA93" i="24"/>
  <c r="DO92" i="24"/>
  <c r="CW38" i="24"/>
  <c r="BD87" i="24"/>
  <c r="CY45" i="24"/>
  <c r="CZ45" i="24"/>
  <c r="DA45" i="24"/>
  <c r="DB45" i="24"/>
  <c r="DD45" i="24"/>
  <c r="DC45" i="24"/>
  <c r="CT93" i="24"/>
  <c r="S89" i="24"/>
  <c r="CY89" i="24"/>
  <c r="CZ89" i="24"/>
  <c r="DA89" i="24"/>
  <c r="DB89" i="24"/>
  <c r="DC89" i="24"/>
  <c r="DD89" i="24"/>
  <c r="CY44" i="24"/>
  <c r="CZ44" i="24"/>
  <c r="DA44" i="24"/>
  <c r="DC44" i="24"/>
  <c r="DD44" i="24"/>
  <c r="DB44" i="24"/>
  <c r="CY43" i="24"/>
  <c r="CZ43" i="24"/>
  <c r="DA43" i="24"/>
  <c r="DB43" i="24"/>
  <c r="DD43" i="24"/>
  <c r="DC43" i="24"/>
  <c r="CY93" i="24"/>
  <c r="CZ93" i="24"/>
  <c r="DA93" i="24"/>
  <c r="DC93" i="24"/>
  <c r="DD93" i="24"/>
  <c r="DB93" i="24"/>
  <c r="CY92" i="24"/>
  <c r="CZ92" i="24"/>
  <c r="DA92" i="24"/>
  <c r="DB92" i="24"/>
  <c r="DC92" i="24"/>
  <c r="DD92" i="24"/>
  <c r="CY42" i="24"/>
  <c r="CZ42" i="24"/>
  <c r="DA42" i="24"/>
  <c r="DD42" i="24"/>
  <c r="DB42" i="24"/>
  <c r="DC42" i="24"/>
  <c r="CY88" i="24"/>
  <c r="CZ88" i="24"/>
  <c r="DA88" i="24"/>
  <c r="DB88" i="24"/>
  <c r="DD88" i="24"/>
  <c r="DC88" i="24"/>
  <c r="CY41" i="24"/>
  <c r="CZ41" i="24"/>
  <c r="DA41" i="24"/>
  <c r="DB41" i="24"/>
  <c r="DD41" i="24"/>
  <c r="DC41" i="24"/>
  <c r="CX92" i="24"/>
  <c r="CY87" i="24"/>
  <c r="CZ87" i="24"/>
  <c r="DA87" i="24"/>
  <c r="DC87" i="24"/>
  <c r="DB87" i="24"/>
  <c r="DD87" i="24"/>
  <c r="CY40" i="24"/>
  <c r="CZ40" i="24"/>
  <c r="DA40" i="24"/>
  <c r="DB40" i="24"/>
  <c r="DC40" i="24"/>
  <c r="DD40" i="24"/>
  <c r="CZ61" i="24"/>
  <c r="DA61" i="24"/>
  <c r="DD61" i="24"/>
  <c r="DC61" i="24"/>
  <c r="DB61" i="24"/>
  <c r="CY39" i="24"/>
  <c r="CZ39" i="24"/>
  <c r="DA39" i="24"/>
  <c r="DC39" i="24"/>
  <c r="DD39" i="24"/>
  <c r="DB39" i="24"/>
  <c r="CZ109" i="24"/>
  <c r="DA109" i="24"/>
  <c r="DC109" i="24"/>
  <c r="DB109" i="24"/>
  <c r="DD109" i="24"/>
  <c r="AQ91" i="24"/>
  <c r="CY91" i="24"/>
  <c r="CZ91" i="24"/>
  <c r="DA91" i="24"/>
  <c r="DC91" i="24"/>
  <c r="DD91" i="24"/>
  <c r="DB91" i="24"/>
  <c r="CO90" i="24"/>
  <c r="CY90" i="24"/>
  <c r="CZ90" i="24"/>
  <c r="DA90" i="24"/>
  <c r="DC90" i="24"/>
  <c r="DD90" i="24"/>
  <c r="DB90" i="24"/>
  <c r="BV86" i="24"/>
  <c r="CY86" i="24"/>
  <c r="CZ86" i="24"/>
  <c r="DA86" i="24"/>
  <c r="DD86" i="24"/>
  <c r="DB86" i="24"/>
  <c r="DC86" i="24"/>
  <c r="CY38" i="24"/>
  <c r="CZ38" i="24"/>
  <c r="DA38" i="24"/>
  <c r="DD38" i="24"/>
  <c r="DB38" i="24"/>
  <c r="DC38" i="24"/>
  <c r="D44" i="24"/>
  <c r="ED90" i="24"/>
  <c r="J92" i="24"/>
  <c r="DM91" i="24"/>
  <c r="EB90" i="24"/>
  <c r="CR90" i="24"/>
  <c r="AG90" i="24"/>
  <c r="DW86" i="24"/>
  <c r="G43" i="24"/>
  <c r="CT90" i="24"/>
  <c r="S44" i="24"/>
  <c r="EA90" i="24"/>
  <c r="CP90" i="24"/>
  <c r="O90" i="24"/>
  <c r="D88" i="24"/>
  <c r="CS86" i="24"/>
  <c r="H42" i="24"/>
  <c r="DP91" i="24"/>
  <c r="BY91" i="24"/>
  <c r="DX90" i="24"/>
  <c r="L89" i="24"/>
  <c r="DK88" i="24"/>
  <c r="J41" i="24"/>
  <c r="K90" i="24"/>
  <c r="AX90" i="24"/>
  <c r="M86" i="24"/>
  <c r="N109" i="24"/>
  <c r="N112" i="24" s="1"/>
  <c r="CB92" i="24"/>
  <c r="DU90" i="24"/>
  <c r="CD90" i="24"/>
  <c r="DY89" i="24"/>
  <c r="CT88" i="24"/>
  <c r="BE86" i="24"/>
  <c r="K61" i="24"/>
  <c r="K73" i="24" s="1"/>
  <c r="K76" i="24" s="1"/>
  <c r="K40" i="24"/>
  <c r="BF90" i="24"/>
  <c r="CN91" i="24"/>
  <c r="BC92" i="24"/>
  <c r="AI91" i="24"/>
  <c r="DR90" i="24"/>
  <c r="BW90" i="24"/>
  <c r="DR89" i="24"/>
  <c r="AQ88" i="24"/>
  <c r="W86" i="24"/>
  <c r="M39" i="24"/>
  <c r="L93" i="24"/>
  <c r="AV92" i="24"/>
  <c r="H91" i="24"/>
  <c r="DQ90" i="24"/>
  <c r="BN90" i="24"/>
  <c r="DO89" i="24"/>
  <c r="D87" i="24"/>
  <c r="V45" i="24"/>
  <c r="AO38" i="24"/>
  <c r="BP109" i="24"/>
  <c r="BP121" i="24" s="1"/>
  <c r="BP124" i="24" s="1"/>
  <c r="BM93" i="24"/>
  <c r="CR92" i="24"/>
  <c r="AP92" i="24"/>
  <c r="ED88" i="24"/>
  <c r="CQ88" i="24"/>
  <c r="O88" i="24"/>
  <c r="AI88" i="24"/>
  <c r="J109" i="24"/>
  <c r="J112" i="24" s="1"/>
  <c r="R93" i="24"/>
  <c r="CG92" i="24"/>
  <c r="AI92" i="24"/>
  <c r="EC88" i="24"/>
  <c r="CG88" i="24"/>
  <c r="S92" i="24"/>
  <c r="EA93" i="24"/>
  <c r="EB92" i="24"/>
  <c r="BU92" i="24"/>
  <c r="DL90" i="24"/>
  <c r="CA90" i="24"/>
  <c r="E90" i="24"/>
  <c r="CB89" i="24"/>
  <c r="DX88" i="24"/>
  <c r="BP88" i="24"/>
  <c r="DU44" i="24"/>
  <c r="BI40" i="24"/>
  <c r="DZ88" i="24"/>
  <c r="DY93" i="24"/>
  <c r="DX92" i="24"/>
  <c r="BO92" i="24"/>
  <c r="BJ89" i="24"/>
  <c r="DP88" i="24"/>
  <c r="BH88" i="24"/>
  <c r="CP44" i="24"/>
  <c r="BY88" i="24"/>
  <c r="DQ93" i="24"/>
  <c r="DU92" i="24"/>
  <c r="BJ92" i="24"/>
  <c r="CW90" i="24"/>
  <c r="BR90" i="24"/>
  <c r="EB89" i="24"/>
  <c r="AS89" i="24"/>
  <c r="DN88" i="24"/>
  <c r="AZ88" i="24"/>
  <c r="BM44" i="24"/>
  <c r="CX109" i="24"/>
  <c r="CX112" i="24" s="1"/>
  <c r="CQ93" i="24"/>
  <c r="BC93" i="24"/>
  <c r="DZ92" i="24"/>
  <c r="DN92" i="24"/>
  <c r="CQ92" i="24"/>
  <c r="BY92" i="24"/>
  <c r="BN92" i="24"/>
  <c r="BB92" i="24"/>
  <c r="AM92" i="24"/>
  <c r="Q92" i="24"/>
  <c r="AR90" i="24"/>
  <c r="CG89" i="24"/>
  <c r="K89" i="24"/>
  <c r="DU88" i="24"/>
  <c r="CX88" i="24"/>
  <c r="CF88" i="24"/>
  <c r="BN88" i="24"/>
  <c r="AX88" i="24"/>
  <c r="AG88" i="24"/>
  <c r="ED87" i="24"/>
  <c r="AV87" i="24"/>
  <c r="CE86" i="24"/>
  <c r="DP41" i="24"/>
  <c r="CO109" i="24"/>
  <c r="CO112" i="24" s="1"/>
  <c r="EC93" i="24"/>
  <c r="CP93" i="24"/>
  <c r="BB93" i="24"/>
  <c r="DY92" i="24"/>
  <c r="DL92" i="24"/>
  <c r="CP92" i="24"/>
  <c r="BX92" i="24"/>
  <c r="BL92" i="24"/>
  <c r="AZ92" i="24"/>
  <c r="AL92" i="24"/>
  <c r="P92" i="24"/>
  <c r="AO90" i="24"/>
  <c r="DT88" i="24"/>
  <c r="CV88" i="24"/>
  <c r="CD88" i="24"/>
  <c r="BL88" i="24"/>
  <c r="AV88" i="24"/>
  <c r="V88" i="24"/>
  <c r="DU87" i="24"/>
  <c r="AM87" i="24"/>
  <c r="BY109" i="24"/>
  <c r="BY112" i="24" s="1"/>
  <c r="CC93" i="24"/>
  <c r="AO93" i="24"/>
  <c r="DK92" i="24"/>
  <c r="CN92" i="24"/>
  <c r="BW92" i="24"/>
  <c r="BK92" i="24"/>
  <c r="AY92" i="24"/>
  <c r="AK92" i="24"/>
  <c r="M92" i="24"/>
  <c r="AJ90" i="24"/>
  <c r="BS89" i="24"/>
  <c r="DR88" i="24"/>
  <c r="CU88" i="24"/>
  <c r="CC88" i="24"/>
  <c r="BK88" i="24"/>
  <c r="AT88" i="24"/>
  <c r="U88" i="24"/>
  <c r="DL87" i="24"/>
  <c r="V87" i="24"/>
  <c r="BM86" i="24"/>
  <c r="CW40" i="24"/>
  <c r="K92" i="24"/>
  <c r="CR87" i="24"/>
  <c r="M87" i="24"/>
  <c r="BA109" i="24"/>
  <c r="BA121" i="24" s="1"/>
  <c r="BA124" i="24" s="1"/>
  <c r="BX93" i="24"/>
  <c r="DT92" i="24"/>
  <c r="CV92" i="24"/>
  <c r="CF92" i="24"/>
  <c r="BT92" i="24"/>
  <c r="BH92" i="24"/>
  <c r="AT92" i="24"/>
  <c r="AH92" i="24"/>
  <c r="H92" i="24"/>
  <c r="BI90" i="24"/>
  <c r="R90" i="24"/>
  <c r="BB89" i="24"/>
  <c r="EB88" i="24"/>
  <c r="DO88" i="24"/>
  <c r="CR88" i="24"/>
  <c r="BW88" i="24"/>
  <c r="BF88" i="24"/>
  <c r="AO88" i="24"/>
  <c r="M88" i="24"/>
  <c r="CD87" i="24"/>
  <c r="AN86" i="24"/>
  <c r="R40" i="24"/>
  <c r="AR109" i="24"/>
  <c r="AR112" i="24" s="1"/>
  <c r="DN93" i="24"/>
  <c r="BR93" i="24"/>
  <c r="ED92" i="24"/>
  <c r="DR92" i="24"/>
  <c r="CU92" i="24"/>
  <c r="CD92" i="24"/>
  <c r="BS92" i="24"/>
  <c r="BG92" i="24"/>
  <c r="AS92" i="24"/>
  <c r="V92" i="24"/>
  <c r="G92" i="24"/>
  <c r="BU88" i="24"/>
  <c r="BD88" i="24"/>
  <c r="AM88" i="24"/>
  <c r="L88" i="24"/>
  <c r="BU87" i="24"/>
  <c r="V109" i="24"/>
  <c r="V112" i="24" s="1"/>
  <c r="DM93" i="24"/>
  <c r="BN93" i="24"/>
  <c r="EC92" i="24"/>
  <c r="DP92" i="24"/>
  <c r="CT92" i="24"/>
  <c r="CC92" i="24"/>
  <c r="BP92" i="24"/>
  <c r="BD92" i="24"/>
  <c r="AQ92" i="24"/>
  <c r="U92" i="24"/>
  <c r="DN90" i="24"/>
  <c r="CF90" i="24"/>
  <c r="BA90" i="24"/>
  <c r="J90" i="24"/>
  <c r="CU89" i="24"/>
  <c r="AK89" i="24"/>
  <c r="DY88" i="24"/>
  <c r="DL88" i="24"/>
  <c r="CN88" i="24"/>
  <c r="BT88" i="24"/>
  <c r="BC88" i="24"/>
  <c r="AL88" i="24"/>
  <c r="E88" i="24"/>
  <c r="BL87" i="24"/>
  <c r="DM86" i="24"/>
  <c r="AP42" i="24"/>
  <c r="CB44" i="24"/>
  <c r="DY42" i="24"/>
  <c r="P42" i="24"/>
  <c r="DT42" i="24"/>
  <c r="CU42" i="24"/>
  <c r="CQ42" i="24"/>
  <c r="BY41" i="24"/>
  <c r="DZ39" i="24"/>
  <c r="DK43" i="24"/>
  <c r="BX42" i="24"/>
  <c r="BP41" i="24"/>
  <c r="CV39" i="24"/>
  <c r="BK43" i="24"/>
  <c r="BT42" i="24"/>
  <c r="AI41" i="24"/>
  <c r="BR39" i="24"/>
  <c r="DL44" i="24"/>
  <c r="U43" i="24"/>
  <c r="BG42" i="24"/>
  <c r="DR44" i="24"/>
  <c r="CO44" i="24"/>
  <c r="BJ44" i="24"/>
  <c r="N44" i="24"/>
  <c r="CT43" i="24"/>
  <c r="BF43" i="24"/>
  <c r="O43" i="24"/>
  <c r="DX42" i="24"/>
  <c r="CT42" i="24"/>
  <c r="BW42" i="24"/>
  <c r="BF42" i="24"/>
  <c r="AO42" i="24"/>
  <c r="O42" i="24"/>
  <c r="CV41" i="24"/>
  <c r="Q41" i="24"/>
  <c r="CV40" i="24"/>
  <c r="BH40" i="24"/>
  <c r="Q40" i="24"/>
  <c r="DU39" i="24"/>
  <c r="CR39" i="24"/>
  <c r="BJ39" i="24"/>
  <c r="DQ44" i="24"/>
  <c r="CD44" i="24"/>
  <c r="BE44" i="24"/>
  <c r="K44" i="24"/>
  <c r="CQ43" i="24"/>
  <c r="BC43" i="24"/>
  <c r="L43" i="24"/>
  <c r="DU42" i="24"/>
  <c r="CR42" i="24"/>
  <c r="BU42" i="24"/>
  <c r="BD42" i="24"/>
  <c r="AM42" i="24"/>
  <c r="M42" i="24"/>
  <c r="CN41" i="24"/>
  <c r="H41" i="24"/>
  <c r="CO40" i="24"/>
  <c r="BA40" i="24"/>
  <c r="J40" i="24"/>
  <c r="DR39" i="24"/>
  <c r="CP39" i="24"/>
  <c r="BI39" i="24"/>
  <c r="CF43" i="24"/>
  <c r="AX43" i="24"/>
  <c r="E43" i="24"/>
  <c r="BC42" i="24"/>
  <c r="AL42" i="24"/>
  <c r="L42" i="24"/>
  <c r="CN40" i="24"/>
  <c r="AZ40" i="24"/>
  <c r="H40" i="24"/>
  <c r="DQ39" i="24"/>
  <c r="CO39" i="24"/>
  <c r="BB39" i="24"/>
  <c r="BB44" i="24"/>
  <c r="ED44" i="24"/>
  <c r="CA44" i="24"/>
  <c r="AW44" i="24"/>
  <c r="EC43" i="24"/>
  <c r="CC43" i="24"/>
  <c r="AT43" i="24"/>
  <c r="DO42" i="24"/>
  <c r="CG42" i="24"/>
  <c r="BO42" i="24"/>
  <c r="AY42" i="24"/>
  <c r="AH42" i="24"/>
  <c r="G42" i="24"/>
  <c r="EA40" i="24"/>
  <c r="CA40" i="24"/>
  <c r="AR40" i="24"/>
  <c r="DP39" i="24"/>
  <c r="CD39" i="24"/>
  <c r="AZ39" i="24"/>
  <c r="CX44" i="24"/>
  <c r="EB44" i="24"/>
  <c r="CW44" i="24"/>
  <c r="BV44" i="24"/>
  <c r="AS44" i="24"/>
  <c r="DX43" i="24"/>
  <c r="BW43" i="24"/>
  <c r="AO43" i="24"/>
  <c r="ED42" i="24"/>
  <c r="DN42" i="24"/>
  <c r="CF42" i="24"/>
  <c r="BN42" i="24"/>
  <c r="AX42" i="24"/>
  <c r="AG42" i="24"/>
  <c r="E42" i="24"/>
  <c r="BH41" i="24"/>
  <c r="DZ40" i="24"/>
  <c r="BY40" i="24"/>
  <c r="AQ40" i="24"/>
  <c r="DL39" i="24"/>
  <c r="CB39" i="24"/>
  <c r="AK39" i="24"/>
  <c r="EA44" i="24"/>
  <c r="CS44" i="24"/>
  <c r="BU44" i="24"/>
  <c r="AN44" i="24"/>
  <c r="DT43" i="24"/>
  <c r="BT43" i="24"/>
  <c r="AL43" i="24"/>
  <c r="EC42" i="24"/>
  <c r="DL42" i="24"/>
  <c r="CD42" i="24"/>
  <c r="BL42" i="24"/>
  <c r="AV42" i="24"/>
  <c r="V42" i="24"/>
  <c r="AZ41" i="24"/>
  <c r="DQ40" i="24"/>
  <c r="BR40" i="24"/>
  <c r="AJ40" i="24"/>
  <c r="EB39" i="24"/>
  <c r="CX39" i="24"/>
  <c r="CA39" i="24"/>
  <c r="AI39" i="24"/>
  <c r="DW44" i="24"/>
  <c r="CR44" i="24"/>
  <c r="BS44" i="24"/>
  <c r="AK44" i="24"/>
  <c r="DN43" i="24"/>
  <c r="BN43" i="24"/>
  <c r="AG43" i="24"/>
  <c r="EB42" i="24"/>
  <c r="DK42" i="24"/>
  <c r="CC42" i="24"/>
  <c r="BK42" i="24"/>
  <c r="AT42" i="24"/>
  <c r="U42" i="24"/>
  <c r="DZ41" i="24"/>
  <c r="AQ41" i="24"/>
  <c r="DP40" i="24"/>
  <c r="BP40" i="24"/>
  <c r="AI40" i="24"/>
  <c r="EA39" i="24"/>
  <c r="CW39" i="24"/>
  <c r="BS39" i="24"/>
  <c r="CW109" i="24"/>
  <c r="CW121" i="24" s="1"/>
  <c r="CG109" i="24"/>
  <c r="BX109" i="24"/>
  <c r="BO109" i="24"/>
  <c r="AZ109" i="24"/>
  <c r="AQ109" i="24"/>
  <c r="S109" i="24"/>
  <c r="H109" i="24"/>
  <c r="DX93" i="24"/>
  <c r="DK93" i="24"/>
  <c r="CO93" i="24"/>
  <c r="BW93" i="24"/>
  <c r="BK93" i="24"/>
  <c r="BA93" i="24"/>
  <c r="AL93" i="24"/>
  <c r="P93" i="24"/>
  <c r="J91" i="24"/>
  <c r="R91" i="24"/>
  <c r="AJ91" i="24"/>
  <c r="AR91" i="24"/>
  <c r="BA91" i="24"/>
  <c r="BI91" i="24"/>
  <c r="BR91" i="24"/>
  <c r="CA91" i="24"/>
  <c r="CO91" i="24"/>
  <c r="CW91" i="24"/>
  <c r="DQ91" i="24"/>
  <c r="EA91" i="24"/>
  <c r="K91" i="24"/>
  <c r="S91" i="24"/>
  <c r="AK91" i="24"/>
  <c r="AS91" i="24"/>
  <c r="BB91" i="24"/>
  <c r="BJ91" i="24"/>
  <c r="BS91" i="24"/>
  <c r="CB91" i="24"/>
  <c r="CP91" i="24"/>
  <c r="CX91" i="24"/>
  <c r="DR91" i="24"/>
  <c r="EB91" i="24"/>
  <c r="L91" i="24"/>
  <c r="U91" i="24"/>
  <c r="AL91" i="24"/>
  <c r="AT91" i="24"/>
  <c r="BC91" i="24"/>
  <c r="BK91" i="24"/>
  <c r="BT91" i="24"/>
  <c r="CC91" i="24"/>
  <c r="CQ91" i="24"/>
  <c r="DK91" i="24"/>
  <c r="DT91" i="24"/>
  <c r="EC91" i="24"/>
  <c r="M91" i="24"/>
  <c r="V91" i="24"/>
  <c r="AM91" i="24"/>
  <c r="AV91" i="24"/>
  <c r="BD91" i="24"/>
  <c r="BL91" i="24"/>
  <c r="BU91" i="24"/>
  <c r="CD91" i="24"/>
  <c r="CR91" i="24"/>
  <c r="DL91" i="24"/>
  <c r="DU91" i="24"/>
  <c r="ED91" i="24"/>
  <c r="D91" i="24"/>
  <c r="N91" i="24"/>
  <c r="W91" i="24"/>
  <c r="AN91" i="24"/>
  <c r="AW91" i="24"/>
  <c r="BE91" i="24"/>
  <c r="BM91" i="24"/>
  <c r="BV91" i="24"/>
  <c r="CE91" i="24"/>
  <c r="CS91" i="24"/>
  <c r="E91" i="24"/>
  <c r="O91" i="24"/>
  <c r="AG91" i="24"/>
  <c r="AO91" i="24"/>
  <c r="AX91" i="24"/>
  <c r="BF91" i="24"/>
  <c r="BN91" i="24"/>
  <c r="BW91" i="24"/>
  <c r="CF91" i="24"/>
  <c r="CT91" i="24"/>
  <c r="DN91" i="24"/>
  <c r="DX91" i="24"/>
  <c r="G91" i="24"/>
  <c r="P91" i="24"/>
  <c r="AH91" i="24"/>
  <c r="AP91" i="24"/>
  <c r="AY91" i="24"/>
  <c r="BG91" i="24"/>
  <c r="BO91" i="24"/>
  <c r="BX91" i="24"/>
  <c r="CG91" i="24"/>
  <c r="CU91" i="24"/>
  <c r="DO91" i="24"/>
  <c r="DY91" i="24"/>
  <c r="BP91" i="24"/>
  <c r="CV109" i="24"/>
  <c r="CF109" i="24"/>
  <c r="BW109" i="24"/>
  <c r="BN109" i="24"/>
  <c r="AY109" i="24"/>
  <c r="AP109" i="24"/>
  <c r="R109" i="24"/>
  <c r="E109" i="24"/>
  <c r="DW93" i="24"/>
  <c r="CX93" i="24"/>
  <c r="CG93" i="24"/>
  <c r="BV93" i="24"/>
  <c r="BJ93" i="24"/>
  <c r="AY93" i="24"/>
  <c r="AK93" i="24"/>
  <c r="O93" i="24"/>
  <c r="DZ91" i="24"/>
  <c r="BH91" i="24"/>
  <c r="CU109" i="24"/>
  <c r="CE109" i="24"/>
  <c r="BV109" i="24"/>
  <c r="BM109" i="24"/>
  <c r="AX109" i="24"/>
  <c r="AN109" i="24"/>
  <c r="Q109" i="24"/>
  <c r="D109" i="24"/>
  <c r="DT93" i="24"/>
  <c r="CW93" i="24"/>
  <c r="CF93" i="24"/>
  <c r="BT93" i="24"/>
  <c r="BI93" i="24"/>
  <c r="AX93" i="24"/>
  <c r="AJ93" i="24"/>
  <c r="DW91" i="24"/>
  <c r="AZ91" i="24"/>
  <c r="DW109" i="24"/>
  <c r="CT109" i="24"/>
  <c r="CD109" i="24"/>
  <c r="BU109" i="24"/>
  <c r="BL109" i="24"/>
  <c r="AW109" i="24"/>
  <c r="AL109" i="24"/>
  <c r="AL121" i="24" s="1"/>
  <c r="O109" i="24"/>
  <c r="H93" i="24"/>
  <c r="Q93" i="24"/>
  <c r="AI93" i="24"/>
  <c r="AQ93" i="24"/>
  <c r="AZ93" i="24"/>
  <c r="BH93" i="24"/>
  <c r="BP93" i="24"/>
  <c r="BY93" i="24"/>
  <c r="CN93" i="24"/>
  <c r="CV93" i="24"/>
  <c r="DP93" i="24"/>
  <c r="DZ93" i="24"/>
  <c r="K93" i="24"/>
  <c r="M93" i="24"/>
  <c r="V93" i="24"/>
  <c r="AM93" i="24"/>
  <c r="AV93" i="24"/>
  <c r="BD93" i="24"/>
  <c r="BL93" i="24"/>
  <c r="BU93" i="24"/>
  <c r="CD93" i="24"/>
  <c r="CR93" i="24"/>
  <c r="DL93" i="24"/>
  <c r="DU93" i="24"/>
  <c r="ED93" i="24"/>
  <c r="D93" i="24"/>
  <c r="N93" i="24"/>
  <c r="W93" i="24"/>
  <c r="AN93" i="24"/>
  <c r="AW93" i="24"/>
  <c r="DR93" i="24"/>
  <c r="CU93" i="24"/>
  <c r="CE93" i="24"/>
  <c r="BS93" i="24"/>
  <c r="BG93" i="24"/>
  <c r="AT93" i="24"/>
  <c r="AH93" i="24"/>
  <c r="J93" i="24"/>
  <c r="DU109" i="24"/>
  <c r="CR109" i="24"/>
  <c r="CC109" i="24"/>
  <c r="BT109" i="24"/>
  <c r="BK109" i="24"/>
  <c r="AV109" i="24"/>
  <c r="AJ109" i="24"/>
  <c r="BF93" i="24"/>
  <c r="AS93" i="24"/>
  <c r="AG93" i="24"/>
  <c r="G93" i="24"/>
  <c r="G109" i="24"/>
  <c r="P109" i="24"/>
  <c r="L109" i="24"/>
  <c r="U109" i="24"/>
  <c r="DT109" i="24"/>
  <c r="CQ109" i="24"/>
  <c r="CB109" i="24"/>
  <c r="BS109" i="24"/>
  <c r="BJ109" i="24"/>
  <c r="AT109" i="24"/>
  <c r="AH109" i="24"/>
  <c r="M109" i="24"/>
  <c r="EB93" i="24"/>
  <c r="DO93" i="24"/>
  <c r="CS93" i="24"/>
  <c r="CB93" i="24"/>
  <c r="BO93" i="24"/>
  <c r="BE93" i="24"/>
  <c r="AR93" i="24"/>
  <c r="U93" i="24"/>
  <c r="E93" i="24"/>
  <c r="CV91" i="24"/>
  <c r="Q91" i="24"/>
  <c r="L86" i="24"/>
  <c r="U86" i="24"/>
  <c r="N86" i="24"/>
  <c r="AG86" i="24"/>
  <c r="AO86" i="24"/>
  <c r="AX86" i="24"/>
  <c r="BF86" i="24"/>
  <c r="BN86" i="24"/>
  <c r="BW86" i="24"/>
  <c r="CF86" i="24"/>
  <c r="CT86" i="24"/>
  <c r="DN86" i="24"/>
  <c r="DX86" i="24"/>
  <c r="D86" i="24"/>
  <c r="O86" i="24"/>
  <c r="AH86" i="24"/>
  <c r="AP86" i="24"/>
  <c r="AY86" i="24"/>
  <c r="BG86" i="24"/>
  <c r="BO86" i="24"/>
  <c r="BX86" i="24"/>
  <c r="CG86" i="24"/>
  <c r="CU86" i="24"/>
  <c r="DO86" i="24"/>
  <c r="DY86" i="24"/>
  <c r="E86" i="24"/>
  <c r="P86" i="24"/>
  <c r="AI86" i="24"/>
  <c r="AQ86" i="24"/>
  <c r="AZ86" i="24"/>
  <c r="BH86" i="24"/>
  <c r="BP86" i="24"/>
  <c r="BY86" i="24"/>
  <c r="CN86" i="24"/>
  <c r="CV86" i="24"/>
  <c r="DP86" i="24"/>
  <c r="DZ86" i="24"/>
  <c r="G86" i="24"/>
  <c r="Q86" i="24"/>
  <c r="AJ86" i="24"/>
  <c r="AR86" i="24"/>
  <c r="BA86" i="24"/>
  <c r="BI86" i="24"/>
  <c r="BR86" i="24"/>
  <c r="CA86" i="24"/>
  <c r="CO86" i="24"/>
  <c r="CW86" i="24"/>
  <c r="DQ86" i="24"/>
  <c r="EA86" i="24"/>
  <c r="H86" i="24"/>
  <c r="R86" i="24"/>
  <c r="AK86" i="24"/>
  <c r="AS86" i="24"/>
  <c r="BB86" i="24"/>
  <c r="BJ86" i="24"/>
  <c r="BS86" i="24"/>
  <c r="CB86" i="24"/>
  <c r="CP86" i="24"/>
  <c r="CX86" i="24"/>
  <c r="DR86" i="24"/>
  <c r="EB86" i="24"/>
  <c r="J86" i="24"/>
  <c r="S86" i="24"/>
  <c r="AL86" i="24"/>
  <c r="AT86" i="24"/>
  <c r="BC86" i="24"/>
  <c r="BK86" i="24"/>
  <c r="BT86" i="24"/>
  <c r="CC86" i="24"/>
  <c r="CQ86" i="24"/>
  <c r="DK86" i="24"/>
  <c r="DT86" i="24"/>
  <c r="EC86" i="24"/>
  <c r="K86" i="24"/>
  <c r="V86" i="24"/>
  <c r="AM86" i="24"/>
  <c r="AV86" i="24"/>
  <c r="BD86" i="24"/>
  <c r="BL86" i="24"/>
  <c r="BU86" i="24"/>
  <c r="CD86" i="24"/>
  <c r="CR86" i="24"/>
  <c r="DL86" i="24"/>
  <c r="DU86" i="24"/>
  <c r="ED86" i="24"/>
  <c r="AW86" i="24"/>
  <c r="CP109" i="24"/>
  <c r="CA109" i="24"/>
  <c r="BR109" i="24"/>
  <c r="BB109" i="24"/>
  <c r="AS109" i="24"/>
  <c r="W109" i="24"/>
  <c r="K109" i="24"/>
  <c r="AP93" i="24"/>
  <c r="S93" i="24"/>
  <c r="BF92" i="24"/>
  <c r="AX92" i="24"/>
  <c r="AO92" i="24"/>
  <c r="AG92" i="24"/>
  <c r="O92" i="24"/>
  <c r="E92" i="24"/>
  <c r="DZ90" i="24"/>
  <c r="DP90" i="24"/>
  <c r="CV90" i="24"/>
  <c r="CN90" i="24"/>
  <c r="BY90" i="24"/>
  <c r="BP90" i="24"/>
  <c r="BH90" i="24"/>
  <c r="AZ90" i="24"/>
  <c r="AQ90" i="24"/>
  <c r="AI90" i="24"/>
  <c r="Q90" i="24"/>
  <c r="H90" i="24"/>
  <c r="EA89" i="24"/>
  <c r="DQ89" i="24"/>
  <c r="CW89" i="24"/>
  <c r="CO89" i="24"/>
  <c r="CA89" i="24"/>
  <c r="BR89" i="24"/>
  <c r="BI89" i="24"/>
  <c r="BA89" i="24"/>
  <c r="AR89" i="24"/>
  <c r="AJ89" i="24"/>
  <c r="R89" i="24"/>
  <c r="J89" i="24"/>
  <c r="CP88" i="24"/>
  <c r="CB88" i="24"/>
  <c r="BS88" i="24"/>
  <c r="BJ88" i="24"/>
  <c r="BB88" i="24"/>
  <c r="AS88" i="24"/>
  <c r="AK88" i="24"/>
  <c r="S88" i="24"/>
  <c r="K88" i="24"/>
  <c r="EC87" i="24"/>
  <c r="DT87" i="24"/>
  <c r="DK87" i="24"/>
  <c r="CQ87" i="24"/>
  <c r="CC87" i="24"/>
  <c r="BT87" i="24"/>
  <c r="BK87" i="24"/>
  <c r="BC87" i="24"/>
  <c r="AT87" i="24"/>
  <c r="AL87" i="24"/>
  <c r="U87" i="24"/>
  <c r="L87" i="24"/>
  <c r="DW92" i="24"/>
  <c r="DM92" i="24"/>
  <c r="CS92" i="24"/>
  <c r="CE92" i="24"/>
  <c r="BV92" i="24"/>
  <c r="BM92" i="24"/>
  <c r="BE92" i="24"/>
  <c r="AW92" i="24"/>
  <c r="AN92" i="24"/>
  <c r="W92" i="24"/>
  <c r="N92" i="24"/>
  <c r="D92" i="24"/>
  <c r="DY90" i="24"/>
  <c r="DO90" i="24"/>
  <c r="CU90" i="24"/>
  <c r="CG90" i="24"/>
  <c r="BX90" i="24"/>
  <c r="BO90" i="24"/>
  <c r="BG90" i="24"/>
  <c r="AY90" i="24"/>
  <c r="AP90" i="24"/>
  <c r="AH90" i="24"/>
  <c r="P90" i="24"/>
  <c r="G90" i="24"/>
  <c r="DZ89" i="24"/>
  <c r="DP89" i="24"/>
  <c r="CV89" i="24"/>
  <c r="CN89" i="24"/>
  <c r="BY89" i="24"/>
  <c r="BP89" i="24"/>
  <c r="BH89" i="24"/>
  <c r="AZ89" i="24"/>
  <c r="AQ89" i="24"/>
  <c r="AI89" i="24"/>
  <c r="Q89" i="24"/>
  <c r="H89" i="24"/>
  <c r="EA88" i="24"/>
  <c r="DQ88" i="24"/>
  <c r="CW88" i="24"/>
  <c r="CO88" i="24"/>
  <c r="CA88" i="24"/>
  <c r="BR88" i="24"/>
  <c r="BI88" i="24"/>
  <c r="BA88" i="24"/>
  <c r="AR88" i="24"/>
  <c r="AJ88" i="24"/>
  <c r="R88" i="24"/>
  <c r="J88" i="24"/>
  <c r="EB87" i="24"/>
  <c r="DR87" i="24"/>
  <c r="CX87" i="24"/>
  <c r="CP87" i="24"/>
  <c r="CB87" i="24"/>
  <c r="BS87" i="24"/>
  <c r="BJ87" i="24"/>
  <c r="BB87" i="24"/>
  <c r="AS87" i="24"/>
  <c r="AK87" i="24"/>
  <c r="S87" i="24"/>
  <c r="K87" i="24"/>
  <c r="BX89" i="24"/>
  <c r="BO89" i="24"/>
  <c r="BG89" i="24"/>
  <c r="AY89" i="24"/>
  <c r="AP89" i="24"/>
  <c r="AH89" i="24"/>
  <c r="P89" i="24"/>
  <c r="G89" i="24"/>
  <c r="Q88" i="24"/>
  <c r="H88" i="24"/>
  <c r="EA87" i="24"/>
  <c r="DQ87" i="24"/>
  <c r="CW87" i="24"/>
  <c r="CO87" i="24"/>
  <c r="CA87" i="24"/>
  <c r="BR87" i="24"/>
  <c r="BI87" i="24"/>
  <c r="BA87" i="24"/>
  <c r="AR87" i="24"/>
  <c r="AJ87" i="24"/>
  <c r="R87" i="24"/>
  <c r="J87" i="24"/>
  <c r="L92" i="24"/>
  <c r="DW90" i="24"/>
  <c r="DM90" i="24"/>
  <c r="CS90" i="24"/>
  <c r="CE90" i="24"/>
  <c r="BV90" i="24"/>
  <c r="BM90" i="24"/>
  <c r="BE90" i="24"/>
  <c r="AW90" i="24"/>
  <c r="AN90" i="24"/>
  <c r="W90" i="24"/>
  <c r="N90" i="24"/>
  <c r="D90" i="24"/>
  <c r="DX89" i="24"/>
  <c r="DN89" i="24"/>
  <c r="CT89" i="24"/>
  <c r="CF89" i="24"/>
  <c r="BW89" i="24"/>
  <c r="BN89" i="24"/>
  <c r="BF89" i="24"/>
  <c r="AX89" i="24"/>
  <c r="AO89" i="24"/>
  <c r="AG89" i="24"/>
  <c r="O89" i="24"/>
  <c r="E89" i="24"/>
  <c r="BX88" i="24"/>
  <c r="BO88" i="24"/>
  <c r="BG88" i="24"/>
  <c r="AY88" i="24"/>
  <c r="AP88" i="24"/>
  <c r="AH88" i="24"/>
  <c r="P88" i="24"/>
  <c r="G88" i="24"/>
  <c r="DZ87" i="24"/>
  <c r="DP87" i="24"/>
  <c r="CV87" i="24"/>
  <c r="CN87" i="24"/>
  <c r="BY87" i="24"/>
  <c r="BP87" i="24"/>
  <c r="BH87" i="24"/>
  <c r="AZ87" i="24"/>
  <c r="AQ87" i="24"/>
  <c r="AI87" i="24"/>
  <c r="Q87" i="24"/>
  <c r="H87" i="24"/>
  <c r="BU90" i="24"/>
  <c r="BL90" i="24"/>
  <c r="BD90" i="24"/>
  <c r="AV90" i="24"/>
  <c r="AM90" i="24"/>
  <c r="V90" i="24"/>
  <c r="M90" i="24"/>
  <c r="DW89" i="24"/>
  <c r="DM89" i="24"/>
  <c r="CS89" i="24"/>
  <c r="CE89" i="24"/>
  <c r="BV89" i="24"/>
  <c r="BM89" i="24"/>
  <c r="BE89" i="24"/>
  <c r="AW89" i="24"/>
  <c r="AN89" i="24"/>
  <c r="W89" i="24"/>
  <c r="N89" i="24"/>
  <c r="D89" i="24"/>
  <c r="DY87" i="24"/>
  <c r="DO87" i="24"/>
  <c r="CU87" i="24"/>
  <c r="CG87" i="24"/>
  <c r="BX87" i="24"/>
  <c r="BO87" i="24"/>
  <c r="BG87" i="24"/>
  <c r="AY87" i="24"/>
  <c r="AP87" i="24"/>
  <c r="AH87" i="24"/>
  <c r="P87" i="24"/>
  <c r="G87" i="24"/>
  <c r="EA92" i="24"/>
  <c r="DQ92" i="24"/>
  <c r="CW92" i="24"/>
  <c r="CO92" i="24"/>
  <c r="CA92" i="24"/>
  <c r="BR92" i="24"/>
  <c r="BI92" i="24"/>
  <c r="BA92" i="24"/>
  <c r="AR92" i="24"/>
  <c r="AJ92" i="24"/>
  <c r="R92" i="24"/>
  <c r="EC90" i="24"/>
  <c r="DT90" i="24"/>
  <c r="DK90" i="24"/>
  <c r="CQ90" i="24"/>
  <c r="CC90" i="24"/>
  <c r="BT90" i="24"/>
  <c r="BK90" i="24"/>
  <c r="BC90" i="24"/>
  <c r="AT90" i="24"/>
  <c r="AL90" i="24"/>
  <c r="U90" i="24"/>
  <c r="L90" i="24"/>
  <c r="ED89" i="24"/>
  <c r="DU89" i="24"/>
  <c r="DL89" i="24"/>
  <c r="CR89" i="24"/>
  <c r="CD89" i="24"/>
  <c r="BU89" i="24"/>
  <c r="BL89" i="24"/>
  <c r="BD89" i="24"/>
  <c r="AV89" i="24"/>
  <c r="AM89" i="24"/>
  <c r="V89" i="24"/>
  <c r="M89" i="24"/>
  <c r="DW88" i="24"/>
  <c r="DM88" i="24"/>
  <c r="CS88" i="24"/>
  <c r="CE88" i="24"/>
  <c r="BV88" i="24"/>
  <c r="BM88" i="24"/>
  <c r="BE88" i="24"/>
  <c r="AW88" i="24"/>
  <c r="AN88" i="24"/>
  <c r="W88" i="24"/>
  <c r="N88" i="24"/>
  <c r="DX87" i="24"/>
  <c r="DN87" i="24"/>
  <c r="CT87" i="24"/>
  <c r="CF87" i="24"/>
  <c r="BW87" i="24"/>
  <c r="BN87" i="24"/>
  <c r="BF87" i="24"/>
  <c r="AX87" i="24"/>
  <c r="AO87" i="24"/>
  <c r="AG87" i="24"/>
  <c r="O87" i="24"/>
  <c r="E87" i="24"/>
  <c r="CB90" i="24"/>
  <c r="BS90" i="24"/>
  <c r="BJ90" i="24"/>
  <c r="BB90" i="24"/>
  <c r="AS90" i="24"/>
  <c r="AK90" i="24"/>
  <c r="S90" i="24"/>
  <c r="EC89" i="24"/>
  <c r="DT89" i="24"/>
  <c r="DK89" i="24"/>
  <c r="CQ89" i="24"/>
  <c r="CC89" i="24"/>
  <c r="BT89" i="24"/>
  <c r="BK89" i="24"/>
  <c r="BC89" i="24"/>
  <c r="AT89" i="24"/>
  <c r="AL89" i="24"/>
  <c r="U89" i="24"/>
  <c r="DW87" i="24"/>
  <c r="DM87" i="24"/>
  <c r="CS87" i="24"/>
  <c r="CE87" i="24"/>
  <c r="BV87" i="24"/>
  <c r="BM87" i="24"/>
  <c r="BE87" i="24"/>
  <c r="AW87" i="24"/>
  <c r="AN87" i="24"/>
  <c r="W87" i="24"/>
  <c r="N87" i="24"/>
  <c r="CU61" i="24"/>
  <c r="CE61" i="24"/>
  <c r="BV61" i="24"/>
  <c r="BM61" i="24"/>
  <c r="AX61" i="24"/>
  <c r="AN61" i="24"/>
  <c r="R61" i="24"/>
  <c r="J61" i="24"/>
  <c r="ED45" i="24"/>
  <c r="DQ45" i="24"/>
  <c r="CU45" i="24"/>
  <c r="CD45" i="24"/>
  <c r="BR45" i="24"/>
  <c r="BE45" i="24"/>
  <c r="AR45" i="24"/>
  <c r="R45" i="24"/>
  <c r="DW61" i="24"/>
  <c r="CT61" i="24"/>
  <c r="CD61" i="24"/>
  <c r="BU61" i="24"/>
  <c r="BL61" i="24"/>
  <c r="AW61" i="24"/>
  <c r="AL61" i="24"/>
  <c r="Q61" i="24"/>
  <c r="H61" i="24"/>
  <c r="EC45" i="24"/>
  <c r="DP45" i="24"/>
  <c r="CS45" i="24"/>
  <c r="CC45" i="24"/>
  <c r="BP45" i="24"/>
  <c r="BD45" i="24"/>
  <c r="AQ45" i="24"/>
  <c r="Q45" i="24"/>
  <c r="DU61" i="24"/>
  <c r="CR61" i="24"/>
  <c r="CC61" i="24"/>
  <c r="BT61" i="24"/>
  <c r="BK61" i="24"/>
  <c r="AV61" i="24"/>
  <c r="AJ61" i="24"/>
  <c r="P61" i="24"/>
  <c r="G61" i="24"/>
  <c r="EA45" i="24"/>
  <c r="DO45" i="24"/>
  <c r="CR45" i="24"/>
  <c r="CA45" i="24"/>
  <c r="BO45" i="24"/>
  <c r="BC45" i="24"/>
  <c r="AM45" i="24"/>
  <c r="M45" i="24"/>
  <c r="DT61" i="24"/>
  <c r="CQ61" i="24"/>
  <c r="CB61" i="24"/>
  <c r="BS61" i="24"/>
  <c r="BJ61" i="24"/>
  <c r="AT61" i="24"/>
  <c r="AH61" i="24"/>
  <c r="O61" i="24"/>
  <c r="E61" i="24"/>
  <c r="DZ45" i="24"/>
  <c r="DM45" i="24"/>
  <c r="CQ45" i="24"/>
  <c r="BY45" i="24"/>
  <c r="BM45" i="24"/>
  <c r="BA45" i="24"/>
  <c r="AL45" i="24"/>
  <c r="L45" i="24"/>
  <c r="CP61" i="24"/>
  <c r="CA61" i="24"/>
  <c r="BR61" i="24"/>
  <c r="BB61" i="24"/>
  <c r="AS61" i="24"/>
  <c r="W61" i="24"/>
  <c r="N61" i="24"/>
  <c r="D61" i="24"/>
  <c r="DY45" i="24"/>
  <c r="DL45" i="24"/>
  <c r="CO45" i="24"/>
  <c r="BX45" i="24"/>
  <c r="BL45" i="24"/>
  <c r="AZ45" i="24"/>
  <c r="AJ45" i="24"/>
  <c r="J45" i="24"/>
  <c r="CX61" i="24"/>
  <c r="CO61" i="24"/>
  <c r="BY61" i="24"/>
  <c r="BP61" i="24"/>
  <c r="BA61" i="24"/>
  <c r="AR61" i="24"/>
  <c r="V61" i="24"/>
  <c r="M61" i="24"/>
  <c r="EI51" i="24"/>
  <c r="DV51" i="24" s="1"/>
  <c r="DW45" i="24"/>
  <c r="DK45" i="24"/>
  <c r="CN45" i="24"/>
  <c r="BV45" i="24"/>
  <c r="BK45" i="24"/>
  <c r="AW45" i="24"/>
  <c r="AI45" i="24"/>
  <c r="H45" i="24"/>
  <c r="CW61" i="24"/>
  <c r="CG61" i="24"/>
  <c r="BX61" i="24"/>
  <c r="BO61" i="24"/>
  <c r="AZ61" i="24"/>
  <c r="AQ61" i="24"/>
  <c r="U61" i="24"/>
  <c r="L61" i="24"/>
  <c r="DU45" i="24"/>
  <c r="CW45" i="24"/>
  <c r="CG45" i="24"/>
  <c r="BU45" i="24"/>
  <c r="BI45" i="24"/>
  <c r="AV45" i="24"/>
  <c r="E44" i="24"/>
  <c r="O44" i="24"/>
  <c r="AG44" i="24"/>
  <c r="AO44" i="24"/>
  <c r="AX44" i="24"/>
  <c r="BF44" i="24"/>
  <c r="BN44" i="24"/>
  <c r="BW44" i="24"/>
  <c r="CF44" i="24"/>
  <c r="CT44" i="24"/>
  <c r="DN44" i="24"/>
  <c r="DX44" i="24"/>
  <c r="G44" i="24"/>
  <c r="P44" i="24"/>
  <c r="AH44" i="24"/>
  <c r="AP44" i="24"/>
  <c r="AY44" i="24"/>
  <c r="BG44" i="24"/>
  <c r="BO44" i="24"/>
  <c r="BX44" i="24"/>
  <c r="CG44" i="24"/>
  <c r="CU44" i="24"/>
  <c r="DO44" i="24"/>
  <c r="DY44" i="24"/>
  <c r="H44" i="24"/>
  <c r="Q44" i="24"/>
  <c r="AI44" i="24"/>
  <c r="AQ44" i="24"/>
  <c r="AZ44" i="24"/>
  <c r="BH44" i="24"/>
  <c r="BP44" i="24"/>
  <c r="BY44" i="24"/>
  <c r="CN44" i="24"/>
  <c r="CV44" i="24"/>
  <c r="DP44" i="24"/>
  <c r="DZ44" i="24"/>
  <c r="J44" i="24"/>
  <c r="R44" i="24"/>
  <c r="AJ44" i="24"/>
  <c r="AR44" i="24"/>
  <c r="BA44" i="24"/>
  <c r="BI44" i="24"/>
  <c r="BR44" i="24"/>
  <c r="L44" i="24"/>
  <c r="U44" i="24"/>
  <c r="AL44" i="24"/>
  <c r="AT44" i="24"/>
  <c r="BC44" i="24"/>
  <c r="BK44" i="24"/>
  <c r="BT44" i="24"/>
  <c r="CC44" i="24"/>
  <c r="CQ44" i="24"/>
  <c r="DK44" i="24"/>
  <c r="DT44" i="24"/>
  <c r="EC44" i="24"/>
  <c r="M44" i="24"/>
  <c r="V44" i="24"/>
  <c r="AM44" i="24"/>
  <c r="AV44" i="24"/>
  <c r="BD44" i="24"/>
  <c r="DM44" i="24"/>
  <c r="CE44" i="24"/>
  <c r="BL44" i="24"/>
  <c r="W44" i="24"/>
  <c r="CV61" i="24"/>
  <c r="CF61" i="24"/>
  <c r="BW61" i="24"/>
  <c r="BN61" i="24"/>
  <c r="AY61" i="24"/>
  <c r="AP61" i="24"/>
  <c r="S61" i="24"/>
  <c r="D45" i="24"/>
  <c r="N45" i="24"/>
  <c r="W45" i="24"/>
  <c r="AN45" i="24"/>
  <c r="E45" i="24"/>
  <c r="O45" i="24"/>
  <c r="AG45" i="24"/>
  <c r="AO45" i="24"/>
  <c r="AX45" i="24"/>
  <c r="BF45" i="24"/>
  <c r="BN45" i="24"/>
  <c r="BW45" i="24"/>
  <c r="CF45" i="24"/>
  <c r="CT45" i="24"/>
  <c r="DN45" i="24"/>
  <c r="DX45" i="24"/>
  <c r="G45" i="24"/>
  <c r="P45" i="24"/>
  <c r="AH45" i="24"/>
  <c r="AP45" i="24"/>
  <c r="AY45" i="24"/>
  <c r="BG45" i="24"/>
  <c r="K45" i="24"/>
  <c r="S45" i="24"/>
  <c r="AK45" i="24"/>
  <c r="AS45" i="24"/>
  <c r="BB45" i="24"/>
  <c r="BJ45" i="24"/>
  <c r="BS45" i="24"/>
  <c r="CB45" i="24"/>
  <c r="CP45" i="24"/>
  <c r="CX45" i="24"/>
  <c r="DR45" i="24"/>
  <c r="EB45" i="24"/>
  <c r="DT45" i="24"/>
  <c r="CV45" i="24"/>
  <c r="CE45" i="24"/>
  <c r="BT45" i="24"/>
  <c r="BH45" i="24"/>
  <c r="AT45" i="24"/>
  <c r="U45" i="24"/>
  <c r="DW43" i="24"/>
  <c r="DM43" i="24"/>
  <c r="CS43" i="24"/>
  <c r="CE43" i="24"/>
  <c r="BV43" i="24"/>
  <c r="BM43" i="24"/>
  <c r="BE43" i="24"/>
  <c r="AW43" i="24"/>
  <c r="AN43" i="24"/>
  <c r="W43" i="24"/>
  <c r="N43" i="24"/>
  <c r="D43" i="24"/>
  <c r="DY41" i="24"/>
  <c r="DO41" i="24"/>
  <c r="CU41" i="24"/>
  <c r="CG41" i="24"/>
  <c r="BX41" i="24"/>
  <c r="BO41" i="24"/>
  <c r="BG41" i="24"/>
  <c r="AY41" i="24"/>
  <c r="AP41" i="24"/>
  <c r="AH41" i="24"/>
  <c r="P41" i="24"/>
  <c r="G41" i="24"/>
  <c r="ED43" i="24"/>
  <c r="DU43" i="24"/>
  <c r="DL43" i="24"/>
  <c r="CR43" i="24"/>
  <c r="CD43" i="24"/>
  <c r="BU43" i="24"/>
  <c r="BL43" i="24"/>
  <c r="BD43" i="24"/>
  <c r="AV43" i="24"/>
  <c r="AM43" i="24"/>
  <c r="V43" i="24"/>
  <c r="M43" i="24"/>
  <c r="DW42" i="24"/>
  <c r="DM42" i="24"/>
  <c r="CS42" i="24"/>
  <c r="CE42" i="24"/>
  <c r="BV42" i="24"/>
  <c r="BM42" i="24"/>
  <c r="BE42" i="24"/>
  <c r="AW42" i="24"/>
  <c r="AN42" i="24"/>
  <c r="W42" i="24"/>
  <c r="N42" i="24"/>
  <c r="D42" i="24"/>
  <c r="DX41" i="24"/>
  <c r="DN41" i="24"/>
  <c r="CT41" i="24"/>
  <c r="CF41" i="24"/>
  <c r="BW41" i="24"/>
  <c r="BN41" i="24"/>
  <c r="BF41" i="24"/>
  <c r="AX41" i="24"/>
  <c r="AO41" i="24"/>
  <c r="AG41" i="24"/>
  <c r="O41" i="24"/>
  <c r="E41" i="24"/>
  <c r="DY40" i="24"/>
  <c r="DO40" i="24"/>
  <c r="CU40" i="24"/>
  <c r="CG40" i="24"/>
  <c r="BX40" i="24"/>
  <c r="BO40" i="24"/>
  <c r="BG40" i="24"/>
  <c r="AY40" i="24"/>
  <c r="AP40" i="24"/>
  <c r="AH40" i="24"/>
  <c r="P40" i="24"/>
  <c r="G40" i="24"/>
  <c r="CN39" i="24"/>
  <c r="BY39" i="24"/>
  <c r="BP39" i="24"/>
  <c r="BH39" i="24"/>
  <c r="AY39" i="24"/>
  <c r="V39" i="24"/>
  <c r="DW41" i="24"/>
  <c r="DM41" i="24"/>
  <c r="CS41" i="24"/>
  <c r="CE41" i="24"/>
  <c r="BV41" i="24"/>
  <c r="BM41" i="24"/>
  <c r="BE41" i="24"/>
  <c r="AW41" i="24"/>
  <c r="AN41" i="24"/>
  <c r="W41" i="24"/>
  <c r="N41" i="24"/>
  <c r="D41" i="24"/>
  <c r="DX40" i="24"/>
  <c r="DN40" i="24"/>
  <c r="CT40" i="24"/>
  <c r="CF40" i="24"/>
  <c r="BW40" i="24"/>
  <c r="BN40" i="24"/>
  <c r="BF40" i="24"/>
  <c r="AX40" i="24"/>
  <c r="AO40" i="24"/>
  <c r="AG40" i="24"/>
  <c r="O40" i="24"/>
  <c r="E40" i="24"/>
  <c r="DY39" i="24"/>
  <c r="DO39" i="24"/>
  <c r="CU39" i="24"/>
  <c r="CG39" i="24"/>
  <c r="BX39" i="24"/>
  <c r="BO39" i="24"/>
  <c r="BG39" i="24"/>
  <c r="AW39" i="24"/>
  <c r="Q39" i="24"/>
  <c r="EB43" i="24"/>
  <c r="DR43" i="24"/>
  <c r="CX43" i="24"/>
  <c r="CP43" i="24"/>
  <c r="CB43" i="24"/>
  <c r="BS43" i="24"/>
  <c r="BJ43" i="24"/>
  <c r="BB43" i="24"/>
  <c r="AS43" i="24"/>
  <c r="AK43" i="24"/>
  <c r="S43" i="24"/>
  <c r="K43" i="24"/>
  <c r="ED41" i="24"/>
  <c r="DU41" i="24"/>
  <c r="DL41" i="24"/>
  <c r="CR41" i="24"/>
  <c r="CD41" i="24"/>
  <c r="BU41" i="24"/>
  <c r="BL41" i="24"/>
  <c r="BD41" i="24"/>
  <c r="AV41" i="24"/>
  <c r="AM41" i="24"/>
  <c r="V41" i="24"/>
  <c r="M41" i="24"/>
  <c r="DW40" i="24"/>
  <c r="DM40" i="24"/>
  <c r="CS40" i="24"/>
  <c r="CE40" i="24"/>
  <c r="BV40" i="24"/>
  <c r="BM40" i="24"/>
  <c r="BE40" i="24"/>
  <c r="AW40" i="24"/>
  <c r="AN40" i="24"/>
  <c r="W40" i="24"/>
  <c r="N40" i="24"/>
  <c r="D40" i="24"/>
  <c r="DX39" i="24"/>
  <c r="DN39" i="24"/>
  <c r="CT39" i="24"/>
  <c r="CF39" i="24"/>
  <c r="BW39" i="24"/>
  <c r="BN39" i="24"/>
  <c r="BF39" i="24"/>
  <c r="AV39" i="24"/>
  <c r="EA43" i="24"/>
  <c r="DQ43" i="24"/>
  <c r="CW43" i="24"/>
  <c r="CO43" i="24"/>
  <c r="CA43" i="24"/>
  <c r="BR43" i="24"/>
  <c r="BI43" i="24"/>
  <c r="BA43" i="24"/>
  <c r="AR43" i="24"/>
  <c r="AJ43" i="24"/>
  <c r="R43" i="24"/>
  <c r="J43" i="24"/>
  <c r="DR42" i="24"/>
  <c r="CX42" i="24"/>
  <c r="CP42" i="24"/>
  <c r="CB42" i="24"/>
  <c r="BS42" i="24"/>
  <c r="BJ42" i="24"/>
  <c r="BB42" i="24"/>
  <c r="AS42" i="24"/>
  <c r="AK42" i="24"/>
  <c r="S42" i="24"/>
  <c r="K42" i="24"/>
  <c r="EC41" i="24"/>
  <c r="DT41" i="24"/>
  <c r="DK41" i="24"/>
  <c r="CQ41" i="24"/>
  <c r="CC41" i="24"/>
  <c r="BT41" i="24"/>
  <c r="BK41" i="24"/>
  <c r="BC41" i="24"/>
  <c r="AT41" i="24"/>
  <c r="AL41" i="24"/>
  <c r="U41" i="24"/>
  <c r="L41" i="24"/>
  <c r="ED40" i="24"/>
  <c r="DU40" i="24"/>
  <c r="DL40" i="24"/>
  <c r="CR40" i="24"/>
  <c r="CD40" i="24"/>
  <c r="BU40" i="24"/>
  <c r="BL40" i="24"/>
  <c r="BD40" i="24"/>
  <c r="AV40" i="24"/>
  <c r="AM40" i="24"/>
  <c r="V40" i="24"/>
  <c r="M40" i="24"/>
  <c r="J39" i="24"/>
  <c r="R39" i="24"/>
  <c r="AJ39" i="24"/>
  <c r="AR39" i="24"/>
  <c r="BA39" i="24"/>
  <c r="K39" i="24"/>
  <c r="S39" i="24"/>
  <c r="L39" i="24"/>
  <c r="U39" i="24"/>
  <c r="AL39" i="24"/>
  <c r="AT39" i="24"/>
  <c r="D39" i="24"/>
  <c r="N39" i="24"/>
  <c r="W39" i="24"/>
  <c r="AN39" i="24"/>
  <c r="E39" i="24"/>
  <c r="O39" i="24"/>
  <c r="AG39" i="24"/>
  <c r="AO39" i="24"/>
  <c r="AX39" i="24"/>
  <c r="G39" i="24"/>
  <c r="P39" i="24"/>
  <c r="AH39" i="24"/>
  <c r="AP39" i="24"/>
  <c r="DW39" i="24"/>
  <c r="DM39" i="24"/>
  <c r="CS39" i="24"/>
  <c r="CE39" i="24"/>
  <c r="BV39" i="24"/>
  <c r="BM39" i="24"/>
  <c r="BE39" i="24"/>
  <c r="AS39" i="24"/>
  <c r="H39" i="24"/>
  <c r="DZ43" i="24"/>
  <c r="DP43" i="24"/>
  <c r="CV43" i="24"/>
  <c r="CN43" i="24"/>
  <c r="BY43" i="24"/>
  <c r="BP43" i="24"/>
  <c r="BH43" i="24"/>
  <c r="AZ43" i="24"/>
  <c r="AQ43" i="24"/>
  <c r="AI43" i="24"/>
  <c r="Q43" i="24"/>
  <c r="H43" i="24"/>
  <c r="EA42" i="24"/>
  <c r="DQ42" i="24"/>
  <c r="CW42" i="24"/>
  <c r="CO42" i="24"/>
  <c r="CA42" i="24"/>
  <c r="BR42" i="24"/>
  <c r="BI42" i="24"/>
  <c r="BA42" i="24"/>
  <c r="AR42" i="24"/>
  <c r="AJ42" i="24"/>
  <c r="R42" i="24"/>
  <c r="J42" i="24"/>
  <c r="EB41" i="24"/>
  <c r="DR41" i="24"/>
  <c r="CX41" i="24"/>
  <c r="CP41" i="24"/>
  <c r="CB41" i="24"/>
  <c r="BS41" i="24"/>
  <c r="BJ41" i="24"/>
  <c r="BB41" i="24"/>
  <c r="AS41" i="24"/>
  <c r="AK41" i="24"/>
  <c r="S41" i="24"/>
  <c r="K41" i="24"/>
  <c r="EC40" i="24"/>
  <c r="DT40" i="24"/>
  <c r="DK40" i="24"/>
  <c r="CQ40" i="24"/>
  <c r="CC40" i="24"/>
  <c r="BT40" i="24"/>
  <c r="BK40" i="24"/>
  <c r="BC40" i="24"/>
  <c r="AT40" i="24"/>
  <c r="AL40" i="24"/>
  <c r="U40" i="24"/>
  <c r="L40" i="24"/>
  <c r="BU39" i="24"/>
  <c r="BL39" i="24"/>
  <c r="BD39" i="24"/>
  <c r="AQ39" i="24"/>
  <c r="K38" i="24"/>
  <c r="S38" i="24"/>
  <c r="AK38" i="24"/>
  <c r="AS38" i="24"/>
  <c r="BB38" i="24"/>
  <c r="BJ38" i="24"/>
  <c r="BS38" i="24"/>
  <c r="CB38" i="24"/>
  <c r="CP38" i="24"/>
  <c r="CX38" i="24"/>
  <c r="DR38" i="24"/>
  <c r="EB38" i="24"/>
  <c r="L38" i="24"/>
  <c r="U38" i="24"/>
  <c r="AL38" i="24"/>
  <c r="AT38" i="24"/>
  <c r="BC38" i="24"/>
  <c r="BK38" i="24"/>
  <c r="BT38" i="24"/>
  <c r="CC38" i="24"/>
  <c r="CQ38" i="24"/>
  <c r="DK38" i="24"/>
  <c r="DT38" i="24"/>
  <c r="EC38" i="24"/>
  <c r="M38" i="24"/>
  <c r="V38" i="24"/>
  <c r="AM38" i="24"/>
  <c r="AV38" i="24"/>
  <c r="BD38" i="24"/>
  <c r="BL38" i="24"/>
  <c r="BU38" i="24"/>
  <c r="CD38" i="24"/>
  <c r="CR38" i="24"/>
  <c r="DL38" i="24"/>
  <c r="DU38" i="24"/>
  <c r="ED38" i="24"/>
  <c r="D38" i="24"/>
  <c r="N38" i="24"/>
  <c r="W38" i="24"/>
  <c r="AN38" i="24"/>
  <c r="AW38" i="24"/>
  <c r="BE38" i="24"/>
  <c r="BM38" i="24"/>
  <c r="BV38" i="24"/>
  <c r="CE38" i="24"/>
  <c r="CS38" i="24"/>
  <c r="DM38" i="24"/>
  <c r="DW38" i="24"/>
  <c r="E38" i="24"/>
  <c r="O38" i="24"/>
  <c r="AG38" i="24"/>
  <c r="AX38" i="24"/>
  <c r="BF38" i="24"/>
  <c r="BN38" i="24"/>
  <c r="BW38" i="24"/>
  <c r="CF38" i="24"/>
  <c r="CT38" i="24"/>
  <c r="DN38" i="24"/>
  <c r="DX38" i="24"/>
  <c r="G38" i="24"/>
  <c r="P38" i="24"/>
  <c r="AH38" i="24"/>
  <c r="AP38" i="24"/>
  <c r="AY38" i="24"/>
  <c r="BG38" i="24"/>
  <c r="BO38" i="24"/>
  <c r="BX38" i="24"/>
  <c r="CG38" i="24"/>
  <c r="CU38" i="24"/>
  <c r="DO38" i="24"/>
  <c r="DY38" i="24"/>
  <c r="H38" i="24"/>
  <c r="Q38" i="24"/>
  <c r="AI38" i="24"/>
  <c r="AQ38" i="24"/>
  <c r="AZ38" i="24"/>
  <c r="BH38" i="24"/>
  <c r="BP38" i="24"/>
  <c r="BY38" i="24"/>
  <c r="CN38" i="24"/>
  <c r="CV38" i="24"/>
  <c r="DP38" i="24"/>
  <c r="DZ38" i="24"/>
  <c r="J38" i="24"/>
  <c r="R38" i="24"/>
  <c r="AJ38" i="24"/>
  <c r="AR38" i="24"/>
  <c r="BA38" i="24"/>
  <c r="BI38" i="24"/>
  <c r="BR38" i="24"/>
  <c r="CA38" i="24"/>
  <c r="CO38" i="24"/>
  <c r="DY43" i="24"/>
  <c r="DO43" i="24"/>
  <c r="CU43" i="24"/>
  <c r="CG43" i="24"/>
  <c r="BX43" i="24"/>
  <c r="BO43" i="24"/>
  <c r="BG43" i="24"/>
  <c r="AY43" i="24"/>
  <c r="AP43" i="24"/>
  <c r="AH43" i="24"/>
  <c r="P43" i="24"/>
  <c r="DZ42" i="24"/>
  <c r="DP42" i="24"/>
  <c r="CV42" i="24"/>
  <c r="CN42" i="24"/>
  <c r="BY42" i="24"/>
  <c r="BP42" i="24"/>
  <c r="BH42" i="24"/>
  <c r="AZ42" i="24"/>
  <c r="AQ42" i="24"/>
  <c r="AI42" i="24"/>
  <c r="Q42" i="24"/>
  <c r="EA41" i="24"/>
  <c r="DQ41" i="24"/>
  <c r="CW41" i="24"/>
  <c r="CO41" i="24"/>
  <c r="CA41" i="24"/>
  <c r="BR41" i="24"/>
  <c r="BI41" i="24"/>
  <c r="BA41" i="24"/>
  <c r="AR41" i="24"/>
  <c r="AJ41" i="24"/>
  <c r="R41" i="24"/>
  <c r="EB40" i="24"/>
  <c r="DR40" i="24"/>
  <c r="CX40" i="24"/>
  <c r="CP40" i="24"/>
  <c r="CB40" i="24"/>
  <c r="BS40" i="24"/>
  <c r="BJ40" i="24"/>
  <c r="BB40" i="24"/>
  <c r="AS40" i="24"/>
  <c r="AK40" i="24"/>
  <c r="S40" i="24"/>
  <c r="EC39" i="24"/>
  <c r="DT39" i="24"/>
  <c r="DK39" i="24"/>
  <c r="CQ39" i="24"/>
  <c r="CC39" i="24"/>
  <c r="BT39" i="24"/>
  <c r="BK39" i="24"/>
  <c r="BC39" i="24"/>
  <c r="AM39" i="24"/>
  <c r="EA38" i="24"/>
  <c r="DV67" i="24" l="1"/>
  <c r="DV70" i="24" s="1"/>
  <c r="Y115" i="24"/>
  <c r="Y118" i="24" s="1"/>
  <c r="DV127" i="24"/>
  <c r="DV130" i="24" s="1"/>
  <c r="DV142" i="24" s="1"/>
  <c r="DV113" i="28" s="1"/>
  <c r="DV118" i="24"/>
  <c r="DR73" i="24"/>
  <c r="DR76" i="24" s="1"/>
  <c r="DR121" i="24"/>
  <c r="DR124" i="24" s="1"/>
  <c r="DS115" i="24"/>
  <c r="DS112" i="24"/>
  <c r="DS121" i="24"/>
  <c r="DS124" i="24" s="1"/>
  <c r="DS73" i="24"/>
  <c r="DS76" i="24" s="1"/>
  <c r="DS64" i="24"/>
  <c r="DS51" i="24"/>
  <c r="DS67" i="24" s="1"/>
  <c r="Y51" i="24"/>
  <c r="Y67" i="24" s="1"/>
  <c r="Z73" i="24"/>
  <c r="Z76" i="24" s="1"/>
  <c r="Z64" i="24"/>
  <c r="Z51" i="24"/>
  <c r="Z67" i="24" s="1"/>
  <c r="Z115" i="24"/>
  <c r="Z121" i="24"/>
  <c r="Z124" i="24" s="1"/>
  <c r="Z112" i="24"/>
  <c r="AD115" i="24"/>
  <c r="AD112" i="24"/>
  <c r="AD121" i="24"/>
  <c r="AD124" i="24" s="1"/>
  <c r="AC115" i="24"/>
  <c r="AC112" i="24"/>
  <c r="AC121" i="24"/>
  <c r="AC124" i="24" s="1"/>
  <c r="AC51" i="24"/>
  <c r="AC67" i="24" s="1"/>
  <c r="AD51" i="24"/>
  <c r="AD67" i="24" s="1"/>
  <c r="AD64" i="24"/>
  <c r="AD73" i="24"/>
  <c r="AD76" i="24" s="1"/>
  <c r="AC64" i="24"/>
  <c r="AC73" i="24"/>
  <c r="AC76" i="24" s="1"/>
  <c r="I121" i="24"/>
  <c r="I124" i="24" s="1"/>
  <c r="I64" i="24"/>
  <c r="I115" i="24"/>
  <c r="I118" i="24" s="1"/>
  <c r="I51" i="24"/>
  <c r="I67" i="24" s="1"/>
  <c r="I70" i="24" s="1"/>
  <c r="AA64" i="24"/>
  <c r="AA73" i="24"/>
  <c r="AA76" i="24" s="1"/>
  <c r="AA112" i="24"/>
  <c r="AA121" i="24"/>
  <c r="AA124" i="24" s="1"/>
  <c r="AA51" i="24"/>
  <c r="AA67" i="24" s="1"/>
  <c r="AA115" i="24"/>
  <c r="AE115" i="24"/>
  <c r="AE118" i="24" s="1"/>
  <c r="AE121" i="24"/>
  <c r="AE124" i="24" s="1"/>
  <c r="AE64" i="24"/>
  <c r="AE51" i="24"/>
  <c r="AE67" i="24" s="1"/>
  <c r="AE70" i="24" s="1"/>
  <c r="AF112" i="24"/>
  <c r="AF121" i="24"/>
  <c r="AF124" i="24" s="1"/>
  <c r="AF51" i="24"/>
  <c r="AF67" i="24" s="1"/>
  <c r="AF115" i="24"/>
  <c r="AF73" i="24"/>
  <c r="AF76" i="24" s="1"/>
  <c r="AF64" i="24"/>
  <c r="T19" i="24"/>
  <c r="T115" i="24"/>
  <c r="DF121" i="24"/>
  <c r="DF124" i="24" s="1"/>
  <c r="DF112" i="24"/>
  <c r="DJ115" i="24"/>
  <c r="DH73" i="24"/>
  <c r="DH76" i="24" s="1"/>
  <c r="DH64" i="24"/>
  <c r="DI115" i="24"/>
  <c r="DH112" i="24"/>
  <c r="DH121" i="24"/>
  <c r="DH124" i="24" s="1"/>
  <c r="DI73" i="24"/>
  <c r="DI76" i="24" s="1"/>
  <c r="DI64" i="24"/>
  <c r="DH115" i="24"/>
  <c r="DI121" i="24"/>
  <c r="DI124" i="24" s="1"/>
  <c r="DI112" i="24"/>
  <c r="DJ64" i="24"/>
  <c r="DJ73" i="24"/>
  <c r="DJ76" i="24" s="1"/>
  <c r="DE51" i="24"/>
  <c r="DE67" i="24" s="1"/>
  <c r="DF51" i="24"/>
  <c r="DF67" i="24" s="1"/>
  <c r="DJ51" i="24"/>
  <c r="DJ67" i="24" s="1"/>
  <c r="DH51" i="24"/>
  <c r="DH67" i="24" s="1"/>
  <c r="DI51" i="24"/>
  <c r="DI67" i="24" s="1"/>
  <c r="CI115" i="24"/>
  <c r="CI118" i="24" s="1"/>
  <c r="DJ112" i="24"/>
  <c r="DJ121" i="24"/>
  <c r="DJ124" i="24" s="1"/>
  <c r="DF115" i="24"/>
  <c r="DF73" i="24"/>
  <c r="DF76" i="24" s="1"/>
  <c r="DF64" i="24"/>
  <c r="DE115" i="24"/>
  <c r="CK115" i="24"/>
  <c r="CJ73" i="24"/>
  <c r="CJ76" i="24" s="1"/>
  <c r="CJ64" i="24"/>
  <c r="CJ115" i="24"/>
  <c r="CI73" i="24"/>
  <c r="CI76" i="24" s="1"/>
  <c r="CI64" i="24"/>
  <c r="CH115" i="24"/>
  <c r="CM112" i="24"/>
  <c r="CM121" i="24"/>
  <c r="CM124" i="24" s="1"/>
  <c r="CL112" i="24"/>
  <c r="CL121" i="24"/>
  <c r="CL124" i="24" s="1"/>
  <c r="CK73" i="24"/>
  <c r="CK76" i="24" s="1"/>
  <c r="CK64" i="24"/>
  <c r="CK112" i="24"/>
  <c r="CK121" i="24"/>
  <c r="CK124" i="24" s="1"/>
  <c r="CH51" i="24"/>
  <c r="CH67" i="24" s="1"/>
  <c r="CI51" i="24"/>
  <c r="CI67" i="24" s="1"/>
  <c r="CJ51" i="24"/>
  <c r="CJ67" i="24" s="1"/>
  <c r="CK51" i="24"/>
  <c r="CK67" i="24" s="1"/>
  <c r="CM51" i="24"/>
  <c r="CM67" i="24" s="1"/>
  <c r="CL51" i="24"/>
  <c r="CL67" i="24" s="1"/>
  <c r="CL115" i="24"/>
  <c r="CL64" i="24"/>
  <c r="CL73" i="24"/>
  <c r="CL76" i="24" s="1"/>
  <c r="CJ121" i="24"/>
  <c r="CJ124" i="24" s="1"/>
  <c r="CJ112" i="24"/>
  <c r="CM115" i="24"/>
  <c r="CM73" i="24"/>
  <c r="CM76" i="24" s="1"/>
  <c r="CM64" i="24"/>
  <c r="CI121" i="24"/>
  <c r="CI124" i="24" s="1"/>
  <c r="CI112" i="24"/>
  <c r="CZ115" i="24"/>
  <c r="CZ118" i="24" s="1"/>
  <c r="DD115" i="24"/>
  <c r="DD73" i="24"/>
  <c r="DD76" i="24" s="1"/>
  <c r="DD64" i="24"/>
  <c r="DA115" i="24"/>
  <c r="DA64" i="24"/>
  <c r="CY115" i="24"/>
  <c r="DD121" i="24"/>
  <c r="DD124" i="24" s="1"/>
  <c r="DD112" i="24"/>
  <c r="DC115" i="24"/>
  <c r="DB112" i="24"/>
  <c r="DB121" i="24"/>
  <c r="DB124" i="24" s="1"/>
  <c r="DC112" i="24"/>
  <c r="DC121" i="24"/>
  <c r="DC124" i="24" s="1"/>
  <c r="CY51" i="24"/>
  <c r="CY67" i="24" s="1"/>
  <c r="CZ51" i="24"/>
  <c r="CZ67" i="24" s="1"/>
  <c r="DA51" i="24"/>
  <c r="DA67" i="24" s="1"/>
  <c r="DC51" i="24"/>
  <c r="DC67" i="24" s="1"/>
  <c r="DB51" i="24"/>
  <c r="DB67" i="24" s="1"/>
  <c r="DD51" i="24"/>
  <c r="DD67" i="24" s="1"/>
  <c r="DA112" i="24"/>
  <c r="DB73" i="24"/>
  <c r="DB76" i="24" s="1"/>
  <c r="DB64" i="24"/>
  <c r="CZ73" i="24"/>
  <c r="CZ76" i="24" s="1"/>
  <c r="CZ64" i="24"/>
  <c r="DB115" i="24"/>
  <c r="CZ121" i="24"/>
  <c r="CZ124" i="24" s="1"/>
  <c r="CZ112" i="24"/>
  <c r="DC73" i="24"/>
  <c r="DC76" i="24" s="1"/>
  <c r="DC64" i="24"/>
  <c r="N121" i="24"/>
  <c r="N124" i="24" s="1"/>
  <c r="BP112" i="24"/>
  <c r="K64" i="24"/>
  <c r="J121" i="24"/>
  <c r="J124" i="24" s="1"/>
  <c r="BE115" i="24"/>
  <c r="BE118" i="24" s="1"/>
  <c r="BV115" i="24"/>
  <c r="BV118" i="24" s="1"/>
  <c r="CO121" i="24"/>
  <c r="CO124" i="24" s="1"/>
  <c r="CX121" i="24"/>
  <c r="CX124" i="24" s="1"/>
  <c r="BA112" i="24"/>
  <c r="V121" i="24"/>
  <c r="V124" i="24" s="1"/>
  <c r="BY121" i="24"/>
  <c r="BY124" i="24" s="1"/>
  <c r="AR121" i="24"/>
  <c r="AR124" i="24" s="1"/>
  <c r="M115" i="24"/>
  <c r="M118" i="24" s="1"/>
  <c r="CE115" i="24"/>
  <c r="CE118" i="24" s="1"/>
  <c r="CS115" i="24"/>
  <c r="CS118" i="24" s="1"/>
  <c r="W115" i="24"/>
  <c r="W118" i="24" s="1"/>
  <c r="DM115" i="24"/>
  <c r="DM118" i="24" s="1"/>
  <c r="S73" i="24"/>
  <c r="S76" i="24" s="1"/>
  <c r="S64" i="24"/>
  <c r="AZ73" i="24"/>
  <c r="AZ76" i="24" s="1"/>
  <c r="AZ64" i="24"/>
  <c r="AR64" i="24"/>
  <c r="AR73" i="24"/>
  <c r="AR76" i="24" s="1"/>
  <c r="W73" i="24"/>
  <c r="W76" i="24" s="1"/>
  <c r="W64" i="24"/>
  <c r="AH64" i="24"/>
  <c r="AH73" i="24"/>
  <c r="AH76" i="24" s="1"/>
  <c r="P64" i="24"/>
  <c r="P73" i="24"/>
  <c r="P76" i="24" s="1"/>
  <c r="H64" i="24"/>
  <c r="H73" i="24"/>
  <c r="H76" i="24" s="1"/>
  <c r="DW64" i="24"/>
  <c r="DW73" i="24"/>
  <c r="DW76" i="24" s="1"/>
  <c r="CU73" i="24"/>
  <c r="CU76" i="24" s="1"/>
  <c r="CU64" i="24"/>
  <c r="BB112" i="24"/>
  <c r="BB121" i="24"/>
  <c r="BB124" i="24" s="1"/>
  <c r="CR115" i="24"/>
  <c r="K115" i="24"/>
  <c r="BC115" i="24"/>
  <c r="CP115" i="24"/>
  <c r="H115" i="24"/>
  <c r="BA115" i="24"/>
  <c r="CN115" i="24"/>
  <c r="E115" i="24"/>
  <c r="AY115" i="24"/>
  <c r="CF115" i="24"/>
  <c r="U115" i="24"/>
  <c r="BJ112" i="24"/>
  <c r="BJ121" i="24"/>
  <c r="BJ124" i="24" s="1"/>
  <c r="G112" i="24"/>
  <c r="G121" i="24"/>
  <c r="G124" i="24" s="1"/>
  <c r="BT112" i="24"/>
  <c r="BT121" i="24"/>
  <c r="BT124" i="24" s="1"/>
  <c r="CT121" i="24"/>
  <c r="CT124" i="24" s="1"/>
  <c r="CT112" i="24"/>
  <c r="BV112" i="24"/>
  <c r="BV121" i="24"/>
  <c r="BV124" i="24" s="1"/>
  <c r="AY112" i="24"/>
  <c r="AY121" i="24"/>
  <c r="AY124" i="24" s="1"/>
  <c r="H121" i="24"/>
  <c r="H124" i="24" s="1"/>
  <c r="H112" i="24"/>
  <c r="AP73" i="24"/>
  <c r="AP76" i="24" s="1"/>
  <c r="AP64" i="24"/>
  <c r="BO73" i="24"/>
  <c r="BO76" i="24" s="1"/>
  <c r="BO64" i="24"/>
  <c r="BA64" i="24"/>
  <c r="BA73" i="24"/>
  <c r="BA76" i="24" s="1"/>
  <c r="AS73" i="24"/>
  <c r="AS76" i="24" s="1"/>
  <c r="AS64" i="24"/>
  <c r="AT64" i="24"/>
  <c r="AT73" i="24"/>
  <c r="AT76" i="24" s="1"/>
  <c r="AJ64" i="24"/>
  <c r="AJ73" i="24"/>
  <c r="AJ76" i="24" s="1"/>
  <c r="Q64" i="24"/>
  <c r="Q73" i="24"/>
  <c r="Q76" i="24" s="1"/>
  <c r="J73" i="24"/>
  <c r="J76" i="24" s="1"/>
  <c r="J64" i="24"/>
  <c r="BR112" i="24"/>
  <c r="BR121" i="24"/>
  <c r="BR124" i="24" s="1"/>
  <c r="CD115" i="24"/>
  <c r="EC115" i="24"/>
  <c r="AT115" i="24"/>
  <c r="CB115" i="24"/>
  <c r="EA115" i="24"/>
  <c r="AR115" i="24"/>
  <c r="BY115" i="24"/>
  <c r="DY115" i="24"/>
  <c r="AP115" i="24"/>
  <c r="BW115" i="24"/>
  <c r="L115" i="24"/>
  <c r="BS112" i="24"/>
  <c r="BS121" i="24"/>
  <c r="BS124" i="24" s="1"/>
  <c r="CC112" i="24"/>
  <c r="CC121" i="24"/>
  <c r="CC124" i="24" s="1"/>
  <c r="DW121" i="24"/>
  <c r="DW124" i="24" s="1"/>
  <c r="DW112" i="24"/>
  <c r="CE112" i="24"/>
  <c r="CE121" i="24"/>
  <c r="CE124" i="24" s="1"/>
  <c r="BN112" i="24"/>
  <c r="BN121" i="24"/>
  <c r="BN124" i="24" s="1"/>
  <c r="S112" i="24"/>
  <c r="S121" i="24"/>
  <c r="S124" i="24" s="1"/>
  <c r="AY73" i="24"/>
  <c r="AY76" i="24" s="1"/>
  <c r="AY64" i="24"/>
  <c r="BX73" i="24"/>
  <c r="BX76" i="24" s="1"/>
  <c r="BX64" i="24"/>
  <c r="BP64" i="24"/>
  <c r="BP73" i="24"/>
  <c r="BP76" i="24" s="1"/>
  <c r="BB73" i="24"/>
  <c r="BB76" i="24" s="1"/>
  <c r="BB64" i="24"/>
  <c r="BJ64" i="24"/>
  <c r="BJ73" i="24"/>
  <c r="BJ76" i="24" s="1"/>
  <c r="AV64" i="24"/>
  <c r="AV73" i="24"/>
  <c r="AV76" i="24" s="1"/>
  <c r="AL64" i="24"/>
  <c r="AL73" i="24"/>
  <c r="AL76" i="24" s="1"/>
  <c r="R73" i="24"/>
  <c r="R76" i="24" s="1"/>
  <c r="R64" i="24"/>
  <c r="CA112" i="24"/>
  <c r="CA121" i="24"/>
  <c r="CA124" i="24" s="1"/>
  <c r="BU115" i="24"/>
  <c r="DT115" i="24"/>
  <c r="AL115" i="24"/>
  <c r="BS115" i="24"/>
  <c r="DQ115" i="24"/>
  <c r="AJ115" i="24"/>
  <c r="BP115" i="24"/>
  <c r="DO115" i="24"/>
  <c r="AH115" i="24"/>
  <c r="BN115" i="24"/>
  <c r="CB112" i="24"/>
  <c r="CB121" i="24"/>
  <c r="CB124" i="24" s="1"/>
  <c r="CR112" i="24"/>
  <c r="CR121" i="24"/>
  <c r="CR124" i="24" s="1"/>
  <c r="O112" i="24"/>
  <c r="O121" i="24"/>
  <c r="O124" i="24" s="1"/>
  <c r="CU112" i="24"/>
  <c r="CU121" i="24"/>
  <c r="CU124" i="24" s="1"/>
  <c r="BW112" i="24"/>
  <c r="BW121" i="24"/>
  <c r="BW124" i="24" s="1"/>
  <c r="AQ112" i="24"/>
  <c r="AQ121" i="24"/>
  <c r="AQ124" i="24" s="1"/>
  <c r="BN73" i="24"/>
  <c r="BN76" i="24" s="1"/>
  <c r="BN64" i="24"/>
  <c r="CG73" i="24"/>
  <c r="CG76" i="24" s="1"/>
  <c r="CG64" i="24"/>
  <c r="BY64" i="24"/>
  <c r="BY73" i="24"/>
  <c r="BY76" i="24" s="1"/>
  <c r="BR73" i="24"/>
  <c r="BR76" i="24" s="1"/>
  <c r="BR64" i="24"/>
  <c r="BS64" i="24"/>
  <c r="BS73" i="24"/>
  <c r="BS76" i="24" s="1"/>
  <c r="BK64" i="24"/>
  <c r="BK73" i="24"/>
  <c r="BK76" i="24" s="1"/>
  <c r="AW64" i="24"/>
  <c r="AW73" i="24"/>
  <c r="AW76" i="24" s="1"/>
  <c r="AN73" i="24"/>
  <c r="AN76" i="24" s="1"/>
  <c r="AN64" i="24"/>
  <c r="AN115" i="24"/>
  <c r="DW115" i="24"/>
  <c r="CP112" i="24"/>
  <c r="CP121" i="24"/>
  <c r="CP124" i="24" s="1"/>
  <c r="BL115" i="24"/>
  <c r="DK115" i="24"/>
  <c r="S115" i="24"/>
  <c r="BJ115" i="24"/>
  <c r="CW115" i="24"/>
  <c r="Q115" i="24"/>
  <c r="BH115" i="24"/>
  <c r="CU115" i="24"/>
  <c r="O115" i="24"/>
  <c r="BF115" i="24"/>
  <c r="CQ112" i="24"/>
  <c r="CQ121" i="24"/>
  <c r="CQ124" i="24" s="1"/>
  <c r="DU112" i="24"/>
  <c r="DU121" i="24"/>
  <c r="DU124" i="24" s="1"/>
  <c r="AL112" i="24"/>
  <c r="AL124" i="24"/>
  <c r="D112" i="24"/>
  <c r="D121" i="24"/>
  <c r="D124" i="24" s="1"/>
  <c r="CF112" i="24"/>
  <c r="CF121" i="24"/>
  <c r="CF124" i="24" s="1"/>
  <c r="AZ112" i="24"/>
  <c r="AZ121" i="24"/>
  <c r="AZ124" i="24" s="1"/>
  <c r="BW73" i="24"/>
  <c r="BW76" i="24" s="1"/>
  <c r="BW64" i="24"/>
  <c r="CW73" i="24"/>
  <c r="CW76" i="24" s="1"/>
  <c r="CW64" i="24"/>
  <c r="CO64" i="24"/>
  <c r="CO73" i="24"/>
  <c r="CO76" i="24" s="1"/>
  <c r="CA73" i="24"/>
  <c r="CA76" i="24" s="1"/>
  <c r="CA64" i="24"/>
  <c r="CB64" i="24"/>
  <c r="CB73" i="24"/>
  <c r="CB76" i="24" s="1"/>
  <c r="BT64" i="24"/>
  <c r="BT73" i="24"/>
  <c r="BT76" i="24" s="1"/>
  <c r="BL64" i="24"/>
  <c r="BL73" i="24"/>
  <c r="BL76" i="24" s="1"/>
  <c r="AX73" i="24"/>
  <c r="AX76" i="24" s="1"/>
  <c r="AX64" i="24"/>
  <c r="AW115" i="24"/>
  <c r="BD115" i="24"/>
  <c r="CQ115" i="24"/>
  <c r="J115" i="24"/>
  <c r="BB115" i="24"/>
  <c r="CO115" i="24"/>
  <c r="G115" i="24"/>
  <c r="AZ115" i="24"/>
  <c r="CG115" i="24"/>
  <c r="D115" i="24"/>
  <c r="AX115" i="24"/>
  <c r="DT112" i="24"/>
  <c r="DT121" i="24"/>
  <c r="DT124" i="24" s="1"/>
  <c r="AW112" i="24"/>
  <c r="AW121" i="24"/>
  <c r="AW124" i="24" s="1"/>
  <c r="Q112" i="24"/>
  <c r="Q121" i="24"/>
  <c r="Q124" i="24" s="1"/>
  <c r="CV112" i="24"/>
  <c r="CV121" i="24"/>
  <c r="CV124" i="24" s="1"/>
  <c r="BO112" i="24"/>
  <c r="BO121" i="24"/>
  <c r="BO124" i="24" s="1"/>
  <c r="CF73" i="24"/>
  <c r="CF76" i="24" s="1"/>
  <c r="CF64" i="24"/>
  <c r="L73" i="24"/>
  <c r="L76" i="24" s="1"/>
  <c r="L64" i="24"/>
  <c r="D51" i="24"/>
  <c r="D67" i="24" s="1"/>
  <c r="N51" i="24"/>
  <c r="N67" i="24" s="1"/>
  <c r="W51" i="24"/>
  <c r="W67" i="24" s="1"/>
  <c r="AN51" i="24"/>
  <c r="AN67" i="24" s="1"/>
  <c r="AW51" i="24"/>
  <c r="AW67" i="24" s="1"/>
  <c r="BE51" i="24"/>
  <c r="BE67" i="24" s="1"/>
  <c r="BM51" i="24"/>
  <c r="BM67" i="24" s="1"/>
  <c r="BV51" i="24"/>
  <c r="BV67" i="24" s="1"/>
  <c r="J51" i="24"/>
  <c r="J67" i="24" s="1"/>
  <c r="R51" i="24"/>
  <c r="R67" i="24" s="1"/>
  <c r="AJ51" i="24"/>
  <c r="AJ67" i="24" s="1"/>
  <c r="AR51" i="24"/>
  <c r="AR67" i="24" s="1"/>
  <c r="BA51" i="24"/>
  <c r="BA67" i="24" s="1"/>
  <c r="BI51" i="24"/>
  <c r="BI67" i="24" s="1"/>
  <c r="BR51" i="24"/>
  <c r="BR67" i="24" s="1"/>
  <c r="P51" i="24"/>
  <c r="P67" i="24" s="1"/>
  <c r="AK51" i="24"/>
  <c r="AK67" i="24" s="1"/>
  <c r="AV51" i="24"/>
  <c r="AV67" i="24" s="1"/>
  <c r="BG51" i="24"/>
  <c r="BG67" i="24" s="1"/>
  <c r="BS51" i="24"/>
  <c r="BS67" i="24" s="1"/>
  <c r="CC51" i="24"/>
  <c r="CC67" i="24" s="1"/>
  <c r="CQ51" i="24"/>
  <c r="CQ67" i="24" s="1"/>
  <c r="DK51" i="24"/>
  <c r="DK67" i="24" s="1"/>
  <c r="DT51" i="24"/>
  <c r="DT67" i="24" s="1"/>
  <c r="EC51" i="24"/>
  <c r="EC67" i="24" s="1"/>
  <c r="E51" i="24"/>
  <c r="E67" i="24" s="1"/>
  <c r="Q51" i="24"/>
  <c r="Q67" i="24" s="1"/>
  <c r="AL51" i="24"/>
  <c r="AL67" i="24" s="1"/>
  <c r="AX51" i="24"/>
  <c r="AX67" i="24" s="1"/>
  <c r="BH51" i="24"/>
  <c r="BH67" i="24" s="1"/>
  <c r="BT51" i="24"/>
  <c r="BT67" i="24" s="1"/>
  <c r="CD51" i="24"/>
  <c r="CD67" i="24" s="1"/>
  <c r="CR51" i="24"/>
  <c r="CR67" i="24" s="1"/>
  <c r="DL51" i="24"/>
  <c r="DL67" i="24" s="1"/>
  <c r="DU51" i="24"/>
  <c r="DU67" i="24" s="1"/>
  <c r="ED51" i="24"/>
  <c r="ED67" i="24" s="1"/>
  <c r="G51" i="24"/>
  <c r="G67" i="24" s="1"/>
  <c r="S51" i="24"/>
  <c r="S67" i="24" s="1"/>
  <c r="AM51" i="24"/>
  <c r="AM67" i="24" s="1"/>
  <c r="AY51" i="24"/>
  <c r="AY67" i="24" s="1"/>
  <c r="BJ51" i="24"/>
  <c r="BJ67" i="24" s="1"/>
  <c r="BU51" i="24"/>
  <c r="BU67" i="24" s="1"/>
  <c r="CE51" i="24"/>
  <c r="CE67" i="24" s="1"/>
  <c r="CS51" i="24"/>
  <c r="CS67" i="24" s="1"/>
  <c r="DM51" i="24"/>
  <c r="DM67" i="24" s="1"/>
  <c r="DW51" i="24"/>
  <c r="DW67" i="24" s="1"/>
  <c r="H51" i="24"/>
  <c r="H67" i="24" s="1"/>
  <c r="U51" i="24"/>
  <c r="U67" i="24" s="1"/>
  <c r="AO51" i="24"/>
  <c r="AO67" i="24" s="1"/>
  <c r="AZ51" i="24"/>
  <c r="AZ67" i="24" s="1"/>
  <c r="BK51" i="24"/>
  <c r="BK67" i="24" s="1"/>
  <c r="BW51" i="24"/>
  <c r="BW67" i="24" s="1"/>
  <c r="CF51" i="24"/>
  <c r="CF67" i="24" s="1"/>
  <c r="CT51" i="24"/>
  <c r="CT67" i="24" s="1"/>
  <c r="DN51" i="24"/>
  <c r="DN67" i="24" s="1"/>
  <c r="DX51" i="24"/>
  <c r="DX67" i="24" s="1"/>
  <c r="K51" i="24"/>
  <c r="K67" i="24" s="1"/>
  <c r="V51" i="24"/>
  <c r="V67" i="24" s="1"/>
  <c r="AP51" i="24"/>
  <c r="AP67" i="24" s="1"/>
  <c r="BB51" i="24"/>
  <c r="BB67" i="24" s="1"/>
  <c r="BL51" i="24"/>
  <c r="BL67" i="24" s="1"/>
  <c r="BX51" i="24"/>
  <c r="BX67" i="24" s="1"/>
  <c r="CG51" i="24"/>
  <c r="CG67" i="24" s="1"/>
  <c r="CU51" i="24"/>
  <c r="CU67" i="24" s="1"/>
  <c r="DO51" i="24"/>
  <c r="DO67" i="24" s="1"/>
  <c r="DY51" i="24"/>
  <c r="DY67" i="24" s="1"/>
  <c r="L51" i="24"/>
  <c r="L67" i="24" s="1"/>
  <c r="AG51" i="24"/>
  <c r="AG67" i="24" s="1"/>
  <c r="AQ51" i="24"/>
  <c r="AQ67" i="24" s="1"/>
  <c r="BC51" i="24"/>
  <c r="BC67" i="24" s="1"/>
  <c r="BN51" i="24"/>
  <c r="BN67" i="24" s="1"/>
  <c r="BY51" i="24"/>
  <c r="BY67" i="24" s="1"/>
  <c r="CN51" i="24"/>
  <c r="CN67" i="24" s="1"/>
  <c r="CV51" i="24"/>
  <c r="CV67" i="24" s="1"/>
  <c r="DP51" i="24"/>
  <c r="DP67" i="24" s="1"/>
  <c r="DZ51" i="24"/>
  <c r="DZ67" i="24" s="1"/>
  <c r="M51" i="24"/>
  <c r="M67" i="24" s="1"/>
  <c r="AH51" i="24"/>
  <c r="AH67" i="24" s="1"/>
  <c r="AS51" i="24"/>
  <c r="AS67" i="24" s="1"/>
  <c r="BD51" i="24"/>
  <c r="BD67" i="24" s="1"/>
  <c r="BO51" i="24"/>
  <c r="BO67" i="24" s="1"/>
  <c r="CA51" i="24"/>
  <c r="CA67" i="24" s="1"/>
  <c r="CO51" i="24"/>
  <c r="CO67" i="24" s="1"/>
  <c r="CW51" i="24"/>
  <c r="CW67" i="24" s="1"/>
  <c r="DQ51" i="24"/>
  <c r="DQ67" i="24" s="1"/>
  <c r="EA51" i="24"/>
  <c r="EA67" i="24" s="1"/>
  <c r="O51" i="24"/>
  <c r="O67" i="24" s="1"/>
  <c r="AI51" i="24"/>
  <c r="AI67" i="24" s="1"/>
  <c r="AT51" i="24"/>
  <c r="AT67" i="24" s="1"/>
  <c r="BF51" i="24"/>
  <c r="BF67" i="24" s="1"/>
  <c r="BP51" i="24"/>
  <c r="BP67" i="24" s="1"/>
  <c r="CB51" i="24"/>
  <c r="CB67" i="24" s="1"/>
  <c r="CP51" i="24"/>
  <c r="CP67" i="24" s="1"/>
  <c r="CX51" i="24"/>
  <c r="CX67" i="24" s="1"/>
  <c r="DR51" i="24"/>
  <c r="DR67" i="24" s="1"/>
  <c r="EB51" i="24"/>
  <c r="EB67" i="24" s="1"/>
  <c r="CX64" i="24"/>
  <c r="CX73" i="24"/>
  <c r="CX76" i="24" s="1"/>
  <c r="CP73" i="24"/>
  <c r="CP76" i="24" s="1"/>
  <c r="CP64" i="24"/>
  <c r="CQ64" i="24"/>
  <c r="CQ73" i="24"/>
  <c r="CQ76" i="24" s="1"/>
  <c r="CC64" i="24"/>
  <c r="CC73" i="24"/>
  <c r="CC76" i="24" s="1"/>
  <c r="BU64" i="24"/>
  <c r="BU73" i="24"/>
  <c r="BU76" i="24" s="1"/>
  <c r="BM73" i="24"/>
  <c r="BM76" i="24" s="1"/>
  <c r="BM64" i="24"/>
  <c r="K112" i="24"/>
  <c r="K121" i="24"/>
  <c r="K124" i="24" s="1"/>
  <c r="ED115" i="24"/>
  <c r="AV115" i="24"/>
  <c r="CC115" i="24"/>
  <c r="EB115" i="24"/>
  <c r="AS115" i="24"/>
  <c r="CA115" i="24"/>
  <c r="DZ115" i="24"/>
  <c r="AQ115" i="24"/>
  <c r="BX115" i="24"/>
  <c r="DX115" i="24"/>
  <c r="AO115" i="24"/>
  <c r="M112" i="24"/>
  <c r="M121" i="24"/>
  <c r="M124" i="24" s="1"/>
  <c r="U112" i="24"/>
  <c r="U121" i="24"/>
  <c r="U124" i="24" s="1"/>
  <c r="AJ112" i="24"/>
  <c r="AJ121" i="24"/>
  <c r="AJ124" i="24" s="1"/>
  <c r="BL112" i="24"/>
  <c r="BL121" i="24"/>
  <c r="BL124" i="24" s="1"/>
  <c r="AN112" i="24"/>
  <c r="AN121" i="24"/>
  <c r="E112" i="24"/>
  <c r="E121" i="24"/>
  <c r="E124" i="24" s="1"/>
  <c r="BX112" i="24"/>
  <c r="BX121" i="24"/>
  <c r="BX124" i="24" s="1"/>
  <c r="CV73" i="24"/>
  <c r="CV76" i="24" s="1"/>
  <c r="CV64" i="24"/>
  <c r="U73" i="24"/>
  <c r="U76" i="24" s="1"/>
  <c r="U64" i="24"/>
  <c r="M73" i="24"/>
  <c r="M76" i="24" s="1"/>
  <c r="M64" i="24"/>
  <c r="D73" i="24"/>
  <c r="D76" i="24" s="1"/>
  <c r="D64" i="24"/>
  <c r="E64" i="24"/>
  <c r="E73" i="24"/>
  <c r="E76" i="24" s="1"/>
  <c r="DT64" i="24"/>
  <c r="DT73" i="24"/>
  <c r="DT76" i="24" s="1"/>
  <c r="CR64" i="24"/>
  <c r="CR73" i="24"/>
  <c r="CR76" i="24" s="1"/>
  <c r="CD64" i="24"/>
  <c r="CD73" i="24"/>
  <c r="CD76" i="24" s="1"/>
  <c r="BV73" i="24"/>
  <c r="BV76" i="24" s="1"/>
  <c r="BV64" i="24"/>
  <c r="BM115" i="24"/>
  <c r="W112" i="24"/>
  <c r="W121" i="24"/>
  <c r="DU115" i="24"/>
  <c r="AM115" i="24"/>
  <c r="BT115" i="24"/>
  <c r="DR115" i="24"/>
  <c r="AK115" i="24"/>
  <c r="BR115" i="24"/>
  <c r="DP115" i="24"/>
  <c r="AI115" i="24"/>
  <c r="BO115" i="24"/>
  <c r="DN115" i="24"/>
  <c r="AG115" i="24"/>
  <c r="AH112" i="24"/>
  <c r="AH121" i="24"/>
  <c r="AH124" i="24" s="1"/>
  <c r="L112" i="24"/>
  <c r="L121" i="24"/>
  <c r="L124" i="24" s="1"/>
  <c r="AV112" i="24"/>
  <c r="AV121" i="24"/>
  <c r="AV124" i="24" s="1"/>
  <c r="BU112" i="24"/>
  <c r="BU121" i="24"/>
  <c r="BU124" i="24" s="1"/>
  <c r="AX112" i="24"/>
  <c r="AX121" i="24"/>
  <c r="AX124" i="24" s="1"/>
  <c r="R112" i="24"/>
  <c r="R121" i="24"/>
  <c r="R124" i="24" s="1"/>
  <c r="CG112" i="24"/>
  <c r="CG121" i="24"/>
  <c r="CG124" i="24" s="1"/>
  <c r="AQ73" i="24"/>
  <c r="AQ76" i="24" s="1"/>
  <c r="AQ64" i="24"/>
  <c r="V73" i="24"/>
  <c r="V76" i="24" s="1"/>
  <c r="V64" i="24"/>
  <c r="N73" i="24"/>
  <c r="N76" i="24" s="1"/>
  <c r="N64" i="24"/>
  <c r="O64" i="24"/>
  <c r="O73" i="24"/>
  <c r="O76" i="24" s="1"/>
  <c r="G64" i="24"/>
  <c r="G73" i="24"/>
  <c r="G76" i="24" s="1"/>
  <c r="DU64" i="24"/>
  <c r="DU73" i="24"/>
  <c r="DU76" i="24" s="1"/>
  <c r="CT64" i="24"/>
  <c r="CT73" i="24"/>
  <c r="CT76" i="24" s="1"/>
  <c r="CE73" i="24"/>
  <c r="CE76" i="24" s="1"/>
  <c r="CE64" i="24"/>
  <c r="AS112" i="24"/>
  <c r="AS121" i="24"/>
  <c r="AS124" i="24" s="1"/>
  <c r="DL115" i="24"/>
  <c r="V115" i="24"/>
  <c r="BK115" i="24"/>
  <c r="CX115" i="24"/>
  <c r="R115" i="24"/>
  <c r="BI115" i="24"/>
  <c r="CV115" i="24"/>
  <c r="P115" i="24"/>
  <c r="BG115" i="24"/>
  <c r="CT115" i="24"/>
  <c r="N115" i="24"/>
  <c r="AT112" i="24"/>
  <c r="AT121" i="24"/>
  <c r="AT124" i="24" s="1"/>
  <c r="P112" i="24"/>
  <c r="P121" i="24"/>
  <c r="P124" i="24" s="1"/>
  <c r="BK112" i="24"/>
  <c r="BK121" i="24"/>
  <c r="BK124" i="24" s="1"/>
  <c r="CD112" i="24"/>
  <c r="CD121" i="24"/>
  <c r="CD124" i="24" s="1"/>
  <c r="BM112" i="24"/>
  <c r="BM121" i="24"/>
  <c r="BM124" i="24" s="1"/>
  <c r="AP112" i="24"/>
  <c r="AP121" i="24"/>
  <c r="AP124" i="24" s="1"/>
  <c r="CW112" i="24"/>
  <c r="CW124" i="24"/>
  <c r="Y127" i="24" l="1"/>
  <c r="Y130" i="24" s="1"/>
  <c r="Y142" i="24" s="1"/>
  <c r="Y113" i="28" s="1"/>
  <c r="DV79" i="24"/>
  <c r="DV82" i="24" s="1"/>
  <c r="DV140" i="24" s="1"/>
  <c r="DV91" i="28" s="1"/>
  <c r="DV84" i="28" s="1"/>
  <c r="DV106" i="28"/>
  <c r="DV112" i="28"/>
  <c r="Y70" i="24"/>
  <c r="Y79" i="24"/>
  <c r="Y82" i="24" s="1"/>
  <c r="Y140" i="24" s="1"/>
  <c r="Y91" i="28" s="1"/>
  <c r="DS79" i="24"/>
  <c r="DS82" i="24" s="1"/>
  <c r="DS140" i="24" s="1"/>
  <c r="DS91" i="28" s="1"/>
  <c r="DS70" i="24"/>
  <c r="Y106" i="28"/>
  <c r="DS127" i="24"/>
  <c r="DS130" i="24" s="1"/>
  <c r="DS142" i="24" s="1"/>
  <c r="DS113" i="28" s="1"/>
  <c r="DS118" i="24"/>
  <c r="Z79" i="24"/>
  <c r="Z82" i="24" s="1"/>
  <c r="Z140" i="24" s="1"/>
  <c r="Z91" i="28" s="1"/>
  <c r="Z70" i="24"/>
  <c r="Z118" i="24"/>
  <c r="Z127" i="24"/>
  <c r="Z130" i="24" s="1"/>
  <c r="Z142" i="24" s="1"/>
  <c r="Z113" i="28" s="1"/>
  <c r="AC79" i="24"/>
  <c r="AC82" i="24" s="1"/>
  <c r="AC140" i="24" s="1"/>
  <c r="AC91" i="28" s="1"/>
  <c r="AC70" i="24"/>
  <c r="AC127" i="24"/>
  <c r="AC130" i="24" s="1"/>
  <c r="AC142" i="24" s="1"/>
  <c r="AC113" i="28" s="1"/>
  <c r="AC118" i="24"/>
  <c r="I79" i="24"/>
  <c r="I82" i="24" s="1"/>
  <c r="I140" i="24" s="1"/>
  <c r="I91" i="28" s="1"/>
  <c r="AD70" i="24"/>
  <c r="AD79" i="24"/>
  <c r="AD82" i="24" s="1"/>
  <c r="AD140" i="24" s="1"/>
  <c r="AD91" i="28" s="1"/>
  <c r="AD118" i="24"/>
  <c r="AD127" i="24"/>
  <c r="AD130" i="24" s="1"/>
  <c r="AD142" i="24" s="1"/>
  <c r="AD113" i="28" s="1"/>
  <c r="I127" i="24"/>
  <c r="I130" i="24" s="1"/>
  <c r="I142" i="24" s="1"/>
  <c r="I113" i="28" s="1"/>
  <c r="AA79" i="24"/>
  <c r="AA82" i="24" s="1"/>
  <c r="AA140" i="24" s="1"/>
  <c r="AA91" i="28" s="1"/>
  <c r="AA84" i="28" s="1"/>
  <c r="AA77" i="28" s="1"/>
  <c r="AA70" i="24"/>
  <c r="AA118" i="24"/>
  <c r="AA127" i="24"/>
  <c r="AA130" i="24" s="1"/>
  <c r="AA142" i="24" s="1"/>
  <c r="AA113" i="28" s="1"/>
  <c r="AA106" i="28" s="1"/>
  <c r="AA99" i="28" s="1"/>
  <c r="AE127" i="24"/>
  <c r="AE130" i="24" s="1"/>
  <c r="AE142" i="24" s="1"/>
  <c r="AE79" i="24"/>
  <c r="AE82" i="24" s="1"/>
  <c r="AE140" i="24" s="1"/>
  <c r="AF70" i="24"/>
  <c r="AF79" i="24"/>
  <c r="AF82" i="24" s="1"/>
  <c r="AF140" i="24" s="1"/>
  <c r="AF118" i="24"/>
  <c r="AF127" i="24"/>
  <c r="AF130" i="24" s="1"/>
  <c r="AF142" i="24" s="1"/>
  <c r="AN124" i="24"/>
  <c r="AN127" i="24"/>
  <c r="AN130" i="24" s="1"/>
  <c r="T82" i="24"/>
  <c r="T70" i="24"/>
  <c r="T118" i="24"/>
  <c r="T127" i="24"/>
  <c r="T130" i="24" s="1"/>
  <c r="T142" i="24" s="1"/>
  <c r="T113" i="28" s="1"/>
  <c r="T106" i="28" s="1"/>
  <c r="T99" i="28" s="1"/>
  <c r="CS127" i="24"/>
  <c r="CS130" i="24" s="1"/>
  <c r="CS142" i="24" s="1"/>
  <c r="CS113" i="28" s="1"/>
  <c r="CS106" i="28" s="1"/>
  <c r="CS99" i="28" s="1"/>
  <c r="DJ79" i="24"/>
  <c r="DJ82" i="24" s="1"/>
  <c r="DJ140" i="24" s="1"/>
  <c r="DJ91" i="28" s="1"/>
  <c r="DJ70" i="24"/>
  <c r="DE70" i="24"/>
  <c r="DE79" i="24"/>
  <c r="DE82" i="24" s="1"/>
  <c r="DE140" i="24" s="1"/>
  <c r="DE91" i="28" s="1"/>
  <c r="DI118" i="24"/>
  <c r="DI127" i="24"/>
  <c r="DI130" i="24" s="1"/>
  <c r="DI142" i="24" s="1"/>
  <c r="DI113" i="28" s="1"/>
  <c r="DH127" i="24"/>
  <c r="DH130" i="24" s="1"/>
  <c r="DH142" i="24" s="1"/>
  <c r="DH113" i="28" s="1"/>
  <c r="DH118" i="24"/>
  <c r="DF79" i="24"/>
  <c r="DF82" i="24" s="1"/>
  <c r="DF140" i="24" s="1"/>
  <c r="DF91" i="28" s="1"/>
  <c r="DF70" i="24"/>
  <c r="DE127" i="24"/>
  <c r="DE130" i="24" s="1"/>
  <c r="DE142" i="24" s="1"/>
  <c r="DE113" i="28" s="1"/>
  <c r="DE118" i="24"/>
  <c r="DJ118" i="24"/>
  <c r="DJ127" i="24"/>
  <c r="DJ130" i="24" s="1"/>
  <c r="DJ142" i="24" s="1"/>
  <c r="DJ113" i="28" s="1"/>
  <c r="DI70" i="24"/>
  <c r="DI79" i="24"/>
  <c r="DI82" i="24" s="1"/>
  <c r="DI140" i="24" s="1"/>
  <c r="DI91" i="28" s="1"/>
  <c r="DH70" i="24"/>
  <c r="DH79" i="24"/>
  <c r="DH82" i="24" s="1"/>
  <c r="DH140" i="24" s="1"/>
  <c r="DH91" i="28" s="1"/>
  <c r="DF127" i="24"/>
  <c r="DF130" i="24" s="1"/>
  <c r="DF142" i="24" s="1"/>
  <c r="DF113" i="28" s="1"/>
  <c r="DF118" i="24"/>
  <c r="CL70" i="24"/>
  <c r="CL79" i="24"/>
  <c r="CL82" i="24" s="1"/>
  <c r="CL140" i="24" s="1"/>
  <c r="CL91" i="28" s="1"/>
  <c r="CM70" i="24"/>
  <c r="CM79" i="24"/>
  <c r="CM82" i="24" s="1"/>
  <c r="CM140" i="24" s="1"/>
  <c r="CM91" i="28" s="1"/>
  <c r="CK70" i="24"/>
  <c r="CK79" i="24"/>
  <c r="CK82" i="24" s="1"/>
  <c r="CK140" i="24" s="1"/>
  <c r="CK91" i="28" s="1"/>
  <c r="CH79" i="24"/>
  <c r="CH82" i="24" s="1"/>
  <c r="CH140" i="24" s="1"/>
  <c r="CH91" i="28" s="1"/>
  <c r="CH70" i="24"/>
  <c r="CM118" i="24"/>
  <c r="CM127" i="24"/>
  <c r="CM130" i="24" s="1"/>
  <c r="CM142" i="24" s="1"/>
  <c r="CM113" i="28" s="1"/>
  <c r="CL118" i="24"/>
  <c r="CL127" i="24"/>
  <c r="CL130" i="24" s="1"/>
  <c r="CL142" i="24" s="1"/>
  <c r="CL113" i="28" s="1"/>
  <c r="CI127" i="24"/>
  <c r="CI130" i="24" s="1"/>
  <c r="CI142" i="24" s="1"/>
  <c r="CI113" i="28" s="1"/>
  <c r="CJ118" i="24"/>
  <c r="CJ127" i="24"/>
  <c r="CJ130" i="24" s="1"/>
  <c r="CJ142" i="24" s="1"/>
  <c r="CJ113" i="28" s="1"/>
  <c r="CK127" i="24"/>
  <c r="CK130" i="24" s="1"/>
  <c r="CK142" i="24" s="1"/>
  <c r="CK113" i="28" s="1"/>
  <c r="CK118" i="24"/>
  <c r="CI79" i="24"/>
  <c r="CI82" i="24" s="1"/>
  <c r="CI70" i="24"/>
  <c r="CJ70" i="24"/>
  <c r="CJ79" i="24"/>
  <c r="CJ82" i="24" s="1"/>
  <c r="CJ140" i="24" s="1"/>
  <c r="CJ91" i="28" s="1"/>
  <c r="CH127" i="24"/>
  <c r="CH130" i="24" s="1"/>
  <c r="CH142" i="24" s="1"/>
  <c r="CH113" i="28" s="1"/>
  <c r="CH118" i="24"/>
  <c r="CY79" i="24"/>
  <c r="CY82" i="24" s="1"/>
  <c r="CY140" i="24" s="1"/>
  <c r="CY91" i="28" s="1"/>
  <c r="CY70" i="24"/>
  <c r="DD79" i="24"/>
  <c r="DD82" i="24" s="1"/>
  <c r="DD140" i="24" s="1"/>
  <c r="DD91" i="28" s="1"/>
  <c r="DD70" i="24"/>
  <c r="DB70" i="24"/>
  <c r="DB79" i="24"/>
  <c r="DB82" i="24" s="1"/>
  <c r="DB140" i="24" s="1"/>
  <c r="DB91" i="28" s="1"/>
  <c r="DC70" i="24"/>
  <c r="DC79" i="24"/>
  <c r="DC82" i="24" s="1"/>
  <c r="DC140" i="24" s="1"/>
  <c r="DC91" i="28" s="1"/>
  <c r="CZ79" i="24"/>
  <c r="CZ82" i="24" s="1"/>
  <c r="CZ140" i="24" s="1"/>
  <c r="CZ91" i="28" s="1"/>
  <c r="CZ70" i="24"/>
  <c r="DA70" i="24"/>
  <c r="DC127" i="24"/>
  <c r="DC130" i="24" s="1"/>
  <c r="DC142" i="24" s="1"/>
  <c r="DC113" i="28" s="1"/>
  <c r="DC118" i="24"/>
  <c r="DA118" i="24"/>
  <c r="DB118" i="24"/>
  <c r="DB127" i="24"/>
  <c r="DB130" i="24" s="1"/>
  <c r="DB142" i="24" s="1"/>
  <c r="DB113" i="28" s="1"/>
  <c r="CY127" i="24"/>
  <c r="CY130" i="24" s="1"/>
  <c r="CY142" i="24" s="1"/>
  <c r="CY113" i="28" s="1"/>
  <c r="CY118" i="24"/>
  <c r="CZ127" i="24"/>
  <c r="CZ130" i="24" s="1"/>
  <c r="CZ142" i="24" s="1"/>
  <c r="CZ113" i="28" s="1"/>
  <c r="DD118" i="24"/>
  <c r="DD127" i="24"/>
  <c r="DD130" i="24" s="1"/>
  <c r="DD142" i="24" s="1"/>
  <c r="DD113" i="28" s="1"/>
  <c r="BE127" i="24"/>
  <c r="BE130" i="24" s="1"/>
  <c r="BE142" i="24" s="1"/>
  <c r="BE113" i="28" s="1"/>
  <c r="BE106" i="28" s="1"/>
  <c r="DM127" i="24"/>
  <c r="DM130" i="24" s="1"/>
  <c r="DM142" i="24" s="1"/>
  <c r="M127" i="24"/>
  <c r="M130" i="24" s="1"/>
  <c r="M142" i="24" s="1"/>
  <c r="M113" i="28" s="1"/>
  <c r="M106" i="28" s="1"/>
  <c r="M99" i="28" s="1"/>
  <c r="BV127" i="24"/>
  <c r="BV130" i="24" s="1"/>
  <c r="BV142" i="24" s="1"/>
  <c r="BV113" i="28" s="1"/>
  <c r="BV106" i="28" s="1"/>
  <c r="BV99" i="28" s="1"/>
  <c r="DY70" i="24"/>
  <c r="DY79" i="24"/>
  <c r="DY82" i="24" s="1"/>
  <c r="DY140" i="24" s="1"/>
  <c r="DY91" i="28" s="1"/>
  <c r="DY84" i="28" s="1"/>
  <c r="DY77" i="28" s="1"/>
  <c r="DO70" i="24"/>
  <c r="DO79" i="24"/>
  <c r="DO82" i="24" s="1"/>
  <c r="DO140" i="24" s="1"/>
  <c r="D70" i="24"/>
  <c r="D79" i="24"/>
  <c r="D82" i="24" s="1"/>
  <c r="D140" i="24" s="1"/>
  <c r="D91" i="28" s="1"/>
  <c r="D84" i="28" s="1"/>
  <c r="D77" i="28" s="1"/>
  <c r="BY70" i="24"/>
  <c r="BY79" i="24"/>
  <c r="BY82" i="24" s="1"/>
  <c r="BY140" i="24" s="1"/>
  <c r="BY91" i="28" s="1"/>
  <c r="BY84" i="28" s="1"/>
  <c r="BY77" i="28" s="1"/>
  <c r="DX70" i="24"/>
  <c r="DX79" i="24"/>
  <c r="DX82" i="24" s="1"/>
  <c r="DX140" i="24" s="1"/>
  <c r="DX91" i="28" s="1"/>
  <c r="DX84" i="28" s="1"/>
  <c r="DX77" i="28" s="1"/>
  <c r="U70" i="24"/>
  <c r="U79" i="24"/>
  <c r="U82" i="24" s="1"/>
  <c r="U140" i="24" s="1"/>
  <c r="U91" i="28" s="1"/>
  <c r="U84" i="28" s="1"/>
  <c r="U77" i="28" s="1"/>
  <c r="CD70" i="24"/>
  <c r="CD79" i="24"/>
  <c r="CD82" i="24" s="1"/>
  <c r="CD140" i="24" s="1"/>
  <c r="CD91" i="28" s="1"/>
  <c r="CD84" i="28" s="1"/>
  <c r="CD77" i="28" s="1"/>
  <c r="DT70" i="24"/>
  <c r="DT79" i="24"/>
  <c r="DT82" i="24" s="1"/>
  <c r="DT140" i="24" s="1"/>
  <c r="DT91" i="28" s="1"/>
  <c r="DT84" i="28" s="1"/>
  <c r="DT77" i="28" s="1"/>
  <c r="D49" i="74" s="1"/>
  <c r="P70" i="24"/>
  <c r="P79" i="24"/>
  <c r="P82" i="24" s="1"/>
  <c r="P140" i="24" s="1"/>
  <c r="P91" i="28" s="1"/>
  <c r="P84" i="28" s="1"/>
  <c r="P77" i="28" s="1"/>
  <c r="BV70" i="24"/>
  <c r="BV79" i="24"/>
  <c r="BV82" i="24" s="1"/>
  <c r="BV140" i="24" s="1"/>
  <c r="BV91" i="28" s="1"/>
  <c r="BV84" i="28" s="1"/>
  <c r="BV77" i="28" s="1"/>
  <c r="BF70" i="24"/>
  <c r="BF79" i="24"/>
  <c r="BF82" i="24" s="1"/>
  <c r="BF140" i="24" s="1"/>
  <c r="BF91" i="28" s="1"/>
  <c r="BF84" i="28" s="1"/>
  <c r="AT70" i="24"/>
  <c r="AT79" i="24"/>
  <c r="AT82" i="24" s="1"/>
  <c r="AT140" i="24" s="1"/>
  <c r="AT91" i="28" s="1"/>
  <c r="AT84" i="28" s="1"/>
  <c r="AT77" i="28" s="1"/>
  <c r="BJ70" i="24"/>
  <c r="BJ79" i="24"/>
  <c r="BJ82" i="24" s="1"/>
  <c r="BJ140" i="24" s="1"/>
  <c r="BJ91" i="28" s="1"/>
  <c r="BJ84" i="28" s="1"/>
  <c r="BJ77" i="28" s="1"/>
  <c r="EC70" i="24"/>
  <c r="EC79" i="24"/>
  <c r="EC82" i="24" s="1"/>
  <c r="EC140" i="24" s="1"/>
  <c r="EC91" i="28" s="1"/>
  <c r="EC84" i="28" s="1"/>
  <c r="EC77" i="28" s="1"/>
  <c r="EB70" i="24"/>
  <c r="EB79" i="24"/>
  <c r="EB82" i="24" s="1"/>
  <c r="EB140" i="24" s="1"/>
  <c r="EB91" i="28" s="1"/>
  <c r="EB84" i="28" s="1"/>
  <c r="EB77" i="28" s="1"/>
  <c r="CU70" i="24"/>
  <c r="CU79" i="24"/>
  <c r="CU82" i="24" s="1"/>
  <c r="CU140" i="24" s="1"/>
  <c r="CU91" i="28" s="1"/>
  <c r="CU84" i="28" s="1"/>
  <c r="CU77" i="28" s="1"/>
  <c r="DR70" i="24"/>
  <c r="DR79" i="24"/>
  <c r="DR82" i="24" s="1"/>
  <c r="DR140" i="24" s="1"/>
  <c r="DR91" i="28" s="1"/>
  <c r="DR84" i="28" s="1"/>
  <c r="DR77" i="28" s="1"/>
  <c r="O70" i="24"/>
  <c r="O79" i="24"/>
  <c r="O82" i="24" s="1"/>
  <c r="O140" i="24" s="1"/>
  <c r="O91" i="28" s="1"/>
  <c r="O84" i="28" s="1"/>
  <c r="O77" i="28" s="1"/>
  <c r="AS70" i="24"/>
  <c r="AS79" i="24"/>
  <c r="AS82" i="24" s="1"/>
  <c r="AS140" i="24" s="1"/>
  <c r="AS91" i="28" s="1"/>
  <c r="AS84" i="28" s="1"/>
  <c r="AS77" i="28" s="1"/>
  <c r="BN70" i="24"/>
  <c r="BN79" i="24"/>
  <c r="BN82" i="24" s="1"/>
  <c r="BN140" i="24" s="1"/>
  <c r="BN91" i="28" s="1"/>
  <c r="BN84" i="28" s="1"/>
  <c r="BN77" i="28" s="1"/>
  <c r="CG70" i="24"/>
  <c r="CG79" i="24"/>
  <c r="CG82" i="24" s="1"/>
  <c r="CG140" i="24" s="1"/>
  <c r="CG91" i="28" s="1"/>
  <c r="CG84" i="28" s="1"/>
  <c r="CG77" i="28" s="1"/>
  <c r="DN70" i="24"/>
  <c r="DN79" i="24"/>
  <c r="DN82" i="24" s="1"/>
  <c r="DN140" i="24" s="1"/>
  <c r="AM70" i="24"/>
  <c r="AM79" i="24"/>
  <c r="AM82" i="24" s="1"/>
  <c r="AM140" i="24" s="1"/>
  <c r="AM91" i="28" s="1"/>
  <c r="AM84" i="28" s="1"/>
  <c r="AM77" i="28" s="1"/>
  <c r="BT70" i="24"/>
  <c r="BT79" i="24"/>
  <c r="BT82" i="24" s="1"/>
  <c r="BT140" i="24" s="1"/>
  <c r="BT91" i="28" s="1"/>
  <c r="DK70" i="24"/>
  <c r="DK79" i="24"/>
  <c r="DK82" i="24" s="1"/>
  <c r="DK140" i="24" s="1"/>
  <c r="BR70" i="24"/>
  <c r="BR79" i="24"/>
  <c r="BR82" i="24" s="1"/>
  <c r="BR140" i="24" s="1"/>
  <c r="BR91" i="28" s="1"/>
  <c r="BR84" i="28" s="1"/>
  <c r="BR77" i="28" s="1"/>
  <c r="BO70" i="24"/>
  <c r="BO79" i="24"/>
  <c r="BO82" i="24" s="1"/>
  <c r="BO140" i="24" s="1"/>
  <c r="BO91" i="28" s="1"/>
  <c r="BO84" i="28" s="1"/>
  <c r="AK70" i="24"/>
  <c r="AK79" i="24"/>
  <c r="AK82" i="24" s="1"/>
  <c r="AK140" i="24" s="1"/>
  <c r="AK91" i="28" s="1"/>
  <c r="AK84" i="28" s="1"/>
  <c r="AK77" i="28" s="1"/>
  <c r="BD70" i="24"/>
  <c r="BD79" i="24"/>
  <c r="BD82" i="24" s="1"/>
  <c r="BD140" i="24" s="1"/>
  <c r="BD91" i="28" s="1"/>
  <c r="BD84" i="28" s="1"/>
  <c r="AH70" i="24"/>
  <c r="AH79" i="24"/>
  <c r="AH82" i="24" s="1"/>
  <c r="AH140" i="24" s="1"/>
  <c r="AH91" i="28" s="1"/>
  <c r="AH84" i="28" s="1"/>
  <c r="AH77" i="28" s="1"/>
  <c r="BX70" i="24"/>
  <c r="BX79" i="24"/>
  <c r="BX82" i="24" s="1"/>
  <c r="BX140" i="24" s="1"/>
  <c r="BX91" i="28" s="1"/>
  <c r="BX84" i="28" s="1"/>
  <c r="DW70" i="24"/>
  <c r="DW79" i="24"/>
  <c r="DW82" i="24" s="1"/>
  <c r="DW140" i="24" s="1"/>
  <c r="DW91" i="28" s="1"/>
  <c r="DW84" i="28" s="1"/>
  <c r="BH70" i="24"/>
  <c r="BH79" i="24"/>
  <c r="BH82" i="24" s="1"/>
  <c r="BH140" i="24" s="1"/>
  <c r="BH91" i="28" s="1"/>
  <c r="BH84" i="28" s="1"/>
  <c r="BH77" i="28" s="1"/>
  <c r="CQ70" i="24"/>
  <c r="CQ79" i="24"/>
  <c r="CQ82" i="24" s="1"/>
  <c r="CQ140" i="24" s="1"/>
  <c r="CQ91" i="28" s="1"/>
  <c r="CQ84" i="28" s="1"/>
  <c r="CQ77" i="28" s="1"/>
  <c r="CA70" i="24"/>
  <c r="CA79" i="24"/>
  <c r="CA82" i="24" s="1"/>
  <c r="CA140" i="24" s="1"/>
  <c r="CA91" i="28" s="1"/>
  <c r="CA84" i="28" s="1"/>
  <c r="CA77" i="28" s="1"/>
  <c r="AO70" i="24"/>
  <c r="AO79" i="24"/>
  <c r="AO82" i="24" s="1"/>
  <c r="AO140" i="24" s="1"/>
  <c r="AO91" i="28" s="1"/>
  <c r="AO84" i="28" s="1"/>
  <c r="AO77" i="28" s="1"/>
  <c r="J70" i="24"/>
  <c r="J79" i="24"/>
  <c r="J82" i="24" s="1"/>
  <c r="J140" i="24" s="1"/>
  <c r="DQ70" i="24"/>
  <c r="DQ79" i="24"/>
  <c r="DQ82" i="24" s="1"/>
  <c r="DQ140" i="24" s="1"/>
  <c r="DQ91" i="28" s="1"/>
  <c r="AQ70" i="24"/>
  <c r="AQ79" i="24"/>
  <c r="AQ82" i="24" s="1"/>
  <c r="AQ140" i="24" s="1"/>
  <c r="AQ91" i="28" s="1"/>
  <c r="AQ84" i="28" s="1"/>
  <c r="AQ77" i="28" s="1"/>
  <c r="BL70" i="24"/>
  <c r="BL79" i="24"/>
  <c r="BL82" i="24" s="1"/>
  <c r="BL140" i="24" s="1"/>
  <c r="BL91" i="28" s="1"/>
  <c r="BL84" i="28" s="1"/>
  <c r="BL77" i="28" s="1"/>
  <c r="DM70" i="24"/>
  <c r="DM79" i="24"/>
  <c r="DM82" i="24" s="1"/>
  <c r="DM140" i="24" s="1"/>
  <c r="G70" i="24"/>
  <c r="G79" i="24"/>
  <c r="G82" i="24" s="1"/>
  <c r="G140" i="24" s="1"/>
  <c r="G91" i="28" s="1"/>
  <c r="G84" i="28" s="1"/>
  <c r="G77" i="28" s="1"/>
  <c r="AX70" i="24"/>
  <c r="AX79" i="24"/>
  <c r="AX82" i="24" s="1"/>
  <c r="AX140" i="24" s="1"/>
  <c r="AX91" i="28" s="1"/>
  <c r="AX84" i="28" s="1"/>
  <c r="AX77" i="28" s="1"/>
  <c r="CC70" i="24"/>
  <c r="CC79" i="24"/>
  <c r="CC82" i="24" s="1"/>
  <c r="CC140" i="24" s="1"/>
  <c r="CC91" i="28" s="1"/>
  <c r="CC84" i="28" s="1"/>
  <c r="CC77" i="28" s="1"/>
  <c r="CB70" i="24"/>
  <c r="CB79" i="24"/>
  <c r="CB82" i="24" s="1"/>
  <c r="CB140" i="24" s="1"/>
  <c r="CB91" i="28" s="1"/>
  <c r="CB84" i="28" s="1"/>
  <c r="CB77" i="28" s="1"/>
  <c r="DZ70" i="24"/>
  <c r="DZ79" i="24"/>
  <c r="DZ82" i="24" s="1"/>
  <c r="DZ140" i="24" s="1"/>
  <c r="DZ91" i="28" s="1"/>
  <c r="DZ84" i="28" s="1"/>
  <c r="DZ77" i="28" s="1"/>
  <c r="CS70" i="24"/>
  <c r="CS79" i="24"/>
  <c r="CS82" i="24" s="1"/>
  <c r="CS140" i="24" s="1"/>
  <c r="CS91" i="28" s="1"/>
  <c r="CS84" i="28" s="1"/>
  <c r="CS77" i="28" s="1"/>
  <c r="AL70" i="24"/>
  <c r="AL79" i="24"/>
  <c r="AL82" i="24" s="1"/>
  <c r="AL140" i="24" s="1"/>
  <c r="AL91" i="28" s="1"/>
  <c r="AL84" i="28" s="1"/>
  <c r="AL77" i="28" s="1"/>
  <c r="AN70" i="24"/>
  <c r="AN79" i="24"/>
  <c r="AN82" i="24" s="1"/>
  <c r="AN140" i="24" s="1"/>
  <c r="AN91" i="28" s="1"/>
  <c r="AN84" i="28" s="1"/>
  <c r="AN77" i="28" s="1"/>
  <c r="CW70" i="24"/>
  <c r="CW79" i="24"/>
  <c r="CW82" i="24" s="1"/>
  <c r="CW140" i="24" s="1"/>
  <c r="CW91" i="28" s="1"/>
  <c r="CW84" i="28" s="1"/>
  <c r="CW77" i="28" s="1"/>
  <c r="BB70" i="24"/>
  <c r="BB79" i="24"/>
  <c r="BB82" i="24" s="1"/>
  <c r="BB140" i="24" s="1"/>
  <c r="BB91" i="28" s="1"/>
  <c r="BB84" i="28" s="1"/>
  <c r="BB77" i="28" s="1"/>
  <c r="BW70" i="24"/>
  <c r="BW79" i="24"/>
  <c r="BW82" i="24" s="1"/>
  <c r="BW140" i="24" s="1"/>
  <c r="BW91" i="28" s="1"/>
  <c r="BW84" i="28" s="1"/>
  <c r="BW77" i="28" s="1"/>
  <c r="ED70" i="24"/>
  <c r="ED79" i="24"/>
  <c r="ED82" i="24" s="1"/>
  <c r="ED140" i="24" s="1"/>
  <c r="ED91" i="28" s="1"/>
  <c r="ED84" i="28" s="1"/>
  <c r="ED77" i="28" s="1"/>
  <c r="BS70" i="24"/>
  <c r="BS79" i="24"/>
  <c r="BS82" i="24" s="1"/>
  <c r="BS140" i="24" s="1"/>
  <c r="BS91" i="28" s="1"/>
  <c r="BS84" i="28" s="1"/>
  <c r="BS77" i="28" s="1"/>
  <c r="AR70" i="24"/>
  <c r="AR79" i="24"/>
  <c r="AR82" i="24" s="1"/>
  <c r="AR140" i="24" s="1"/>
  <c r="AR91" i="28" s="1"/>
  <c r="AR84" i="28" s="1"/>
  <c r="AR77" i="28" s="1"/>
  <c r="BP70" i="24"/>
  <c r="BP79" i="24"/>
  <c r="BP82" i="24" s="1"/>
  <c r="BP140" i="24" s="1"/>
  <c r="BP91" i="28" s="1"/>
  <c r="BP84" i="28" s="1"/>
  <c r="BP77" i="28" s="1"/>
  <c r="CO70" i="24"/>
  <c r="CO79" i="24"/>
  <c r="CO82" i="24" s="1"/>
  <c r="CO140" i="24" s="1"/>
  <c r="CO91" i="28" s="1"/>
  <c r="CO84" i="28" s="1"/>
  <c r="CO77" i="28" s="1"/>
  <c r="DP70" i="24"/>
  <c r="DP79" i="24"/>
  <c r="DP82" i="24" s="1"/>
  <c r="DP140" i="24" s="1"/>
  <c r="L70" i="24"/>
  <c r="L79" i="24"/>
  <c r="L82" i="24" s="1"/>
  <c r="L140" i="24" s="1"/>
  <c r="L91" i="28" s="1"/>
  <c r="L84" i="28" s="1"/>
  <c r="L77" i="28" s="1"/>
  <c r="AP70" i="24"/>
  <c r="AP79" i="24"/>
  <c r="AP82" i="24" s="1"/>
  <c r="AP140" i="24" s="1"/>
  <c r="AP91" i="28" s="1"/>
  <c r="AP84" i="28" s="1"/>
  <c r="AP77" i="28" s="1"/>
  <c r="BK70" i="24"/>
  <c r="BK79" i="24"/>
  <c r="BK82" i="24" s="1"/>
  <c r="BK140" i="24" s="1"/>
  <c r="BK91" i="28" s="1"/>
  <c r="BK84" i="28" s="1"/>
  <c r="BK77" i="28" s="1"/>
  <c r="CE70" i="24"/>
  <c r="CE79" i="24"/>
  <c r="CE82" i="24" s="1"/>
  <c r="CE140" i="24" s="1"/>
  <c r="CE91" i="28" s="1"/>
  <c r="CE84" i="28" s="1"/>
  <c r="CE77" i="28" s="1"/>
  <c r="DU70" i="24"/>
  <c r="DU79" i="24"/>
  <c r="DU82" i="24" s="1"/>
  <c r="DU140" i="24" s="1"/>
  <c r="DU91" i="28" s="1"/>
  <c r="AJ70" i="24"/>
  <c r="AJ79" i="24"/>
  <c r="AJ82" i="24" s="1"/>
  <c r="AJ140" i="24" s="1"/>
  <c r="AJ91" i="28" s="1"/>
  <c r="AJ84" i="28" s="1"/>
  <c r="AJ77" i="28" s="1"/>
  <c r="W70" i="24"/>
  <c r="W79" i="24"/>
  <c r="W82" i="24" s="1"/>
  <c r="W140" i="24" s="1"/>
  <c r="AZ70" i="24"/>
  <c r="AZ79" i="24"/>
  <c r="AZ82" i="24" s="1"/>
  <c r="AZ140" i="24" s="1"/>
  <c r="AZ91" i="28" s="1"/>
  <c r="AZ84" i="28" s="1"/>
  <c r="AZ77" i="28" s="1"/>
  <c r="BU70" i="24"/>
  <c r="BU79" i="24"/>
  <c r="BU82" i="24" s="1"/>
  <c r="BU140" i="24" s="1"/>
  <c r="BU91" i="28" s="1"/>
  <c r="BU84" i="28" s="1"/>
  <c r="BU77" i="28" s="1"/>
  <c r="AV70" i="24"/>
  <c r="AV79" i="24"/>
  <c r="AV82" i="24" s="1"/>
  <c r="AV140" i="24" s="1"/>
  <c r="AV91" i="28" s="1"/>
  <c r="AV84" i="28" s="1"/>
  <c r="AV77" i="28" s="1"/>
  <c r="R70" i="24"/>
  <c r="R79" i="24"/>
  <c r="R82" i="24" s="1"/>
  <c r="R140" i="24" s="1"/>
  <c r="R91" i="28" s="1"/>
  <c r="R84" i="28" s="1"/>
  <c r="R77" i="28" s="1"/>
  <c r="N70" i="24"/>
  <c r="N79" i="24"/>
  <c r="N82" i="24" s="1"/>
  <c r="N140" i="24" s="1"/>
  <c r="N91" i="28" s="1"/>
  <c r="N84" i="28" s="1"/>
  <c r="N77" i="28" s="1"/>
  <c r="AW70" i="24"/>
  <c r="AW79" i="24"/>
  <c r="AW82" i="24" s="1"/>
  <c r="AW140" i="24" s="1"/>
  <c r="AW91" i="28" s="1"/>
  <c r="AW84" i="28" s="1"/>
  <c r="AW77" i="28" s="1"/>
  <c r="S70" i="24"/>
  <c r="S79" i="24"/>
  <c r="S82" i="24" s="1"/>
  <c r="S140" i="24" s="1"/>
  <c r="S91" i="28" s="1"/>
  <c r="S84" i="28" s="1"/>
  <c r="S77" i="28" s="1"/>
  <c r="CT118" i="24"/>
  <c r="CT127" i="24"/>
  <c r="CT130" i="24" s="1"/>
  <c r="CT142" i="24" s="1"/>
  <c r="CT113" i="28" s="1"/>
  <c r="CT106" i="28" s="1"/>
  <c r="CT99" i="28" s="1"/>
  <c r="V118" i="24"/>
  <c r="V127" i="24"/>
  <c r="V130" i="24" s="1"/>
  <c r="V142" i="24" s="1"/>
  <c r="V113" i="28" s="1"/>
  <c r="V106" i="28" s="1"/>
  <c r="V99" i="28" s="1"/>
  <c r="C54" i="72" s="1"/>
  <c r="K70" i="24"/>
  <c r="K79" i="24"/>
  <c r="K82" i="24" s="1"/>
  <c r="K140" i="24" s="1"/>
  <c r="K91" i="28" s="1"/>
  <c r="AY70" i="24"/>
  <c r="AY79" i="24"/>
  <c r="AY82" i="24" s="1"/>
  <c r="AY140" i="24" s="1"/>
  <c r="AY91" i="28" s="1"/>
  <c r="AY84" i="28" s="1"/>
  <c r="AY77" i="28" s="1"/>
  <c r="AI118" i="24"/>
  <c r="AI127" i="24"/>
  <c r="AI130" i="24" s="1"/>
  <c r="AI142" i="24" s="1"/>
  <c r="AI113" i="28" s="1"/>
  <c r="AI106" i="28" s="1"/>
  <c r="AI99" i="28" s="1"/>
  <c r="W124" i="24"/>
  <c r="C121" i="24"/>
  <c r="C120" i="24" s="1"/>
  <c r="C119" i="24" s="1"/>
  <c r="V70" i="24"/>
  <c r="V79" i="24"/>
  <c r="V82" i="24" s="1"/>
  <c r="V140" i="24" s="1"/>
  <c r="V91" i="28" s="1"/>
  <c r="V84" i="28" s="1"/>
  <c r="V77" i="28" s="1"/>
  <c r="BI70" i="24"/>
  <c r="BI79" i="24"/>
  <c r="BI82" i="24" s="1"/>
  <c r="BI140" i="24" s="1"/>
  <c r="BI91" i="28" s="1"/>
  <c r="BI84" i="28" s="1"/>
  <c r="BI77" i="28" s="1"/>
  <c r="EB127" i="24"/>
  <c r="EB130" i="24" s="1"/>
  <c r="EB142" i="24" s="1"/>
  <c r="EB113" i="28" s="1"/>
  <c r="EB106" i="28" s="1"/>
  <c r="EB99" i="28" s="1"/>
  <c r="EB118" i="24"/>
  <c r="BB127" i="24"/>
  <c r="BB130" i="24" s="1"/>
  <c r="BB142" i="24" s="1"/>
  <c r="BB113" i="28" s="1"/>
  <c r="BB106" i="28" s="1"/>
  <c r="BB99" i="28" s="1"/>
  <c r="BB118" i="24"/>
  <c r="BH118" i="24"/>
  <c r="BH127" i="24"/>
  <c r="BH130" i="24" s="1"/>
  <c r="BH142" i="24" s="1"/>
  <c r="BH113" i="28" s="1"/>
  <c r="BH106" i="28" s="1"/>
  <c r="BH99" i="28" s="1"/>
  <c r="BP118" i="24"/>
  <c r="BP127" i="24"/>
  <c r="BP130" i="24" s="1"/>
  <c r="BP142" i="24" s="1"/>
  <c r="BP113" i="28" s="1"/>
  <c r="BP106" i="28" s="1"/>
  <c r="BP99" i="28" s="1"/>
  <c r="DY118" i="24"/>
  <c r="DY127" i="24"/>
  <c r="DY130" i="24" s="1"/>
  <c r="DY142" i="24" s="1"/>
  <c r="DY113" i="28" s="1"/>
  <c r="DY106" i="28" s="1"/>
  <c r="DY99" i="28" s="1"/>
  <c r="U127" i="24"/>
  <c r="U130" i="24" s="1"/>
  <c r="U142" i="24" s="1"/>
  <c r="U113" i="28" s="1"/>
  <c r="U106" i="28" s="1"/>
  <c r="U99" i="28" s="1"/>
  <c r="U118" i="24"/>
  <c r="BC127" i="24"/>
  <c r="BC130" i="24" s="1"/>
  <c r="BC142" i="24" s="1"/>
  <c r="BC113" i="28" s="1"/>
  <c r="BC106" i="28" s="1"/>
  <c r="BC99" i="28" s="1"/>
  <c r="BC118" i="24"/>
  <c r="BG118" i="24"/>
  <c r="BG127" i="24"/>
  <c r="BG130" i="24" s="1"/>
  <c r="BG142" i="24" s="1"/>
  <c r="BG113" i="28" s="1"/>
  <c r="BG106" i="28" s="1"/>
  <c r="BG99" i="28" s="1"/>
  <c r="AO118" i="24"/>
  <c r="AO127" i="24"/>
  <c r="AO130" i="24" s="1"/>
  <c r="AO142" i="24" s="1"/>
  <c r="AO113" i="28" s="1"/>
  <c r="AO106" i="28" s="1"/>
  <c r="CC127" i="24"/>
  <c r="CC130" i="24" s="1"/>
  <c r="CC142" i="24" s="1"/>
  <c r="CC113" i="28" s="1"/>
  <c r="CC106" i="28" s="1"/>
  <c r="CC99" i="28" s="1"/>
  <c r="CC118" i="24"/>
  <c r="J127" i="24"/>
  <c r="J130" i="24" s="1"/>
  <c r="J142" i="24" s="1"/>
  <c r="J118" i="24"/>
  <c r="Q118" i="24"/>
  <c r="Q127" i="24"/>
  <c r="Q130" i="24" s="1"/>
  <c r="Q142" i="24" s="1"/>
  <c r="Q113" i="28" s="1"/>
  <c r="Q106" i="28" s="1"/>
  <c r="Q99" i="28" s="1"/>
  <c r="DW118" i="24"/>
  <c r="DW127" i="24"/>
  <c r="DW130" i="24" s="1"/>
  <c r="DW142" i="24" s="1"/>
  <c r="DW113" i="28" s="1"/>
  <c r="DW106" i="28" s="1"/>
  <c r="AJ127" i="24"/>
  <c r="AJ130" i="24" s="1"/>
  <c r="AJ142" i="24" s="1"/>
  <c r="AJ113" i="28" s="1"/>
  <c r="AJ106" i="28" s="1"/>
  <c r="AJ99" i="28" s="1"/>
  <c r="AJ118" i="24"/>
  <c r="BY118" i="24"/>
  <c r="BY127" i="24"/>
  <c r="BY130" i="24" s="1"/>
  <c r="BY142" i="24" s="1"/>
  <c r="BY113" i="28" s="1"/>
  <c r="BY106" i="28" s="1"/>
  <c r="BY99" i="28" s="1"/>
  <c r="CF118" i="24"/>
  <c r="CF127" i="24"/>
  <c r="CF130" i="24" s="1"/>
  <c r="CF142" i="24" s="1"/>
  <c r="CF113" i="28" s="1"/>
  <c r="CF106" i="28" s="1"/>
  <c r="CF99" i="28" s="1"/>
  <c r="K127" i="24"/>
  <c r="K130" i="24" s="1"/>
  <c r="K142" i="24" s="1"/>
  <c r="K113" i="28" s="1"/>
  <c r="K118" i="24"/>
  <c r="CP70" i="24"/>
  <c r="CP79" i="24"/>
  <c r="CP82" i="24" s="1"/>
  <c r="CP140" i="24" s="1"/>
  <c r="CP91" i="28" s="1"/>
  <c r="CP84" i="28" s="1"/>
  <c r="CP77" i="28" s="1"/>
  <c r="DL70" i="24"/>
  <c r="DL79" i="24"/>
  <c r="DL82" i="24" s="1"/>
  <c r="DL140" i="24" s="1"/>
  <c r="P118" i="24"/>
  <c r="P127" i="24"/>
  <c r="P130" i="24" s="1"/>
  <c r="P142" i="24" s="1"/>
  <c r="P113" i="28" s="1"/>
  <c r="P106" i="28" s="1"/>
  <c r="P99" i="28" s="1"/>
  <c r="BC70" i="24"/>
  <c r="BC79" i="24"/>
  <c r="BC82" i="24" s="1"/>
  <c r="BC140" i="24" s="1"/>
  <c r="BC91" i="28" s="1"/>
  <c r="BC84" i="28" s="1"/>
  <c r="BC77" i="28" s="1"/>
  <c r="CN70" i="24"/>
  <c r="CN79" i="24"/>
  <c r="CN82" i="24" s="1"/>
  <c r="CN140" i="24" s="1"/>
  <c r="CN91" i="28" s="1"/>
  <c r="CN84" i="28" s="1"/>
  <c r="CN77" i="28" s="1"/>
  <c r="BR127" i="24"/>
  <c r="BR130" i="24" s="1"/>
  <c r="BR142" i="24" s="1"/>
  <c r="BR113" i="28" s="1"/>
  <c r="BR106" i="28" s="1"/>
  <c r="BR99" i="28" s="1"/>
  <c r="BR118" i="24"/>
  <c r="BM118" i="24"/>
  <c r="BM127" i="24"/>
  <c r="BM130" i="24" s="1"/>
  <c r="BM142" i="24" s="1"/>
  <c r="BM113" i="28" s="1"/>
  <c r="BM106" i="28" s="1"/>
  <c r="BM99" i="28" s="1"/>
  <c r="BE70" i="24"/>
  <c r="BE79" i="24"/>
  <c r="BE82" i="24" s="1"/>
  <c r="BE140" i="24" s="1"/>
  <c r="BE91" i="28" s="1"/>
  <c r="BE84" i="28" s="1"/>
  <c r="DX118" i="24"/>
  <c r="DX127" i="24"/>
  <c r="DX130" i="24" s="1"/>
  <c r="DX142" i="24" s="1"/>
  <c r="DX113" i="28" s="1"/>
  <c r="DX106" i="28" s="1"/>
  <c r="DX99" i="28" s="1"/>
  <c r="AV118" i="24"/>
  <c r="AV127" i="24"/>
  <c r="AV130" i="24" s="1"/>
  <c r="AV142" i="24" s="1"/>
  <c r="AV113" i="28" s="1"/>
  <c r="AV106" i="28" s="1"/>
  <c r="AV99" i="28" s="1"/>
  <c r="AX118" i="24"/>
  <c r="AX127" i="24"/>
  <c r="AX130" i="24" s="1"/>
  <c r="AX142" i="24" s="1"/>
  <c r="AX113" i="28" s="1"/>
  <c r="AX106" i="28" s="1"/>
  <c r="AX99" i="28" s="1"/>
  <c r="CQ127" i="24"/>
  <c r="CQ130" i="24" s="1"/>
  <c r="CQ142" i="24" s="1"/>
  <c r="CQ113" i="28" s="1"/>
  <c r="CQ106" i="28" s="1"/>
  <c r="CQ99" i="28" s="1"/>
  <c r="CQ118" i="24"/>
  <c r="CW127" i="24"/>
  <c r="CW130" i="24" s="1"/>
  <c r="CW142" i="24" s="1"/>
  <c r="CW113" i="28" s="1"/>
  <c r="CW106" i="28" s="1"/>
  <c r="CW99" i="28" s="1"/>
  <c r="CW118" i="24"/>
  <c r="AN118" i="24"/>
  <c r="DQ127" i="24"/>
  <c r="DQ130" i="24" s="1"/>
  <c r="DQ142" i="24" s="1"/>
  <c r="DQ113" i="28" s="1"/>
  <c r="DQ118" i="24"/>
  <c r="AR127" i="24"/>
  <c r="AR130" i="24" s="1"/>
  <c r="AR142" i="24" s="1"/>
  <c r="AR113" i="28" s="1"/>
  <c r="AR106" i="28" s="1"/>
  <c r="AR99" i="28" s="1"/>
  <c r="AR118" i="24"/>
  <c r="AY118" i="24"/>
  <c r="AY127" i="24"/>
  <c r="AY130" i="24" s="1"/>
  <c r="AY142" i="24" s="1"/>
  <c r="AY113" i="28" s="1"/>
  <c r="AY106" i="28" s="1"/>
  <c r="AY99" i="28" s="1"/>
  <c r="CR118" i="24"/>
  <c r="CR127" i="24"/>
  <c r="CR130" i="24" s="1"/>
  <c r="CR142" i="24" s="1"/>
  <c r="CR113" i="28" s="1"/>
  <c r="CR106" i="28" s="1"/>
  <c r="CR99" i="28" s="1"/>
  <c r="DL118" i="24"/>
  <c r="DL127" i="24"/>
  <c r="DL130" i="24" s="1"/>
  <c r="DL142" i="24" s="1"/>
  <c r="DP118" i="24"/>
  <c r="DP127" i="24"/>
  <c r="DP130" i="24" s="1"/>
  <c r="DP142" i="24" s="1"/>
  <c r="CV118" i="24"/>
  <c r="CV127" i="24"/>
  <c r="CV130" i="24" s="1"/>
  <c r="CV142" i="24" s="1"/>
  <c r="CV113" i="28" s="1"/>
  <c r="CV106" i="28" s="1"/>
  <c r="CV99" i="28" s="1"/>
  <c r="M70" i="24"/>
  <c r="M79" i="24"/>
  <c r="M82" i="24" s="1"/>
  <c r="M140" i="24" s="1"/>
  <c r="M91" i="28" s="1"/>
  <c r="M84" i="28" s="1"/>
  <c r="M77" i="28" s="1"/>
  <c r="BA70" i="24"/>
  <c r="BA79" i="24"/>
  <c r="BA82" i="24" s="1"/>
  <c r="BA140" i="24" s="1"/>
  <c r="BA91" i="28" s="1"/>
  <c r="BA84" i="28" s="1"/>
  <c r="BA77" i="28" s="1"/>
  <c r="AK127" i="24"/>
  <c r="AK130" i="24" s="1"/>
  <c r="AK142" i="24" s="1"/>
  <c r="AK113" i="28" s="1"/>
  <c r="AK106" i="28" s="1"/>
  <c r="AK99" i="28" s="1"/>
  <c r="AK118" i="24"/>
  <c r="BX118" i="24"/>
  <c r="BX127" i="24"/>
  <c r="BX130" i="24" s="1"/>
  <c r="BX142" i="24" s="1"/>
  <c r="BX113" i="28" s="1"/>
  <c r="BX106" i="28" s="1"/>
  <c r="ED118" i="24"/>
  <c r="ED127" i="24"/>
  <c r="ED130" i="24" s="1"/>
  <c r="ED142" i="24" s="1"/>
  <c r="ED113" i="28" s="1"/>
  <c r="ED106" i="28" s="1"/>
  <c r="ED99" i="28" s="1"/>
  <c r="D118" i="24"/>
  <c r="D127" i="24"/>
  <c r="D130" i="24" s="1"/>
  <c r="D142" i="24" s="1"/>
  <c r="D113" i="28" s="1"/>
  <c r="D106" i="28" s="1"/>
  <c r="D99" i="28" s="1"/>
  <c r="BD118" i="24"/>
  <c r="BD127" i="24"/>
  <c r="BD130" i="24" s="1"/>
  <c r="BD142" i="24" s="1"/>
  <c r="BD113" i="28" s="1"/>
  <c r="BD106" i="28" s="1"/>
  <c r="BJ127" i="24"/>
  <c r="BJ130" i="24" s="1"/>
  <c r="BJ142" i="24" s="1"/>
  <c r="BJ113" i="28" s="1"/>
  <c r="BJ106" i="28" s="1"/>
  <c r="BJ99" i="28" s="1"/>
  <c r="BJ118" i="24"/>
  <c r="BS127" i="24"/>
  <c r="BS130" i="24" s="1"/>
  <c r="BS142" i="24" s="1"/>
  <c r="BS113" i="28" s="1"/>
  <c r="BS106" i="28" s="1"/>
  <c r="BS99" i="28" s="1"/>
  <c r="BS118" i="24"/>
  <c r="EA127" i="24"/>
  <c r="EA130" i="24" s="1"/>
  <c r="EA142" i="24" s="1"/>
  <c r="EA113" i="28" s="1"/>
  <c r="EA106" i="28" s="1"/>
  <c r="EA99" i="28" s="1"/>
  <c r="EA118" i="24"/>
  <c r="E118" i="24"/>
  <c r="E127" i="24"/>
  <c r="E130" i="24" s="1"/>
  <c r="E142" i="24" s="1"/>
  <c r="E113" i="28" s="1"/>
  <c r="E106" i="28" s="1"/>
  <c r="E99" i="28" s="1"/>
  <c r="H70" i="24"/>
  <c r="H79" i="24"/>
  <c r="H82" i="24" s="1"/>
  <c r="H140" i="24" s="1"/>
  <c r="AG70" i="24"/>
  <c r="AG79" i="24"/>
  <c r="AG82" i="24" s="1"/>
  <c r="AG140" i="24" s="1"/>
  <c r="AG91" i="28" s="1"/>
  <c r="AG84" i="28" s="1"/>
  <c r="AG77" i="28" s="1"/>
  <c r="BI127" i="24"/>
  <c r="BI130" i="24" s="1"/>
  <c r="BI142" i="24" s="1"/>
  <c r="BI113" i="28" s="1"/>
  <c r="BI106" i="28" s="1"/>
  <c r="BI99" i="28" s="1"/>
  <c r="BI118" i="24"/>
  <c r="CR70" i="24"/>
  <c r="CR79" i="24"/>
  <c r="CR82" i="24" s="1"/>
  <c r="CR140" i="24" s="1"/>
  <c r="CR91" i="28" s="1"/>
  <c r="CR84" i="28" s="1"/>
  <c r="CR77" i="28" s="1"/>
  <c r="BM70" i="24"/>
  <c r="BM79" i="24"/>
  <c r="BM82" i="24" s="1"/>
  <c r="BM140" i="24" s="1"/>
  <c r="BM91" i="28" s="1"/>
  <c r="BM84" i="28" s="1"/>
  <c r="BM77" i="28" s="1"/>
  <c r="DR127" i="24"/>
  <c r="DR130" i="24" s="1"/>
  <c r="DR142" i="24" s="1"/>
  <c r="DR113" i="28" s="1"/>
  <c r="DR106" i="28" s="1"/>
  <c r="DR99" i="28" s="1"/>
  <c r="DR118" i="24"/>
  <c r="CT70" i="24"/>
  <c r="CT79" i="24"/>
  <c r="CT82" i="24" s="1"/>
  <c r="CT140" i="24" s="1"/>
  <c r="CT91" i="28" s="1"/>
  <c r="CT84" i="28" s="1"/>
  <c r="CT77" i="28" s="1"/>
  <c r="AQ118" i="24"/>
  <c r="AQ127" i="24"/>
  <c r="AQ130" i="24" s="1"/>
  <c r="AQ142" i="24" s="1"/>
  <c r="AQ113" i="28" s="1"/>
  <c r="AQ106" i="28" s="1"/>
  <c r="AQ99" i="28" s="1"/>
  <c r="CG118" i="24"/>
  <c r="CG127" i="24"/>
  <c r="CG130" i="24" s="1"/>
  <c r="CG142" i="24" s="1"/>
  <c r="CG113" i="28" s="1"/>
  <c r="CG106" i="28" s="1"/>
  <c r="CG99" i="28" s="1"/>
  <c r="AW118" i="24"/>
  <c r="AW127" i="24"/>
  <c r="AW130" i="24" s="1"/>
  <c r="AW142" i="24" s="1"/>
  <c r="AW113" i="28" s="1"/>
  <c r="AW106" i="28" s="1"/>
  <c r="AW99" i="28" s="1"/>
  <c r="S127" i="24"/>
  <c r="S130" i="24" s="1"/>
  <c r="S142" i="24" s="1"/>
  <c r="S113" i="28" s="1"/>
  <c r="S106" i="28" s="1"/>
  <c r="S99" i="28" s="1"/>
  <c r="S118" i="24"/>
  <c r="AL127" i="24"/>
  <c r="AL130" i="24" s="1"/>
  <c r="AL142" i="24" s="1"/>
  <c r="AL113" i="28" s="1"/>
  <c r="AL106" i="28" s="1"/>
  <c r="AL99" i="28" s="1"/>
  <c r="AL118" i="24"/>
  <c r="CB127" i="24"/>
  <c r="CB130" i="24" s="1"/>
  <c r="CB142" i="24" s="1"/>
  <c r="CB113" i="28" s="1"/>
  <c r="CB106" i="28" s="1"/>
  <c r="CB99" i="28" s="1"/>
  <c r="CB118" i="24"/>
  <c r="CN118" i="24"/>
  <c r="CN127" i="24"/>
  <c r="CN130" i="24" s="1"/>
  <c r="CN142" i="24" s="1"/>
  <c r="CN113" i="28" s="1"/>
  <c r="CN106" i="28" s="1"/>
  <c r="CN99" i="28" s="1"/>
  <c r="W127" i="24"/>
  <c r="W130" i="24" s="1"/>
  <c r="W142" i="24" s="1"/>
  <c r="AI70" i="24"/>
  <c r="AI79" i="24"/>
  <c r="AI82" i="24" s="1"/>
  <c r="AI140" i="24" s="1"/>
  <c r="AI91" i="28" s="1"/>
  <c r="AI84" i="28" s="1"/>
  <c r="AI77" i="28" s="1"/>
  <c r="BG70" i="24"/>
  <c r="BG79" i="24"/>
  <c r="BG82" i="24" s="1"/>
  <c r="BG140" i="24" s="1"/>
  <c r="BG91" i="28" s="1"/>
  <c r="BG84" i="28" s="1"/>
  <c r="BG77" i="28" s="1"/>
  <c r="DZ118" i="24"/>
  <c r="DZ127" i="24"/>
  <c r="DZ130" i="24" s="1"/>
  <c r="DZ142" i="24" s="1"/>
  <c r="DZ113" i="28" s="1"/>
  <c r="DZ106" i="28" s="1"/>
  <c r="DZ99" i="28" s="1"/>
  <c r="AZ118" i="24"/>
  <c r="AZ127" i="24"/>
  <c r="AZ130" i="24" s="1"/>
  <c r="AZ142" i="24" s="1"/>
  <c r="AZ113" i="28" s="1"/>
  <c r="AZ106" i="28" s="1"/>
  <c r="AZ99" i="28" s="1"/>
  <c r="BF118" i="24"/>
  <c r="BF127" i="24"/>
  <c r="BF130" i="24" s="1"/>
  <c r="BF142" i="24" s="1"/>
  <c r="BF113" i="28" s="1"/>
  <c r="BF106" i="28" s="1"/>
  <c r="DK127" i="24"/>
  <c r="DK130" i="24" s="1"/>
  <c r="DK142" i="24" s="1"/>
  <c r="DK118" i="24"/>
  <c r="BN118" i="24"/>
  <c r="BN127" i="24"/>
  <c r="BN130" i="24" s="1"/>
  <c r="BN142" i="24" s="1"/>
  <c r="BN113" i="28" s="1"/>
  <c r="BN106" i="28" s="1"/>
  <c r="BN99" i="28" s="1"/>
  <c r="DT127" i="24"/>
  <c r="DT130" i="24" s="1"/>
  <c r="DT142" i="24" s="1"/>
  <c r="DT113" i="28" s="1"/>
  <c r="DT106" i="28" s="1"/>
  <c r="DT99" i="28" s="1"/>
  <c r="DT118" i="24"/>
  <c r="L127" i="24"/>
  <c r="L130" i="24" s="1"/>
  <c r="L142" i="24" s="1"/>
  <c r="L113" i="28" s="1"/>
  <c r="L106" i="28" s="1"/>
  <c r="L99" i="28" s="1"/>
  <c r="L118" i="24"/>
  <c r="AT127" i="24"/>
  <c r="AT130" i="24" s="1"/>
  <c r="AT142" i="24" s="1"/>
  <c r="AT113" i="28" s="1"/>
  <c r="AT106" i="28" s="1"/>
  <c r="AT99" i="28" s="1"/>
  <c r="AT118" i="24"/>
  <c r="BA127" i="24"/>
  <c r="BA130" i="24" s="1"/>
  <c r="BA142" i="24" s="1"/>
  <c r="BA113" i="28" s="1"/>
  <c r="BA106" i="28" s="1"/>
  <c r="BA99" i="28" s="1"/>
  <c r="BA118" i="24"/>
  <c r="CE127" i="24"/>
  <c r="CE130" i="24" s="1"/>
  <c r="CE142" i="24" s="1"/>
  <c r="CE113" i="28" s="1"/>
  <c r="CE106" i="28" s="1"/>
  <c r="CE99" i="28" s="1"/>
  <c r="BT127" i="24"/>
  <c r="BT130" i="24" s="1"/>
  <c r="BT142" i="24" s="1"/>
  <c r="BT113" i="28" s="1"/>
  <c r="BT106" i="28" s="1"/>
  <c r="BT99" i="28" s="1"/>
  <c r="BT118" i="24"/>
  <c r="EA70" i="24"/>
  <c r="EA79" i="24"/>
  <c r="EA82" i="24" s="1"/>
  <c r="EA140" i="24" s="1"/>
  <c r="EA91" i="28" s="1"/>
  <c r="EA84" i="28" s="1"/>
  <c r="EA77" i="28" s="1"/>
  <c r="DN118" i="24"/>
  <c r="DN127" i="24"/>
  <c r="DN130" i="24" s="1"/>
  <c r="DN142" i="24" s="1"/>
  <c r="AM118" i="24"/>
  <c r="AM127" i="24"/>
  <c r="AM130" i="24" s="1"/>
  <c r="AM142" i="24" s="1"/>
  <c r="AM113" i="28" s="1"/>
  <c r="AM106" i="28" s="1"/>
  <c r="AM99" i="28" s="1"/>
  <c r="CX70" i="24"/>
  <c r="CX79" i="24"/>
  <c r="CX82" i="24" s="1"/>
  <c r="CX140" i="24" s="1"/>
  <c r="CX91" i="28" s="1"/>
  <c r="CX84" i="28" s="1"/>
  <c r="CX77" i="28" s="1"/>
  <c r="Q70" i="24"/>
  <c r="Q79" i="24"/>
  <c r="Q82" i="24" s="1"/>
  <c r="Q140" i="24" s="1"/>
  <c r="Q91" i="28" s="1"/>
  <c r="Q84" i="28" s="1"/>
  <c r="Q77" i="28" s="1"/>
  <c r="CA127" i="24"/>
  <c r="CA130" i="24" s="1"/>
  <c r="CA142" i="24" s="1"/>
  <c r="CA113" i="28" s="1"/>
  <c r="CA106" i="28" s="1"/>
  <c r="CA99" i="28" s="1"/>
  <c r="CA118" i="24"/>
  <c r="G118" i="24"/>
  <c r="G127" i="24"/>
  <c r="G130" i="24" s="1"/>
  <c r="G142" i="24" s="1"/>
  <c r="G113" i="28" s="1"/>
  <c r="G106" i="28" s="1"/>
  <c r="G99" i="28" s="1"/>
  <c r="O118" i="24"/>
  <c r="O127" i="24"/>
  <c r="O130" i="24" s="1"/>
  <c r="O142" i="24" s="1"/>
  <c r="O113" i="28" s="1"/>
  <c r="O106" i="28" s="1"/>
  <c r="O99" i="28" s="1"/>
  <c r="BL118" i="24"/>
  <c r="BL127" i="24"/>
  <c r="BL130" i="24" s="1"/>
  <c r="BL142" i="24" s="1"/>
  <c r="BL113" i="28" s="1"/>
  <c r="BL106" i="28" s="1"/>
  <c r="BL99" i="28" s="1"/>
  <c r="AH118" i="24"/>
  <c r="AH127" i="24"/>
  <c r="AH130" i="24" s="1"/>
  <c r="AH142" i="24" s="1"/>
  <c r="AH113" i="28" s="1"/>
  <c r="AH106" i="28" s="1"/>
  <c r="AH99" i="28" s="1"/>
  <c r="BU118" i="24"/>
  <c r="BU127" i="24"/>
  <c r="BU130" i="24" s="1"/>
  <c r="BU142" i="24" s="1"/>
  <c r="BU113" i="28" s="1"/>
  <c r="BU106" i="28" s="1"/>
  <c r="BU99" i="28" s="1"/>
  <c r="BW118" i="24"/>
  <c r="BW127" i="24"/>
  <c r="BW130" i="24" s="1"/>
  <c r="BW142" i="24" s="1"/>
  <c r="BW113" i="28" s="1"/>
  <c r="BW106" i="28" s="1"/>
  <c r="BW99" i="28" s="1"/>
  <c r="EC127" i="24"/>
  <c r="EC130" i="24" s="1"/>
  <c r="EC142" i="24" s="1"/>
  <c r="EC113" i="28" s="1"/>
  <c r="EC106" i="28" s="1"/>
  <c r="EC99" i="28" s="1"/>
  <c r="EC118" i="24"/>
  <c r="H118" i="24"/>
  <c r="H127" i="24"/>
  <c r="H130" i="24" s="1"/>
  <c r="H142" i="24" s="1"/>
  <c r="R127" i="24"/>
  <c r="R130" i="24" s="1"/>
  <c r="R142" i="24" s="1"/>
  <c r="R113" i="28" s="1"/>
  <c r="R106" i="28" s="1"/>
  <c r="R99" i="28" s="1"/>
  <c r="R118" i="24"/>
  <c r="AG118" i="24"/>
  <c r="AG127" i="24"/>
  <c r="AG130" i="24" s="1"/>
  <c r="AG142" i="24" s="1"/>
  <c r="AG113" i="28" s="1"/>
  <c r="AG106" i="28" s="1"/>
  <c r="AG99" i="28" s="1"/>
  <c r="CX127" i="24"/>
  <c r="CX130" i="24" s="1"/>
  <c r="CX142" i="24" s="1"/>
  <c r="CX113" i="28" s="1"/>
  <c r="CX106" i="28" s="1"/>
  <c r="CX99" i="28" s="1"/>
  <c r="CX118" i="24"/>
  <c r="E70" i="24"/>
  <c r="E79" i="24"/>
  <c r="E82" i="24" s="1"/>
  <c r="E140" i="24" s="1"/>
  <c r="E91" i="28" s="1"/>
  <c r="E84" i="28" s="1"/>
  <c r="E77" i="28" s="1"/>
  <c r="N118" i="24"/>
  <c r="N127" i="24"/>
  <c r="N130" i="24" s="1"/>
  <c r="N142" i="24" s="1"/>
  <c r="N113" i="28" s="1"/>
  <c r="N106" i="28" s="1"/>
  <c r="N99" i="28" s="1"/>
  <c r="BK127" i="24"/>
  <c r="BK130" i="24" s="1"/>
  <c r="BK142" i="24" s="1"/>
  <c r="BK113" i="28" s="1"/>
  <c r="BK106" i="28" s="1"/>
  <c r="BK99" i="28" s="1"/>
  <c r="BK118" i="24"/>
  <c r="CF70" i="24"/>
  <c r="CF79" i="24"/>
  <c r="CF82" i="24" s="1"/>
  <c r="CF140" i="24" s="1"/>
  <c r="CF91" i="28" s="1"/>
  <c r="CF84" i="28" s="1"/>
  <c r="CF77" i="28" s="1"/>
  <c r="BO118" i="24"/>
  <c r="BO127" i="24"/>
  <c r="BO130" i="24" s="1"/>
  <c r="BO142" i="24" s="1"/>
  <c r="BO113" i="28" s="1"/>
  <c r="BO106" i="28" s="1"/>
  <c r="DU118" i="24"/>
  <c r="DU127" i="24"/>
  <c r="DU130" i="24" s="1"/>
  <c r="DU142" i="24" s="1"/>
  <c r="DU113" i="28" s="1"/>
  <c r="DU106" i="28" s="1"/>
  <c r="CV70" i="24"/>
  <c r="CV79" i="24"/>
  <c r="CV82" i="24" s="1"/>
  <c r="CV140" i="24" s="1"/>
  <c r="CV91" i="28" s="1"/>
  <c r="CV84" i="28" s="1"/>
  <c r="CV77" i="28" s="1"/>
  <c r="AS127" i="24"/>
  <c r="AS130" i="24" s="1"/>
  <c r="AS142" i="24" s="1"/>
  <c r="AS113" i="28" s="1"/>
  <c r="AS106" i="28" s="1"/>
  <c r="AS99" i="28" s="1"/>
  <c r="AS118" i="24"/>
  <c r="CO127" i="24"/>
  <c r="CO130" i="24" s="1"/>
  <c r="CO142" i="24" s="1"/>
  <c r="CO113" i="28" s="1"/>
  <c r="CO106" i="28" s="1"/>
  <c r="CO99" i="28" s="1"/>
  <c r="CO118" i="24"/>
  <c r="CU118" i="24"/>
  <c r="CU127" i="24"/>
  <c r="CU130" i="24" s="1"/>
  <c r="CU142" i="24" s="1"/>
  <c r="CU113" i="28" s="1"/>
  <c r="CU106" i="28" s="1"/>
  <c r="CU99" i="28" s="1"/>
  <c r="DO118" i="24"/>
  <c r="DO127" i="24"/>
  <c r="DO130" i="24" s="1"/>
  <c r="DO142" i="24" s="1"/>
  <c r="AP118" i="24"/>
  <c r="AP127" i="24"/>
  <c r="AP130" i="24" s="1"/>
  <c r="AP142" i="24" s="1"/>
  <c r="AP113" i="28" s="1"/>
  <c r="AP106" i="28" s="1"/>
  <c r="AP99" i="28" s="1"/>
  <c r="CD118" i="24"/>
  <c r="CD127" i="24"/>
  <c r="CD130" i="24" s="1"/>
  <c r="CD142" i="24" s="1"/>
  <c r="CD113" i="28" s="1"/>
  <c r="CD106" i="28" s="1"/>
  <c r="CD99" i="28" s="1"/>
  <c r="CP127" i="24"/>
  <c r="CP130" i="24" s="1"/>
  <c r="CP142" i="24" s="1"/>
  <c r="CP113" i="28" s="1"/>
  <c r="CP106" i="28" s="1"/>
  <c r="CP99" i="28" s="1"/>
  <c r="CP118" i="24"/>
  <c r="DV90" i="28" l="1"/>
  <c r="DV99" i="28"/>
  <c r="DV98" i="28" s="1"/>
  <c r="DV105" i="28"/>
  <c r="DV77" i="28"/>
  <c r="DV83" i="28"/>
  <c r="Y99" i="28"/>
  <c r="DS106" i="28"/>
  <c r="DS112" i="28"/>
  <c r="DS90" i="28"/>
  <c r="DS84" i="28"/>
  <c r="Y84" i="28"/>
  <c r="Y90" i="28"/>
  <c r="D49" i="55"/>
  <c r="Z106" i="28"/>
  <c r="W113" i="28"/>
  <c r="W106" i="28" s="1"/>
  <c r="W99" i="28" s="1"/>
  <c r="W91" i="28"/>
  <c r="W84" i="28" s="1"/>
  <c r="W77" i="28" s="1"/>
  <c r="Z90" i="28"/>
  <c r="Z84" i="28"/>
  <c r="AD90" i="28"/>
  <c r="AD84" i="28"/>
  <c r="AD106" i="28"/>
  <c r="AE113" i="28"/>
  <c r="AE106" i="28" s="1"/>
  <c r="AE99" i="28" s="1"/>
  <c r="AC106" i="28"/>
  <c r="AE91" i="28"/>
  <c r="AE90" i="28" s="1"/>
  <c r="AC84" i="28"/>
  <c r="AC90" i="28"/>
  <c r="C50" i="41"/>
  <c r="I106" i="28"/>
  <c r="I84" i="28"/>
  <c r="K84" i="28"/>
  <c r="K106" i="28"/>
  <c r="H113" i="28"/>
  <c r="H106" i="28" s="1"/>
  <c r="H99" i="28" s="1"/>
  <c r="H91" i="28"/>
  <c r="H84" i="28" s="1"/>
  <c r="H77" i="28" s="1"/>
  <c r="DQ84" i="28"/>
  <c r="DQ106" i="28"/>
  <c r="AN142" i="24"/>
  <c r="AN113" i="28" s="1"/>
  <c r="AN106" i="28" s="1"/>
  <c r="AN99" i="28" s="1"/>
  <c r="AF45" i="32"/>
  <c r="T140" i="24"/>
  <c r="T91" i="28" s="1"/>
  <c r="T84" i="28" s="1"/>
  <c r="T77" i="28" s="1"/>
  <c r="C53" i="42" s="1"/>
  <c r="CI140" i="24"/>
  <c r="CI91" i="28" s="1"/>
  <c r="DW99" i="28"/>
  <c r="AH45" i="38"/>
  <c r="DW77" i="28"/>
  <c r="D48" i="74" s="1"/>
  <c r="AH45" i="39"/>
  <c r="DU99" i="28"/>
  <c r="BO77" i="28"/>
  <c r="BF77" i="28"/>
  <c r="BX77" i="28"/>
  <c r="BE99" i="28"/>
  <c r="BO99" i="28"/>
  <c r="BX99" i="28"/>
  <c r="BD77" i="28"/>
  <c r="BD99" i="28"/>
  <c r="BE77" i="28"/>
  <c r="BF99" i="28"/>
  <c r="DI106" i="28"/>
  <c r="DI112" i="28"/>
  <c r="DH90" i="28"/>
  <c r="DH84" i="28"/>
  <c r="DE90" i="28"/>
  <c r="DE84" i="28"/>
  <c r="DF112" i="28"/>
  <c r="DF106" i="28"/>
  <c r="DE106" i="28"/>
  <c r="DE112" i="28"/>
  <c r="DI84" i="28"/>
  <c r="DI90" i="28"/>
  <c r="DJ106" i="28"/>
  <c r="DJ112" i="28"/>
  <c r="DF84" i="28"/>
  <c r="DF90" i="28"/>
  <c r="DH106" i="28"/>
  <c r="DH112" i="28"/>
  <c r="DJ84" i="28"/>
  <c r="DJ90" i="28"/>
  <c r="CI106" i="28"/>
  <c r="S45" i="38" s="1"/>
  <c r="CI112" i="28"/>
  <c r="CM112" i="28"/>
  <c r="CM106" i="28"/>
  <c r="W45" i="38" s="1"/>
  <c r="CJ106" i="28"/>
  <c r="T45" i="38" s="1"/>
  <c r="CJ112" i="28"/>
  <c r="CH112" i="28"/>
  <c r="CH106" i="28"/>
  <c r="CH90" i="28"/>
  <c r="CH84" i="28"/>
  <c r="CJ90" i="28"/>
  <c r="CJ84" i="28"/>
  <c r="T45" i="39" s="1"/>
  <c r="CM90" i="28"/>
  <c r="CM84" i="28"/>
  <c r="W45" i="39" s="1"/>
  <c r="CK106" i="28"/>
  <c r="U45" i="38" s="1"/>
  <c r="CK112" i="28"/>
  <c r="CL112" i="28"/>
  <c r="CL106" i="28"/>
  <c r="V45" i="38" s="1"/>
  <c r="CK84" i="28"/>
  <c r="U45" i="39" s="1"/>
  <c r="CK90" i="28"/>
  <c r="CL90" i="28"/>
  <c r="CL84" i="28"/>
  <c r="V45" i="39" s="1"/>
  <c r="DC84" i="28"/>
  <c r="DC90" i="28"/>
  <c r="DD106" i="28"/>
  <c r="DD112" i="28"/>
  <c r="CZ112" i="28"/>
  <c r="CZ106" i="28"/>
  <c r="DC106" i="28"/>
  <c r="DC112" i="28"/>
  <c r="DB84" i="28"/>
  <c r="DB90" i="28"/>
  <c r="DD84" i="28"/>
  <c r="DD90" i="28"/>
  <c r="DB112" i="28"/>
  <c r="DB106" i="28"/>
  <c r="CZ84" i="28"/>
  <c r="CZ90" i="28"/>
  <c r="DO91" i="28"/>
  <c r="DO84" i="28" s="1"/>
  <c r="DO77" i="28" s="1"/>
  <c r="D54" i="74" s="1"/>
  <c r="DP113" i="28"/>
  <c r="DP106" i="28" s="1"/>
  <c r="DP99" i="28" s="1"/>
  <c r="DM91" i="28"/>
  <c r="DM84" i="28" s="1"/>
  <c r="DM77" i="28" s="1"/>
  <c r="D52" i="74" s="1"/>
  <c r="DK91" i="28"/>
  <c r="DK84" i="28" s="1"/>
  <c r="DK77" i="28" s="1"/>
  <c r="D51" i="74" s="1"/>
  <c r="DO113" i="28"/>
  <c r="DO106" i="28" s="1"/>
  <c r="DO99" i="28" s="1"/>
  <c r="DL113" i="28"/>
  <c r="DL106" i="28" s="1"/>
  <c r="DL99" i="28" s="1"/>
  <c r="DN113" i="28"/>
  <c r="DN106" i="28" s="1"/>
  <c r="DN99" i="28" s="1"/>
  <c r="DP91" i="28"/>
  <c r="DP84" i="28" s="1"/>
  <c r="DP77" i="28" s="1"/>
  <c r="D47" i="74" s="1"/>
  <c r="DM113" i="28"/>
  <c r="DM106" i="28" s="1"/>
  <c r="DM99" i="28" s="1"/>
  <c r="DN91" i="28"/>
  <c r="DN84" i="28" s="1"/>
  <c r="DN77" i="28" s="1"/>
  <c r="D53" i="74" s="1"/>
  <c r="DK113" i="28"/>
  <c r="DK106" i="28" s="1"/>
  <c r="DK99" i="28" s="1"/>
  <c r="DL91" i="28"/>
  <c r="DL84" i="28" s="1"/>
  <c r="DL77" i="28" s="1"/>
  <c r="D50" i="74" s="1"/>
  <c r="BT84" i="28"/>
  <c r="BT77" i="28" s="1"/>
  <c r="DU84" i="28"/>
  <c r="BP112" i="28"/>
  <c r="AJ90" i="28"/>
  <c r="AP90" i="28"/>
  <c r="BP90" i="28"/>
  <c r="AL90" i="28"/>
  <c r="AO90" i="28"/>
  <c r="AK90" i="28"/>
  <c r="AT90" i="28"/>
  <c r="BY90" i="28"/>
  <c r="BO112" i="28"/>
  <c r="AT112" i="28"/>
  <c r="AQ112" i="28"/>
  <c r="BY112" i="28"/>
  <c r="V90" i="28"/>
  <c r="AQ90" i="28"/>
  <c r="BX90" i="28"/>
  <c r="BO90" i="28"/>
  <c r="AM90" i="28"/>
  <c r="AS90" i="28"/>
  <c r="AG90" i="28"/>
  <c r="E90" i="28"/>
  <c r="BX112" i="28"/>
  <c r="AI90" i="28"/>
  <c r="AL112" i="28"/>
  <c r="J113" i="28"/>
  <c r="J106" i="28" s="1"/>
  <c r="AH90" i="28"/>
  <c r="AP112" i="28"/>
  <c r="AH112" i="28"/>
  <c r="AM112" i="28"/>
  <c r="U90" i="28"/>
  <c r="AS112" i="28"/>
  <c r="AK112" i="28"/>
  <c r="AG112" i="28"/>
  <c r="AO112" i="28"/>
  <c r="AO99" i="28"/>
  <c r="AN90" i="28"/>
  <c r="J91" i="28"/>
  <c r="J84" i="28" s="1"/>
  <c r="J77" i="28" s="1"/>
  <c r="DV76" i="28" l="1"/>
  <c r="D45" i="74"/>
  <c r="M45" i="74" s="1"/>
  <c r="AG45" i="36"/>
  <c r="D47" i="55"/>
  <c r="DS77" i="28"/>
  <c r="D46" i="74" s="1"/>
  <c r="DS83" i="28"/>
  <c r="DS99" i="28"/>
  <c r="DS105" i="28"/>
  <c r="Y77" i="28"/>
  <c r="Y76" i="28" s="1"/>
  <c r="Y83" i="28"/>
  <c r="C47" i="72"/>
  <c r="J99" i="28"/>
  <c r="AF91" i="28"/>
  <c r="AF84" i="28" s="1"/>
  <c r="AF77" i="28" s="1"/>
  <c r="Z77" i="28"/>
  <c r="Z76" i="28" s="1"/>
  <c r="Z83" i="28"/>
  <c r="Z99" i="28"/>
  <c r="C50" i="72" s="1"/>
  <c r="E45" i="38"/>
  <c r="AD99" i="28"/>
  <c r="C49" i="72" s="1"/>
  <c r="AE84" i="28"/>
  <c r="E45" i="39" s="1"/>
  <c r="AD77" i="28"/>
  <c r="AD76" i="28" s="1"/>
  <c r="AD83" i="28"/>
  <c r="AC77" i="28"/>
  <c r="AC76" i="28" s="1"/>
  <c r="AC83" i="28"/>
  <c r="AC99" i="28"/>
  <c r="I99" i="28"/>
  <c r="I77" i="28"/>
  <c r="K99" i="28"/>
  <c r="K77" i="28"/>
  <c r="E45" i="32"/>
  <c r="DQ77" i="28"/>
  <c r="DQ99" i="28"/>
  <c r="AE60" i="64"/>
  <c r="AE60" i="69"/>
  <c r="AE45" i="69"/>
  <c r="AE45" i="64"/>
  <c r="AG45" i="32"/>
  <c r="CI90" i="28"/>
  <c r="CI84" i="28"/>
  <c r="S45" i="39" s="1"/>
  <c r="DU77" i="28"/>
  <c r="DJ77" i="28"/>
  <c r="DJ76" i="28" s="1"/>
  <c r="DJ83" i="28"/>
  <c r="DE77" i="28"/>
  <c r="DE76" i="28" s="1"/>
  <c r="DE83" i="28"/>
  <c r="DH99" i="28"/>
  <c r="DH98" i="28" s="1"/>
  <c r="DH105" i="28"/>
  <c r="DI83" i="28"/>
  <c r="DI77" i="28"/>
  <c r="DI76" i="28" s="1"/>
  <c r="DF105" i="28"/>
  <c r="DF99" i="28"/>
  <c r="DH77" i="28"/>
  <c r="DH76" i="28" s="1"/>
  <c r="DH83" i="28"/>
  <c r="DF77" i="28"/>
  <c r="DF76" i="28" s="1"/>
  <c r="DF83" i="28"/>
  <c r="DE99" i="28"/>
  <c r="DE98" i="28" s="1"/>
  <c r="DE105" i="28"/>
  <c r="DJ105" i="28"/>
  <c r="DJ99" i="28"/>
  <c r="DJ98" i="28" s="1"/>
  <c r="DI99" i="28"/>
  <c r="DI98" i="28" s="1"/>
  <c r="DI105" i="28"/>
  <c r="CL83" i="28"/>
  <c r="CL77" i="28"/>
  <c r="CJ105" i="28"/>
  <c r="S72" i="60" s="1"/>
  <c r="CJ99" i="28"/>
  <c r="CM77" i="28"/>
  <c r="CM83" i="28"/>
  <c r="CJ77" i="28"/>
  <c r="CJ83" i="28"/>
  <c r="CH99" i="28"/>
  <c r="CH98" i="28" s="1"/>
  <c r="CH105" i="28"/>
  <c r="CK83" i="28"/>
  <c r="CK77" i="28"/>
  <c r="CL99" i="28"/>
  <c r="CL105" i="28"/>
  <c r="U72" i="60" s="1"/>
  <c r="CM99" i="28"/>
  <c r="CM105" i="28"/>
  <c r="V72" i="60" s="1"/>
  <c r="CH77" i="28"/>
  <c r="CH76" i="28" s="1"/>
  <c r="CH83" i="28"/>
  <c r="CK99" i="28"/>
  <c r="CK105" i="28"/>
  <c r="T72" i="60" s="1"/>
  <c r="CI99" i="28"/>
  <c r="CI105" i="28"/>
  <c r="R72" i="60" s="1"/>
  <c r="DB99" i="28"/>
  <c r="DB98" i="28" s="1"/>
  <c r="DB105" i="28"/>
  <c r="DC99" i="28"/>
  <c r="DC98" i="28" s="1"/>
  <c r="DC105" i="28"/>
  <c r="DD77" i="28"/>
  <c r="DD76" i="28" s="1"/>
  <c r="DD83" i="28"/>
  <c r="CZ99" i="28"/>
  <c r="CZ105" i="28"/>
  <c r="DD99" i="28"/>
  <c r="DD98" i="28" s="1"/>
  <c r="DD105" i="28"/>
  <c r="CZ77" i="28"/>
  <c r="CZ76" i="28" s="1"/>
  <c r="CZ83" i="28"/>
  <c r="DB77" i="28"/>
  <c r="DB76" i="28" s="1"/>
  <c r="DB83" i="28"/>
  <c r="DC77" i="28"/>
  <c r="DC76" i="28" s="1"/>
  <c r="DC83" i="28"/>
  <c r="D45" i="39"/>
  <c r="I45" i="38"/>
  <c r="U83" i="28"/>
  <c r="AA45" i="38"/>
  <c r="AM105" i="28"/>
  <c r="L45" i="38"/>
  <c r="V83" i="28"/>
  <c r="BP76" i="28"/>
  <c r="BP83" i="28"/>
  <c r="R45" i="38"/>
  <c r="AH105" i="28"/>
  <c r="H45" i="38"/>
  <c r="X45" i="39"/>
  <c r="AT83" i="28"/>
  <c r="AK83" i="28"/>
  <c r="J45" i="39"/>
  <c r="AB45" i="39"/>
  <c r="AH83" i="28"/>
  <c r="H45" i="39"/>
  <c r="X45" i="38"/>
  <c r="Y45" i="39"/>
  <c r="AO105" i="28"/>
  <c r="N45" i="38"/>
  <c r="C45" i="38"/>
  <c r="AG105" i="28"/>
  <c r="F45" i="38"/>
  <c r="D56" i="48"/>
  <c r="D48" i="50"/>
  <c r="AD45" i="39"/>
  <c r="AI45" i="38"/>
  <c r="AG83" i="28"/>
  <c r="F45" i="39"/>
  <c r="BO83" i="28"/>
  <c r="BO76" i="28"/>
  <c r="Q45" i="39"/>
  <c r="BY105" i="28"/>
  <c r="AQ105" i="28"/>
  <c r="P45" i="38"/>
  <c r="AD45" i="38"/>
  <c r="AP83" i="28"/>
  <c r="O45" i="39"/>
  <c r="BP98" i="28"/>
  <c r="BP105" i="28"/>
  <c r="AM83" i="28"/>
  <c r="L45" i="39"/>
  <c r="BO98" i="28"/>
  <c r="BO105" i="28"/>
  <c r="AA45" i="39"/>
  <c r="AN83" i="28"/>
  <c r="M45" i="39"/>
  <c r="AE45" i="39"/>
  <c r="G45" i="38"/>
  <c r="BX105" i="28"/>
  <c r="Q45" i="38"/>
  <c r="AL83" i="28"/>
  <c r="K45" i="39"/>
  <c r="AG45" i="38"/>
  <c r="AB45" i="38"/>
  <c r="Y45" i="38"/>
  <c r="BX83" i="28"/>
  <c r="AF45" i="39"/>
  <c r="M45" i="38"/>
  <c r="AT105" i="28"/>
  <c r="AJ83" i="28"/>
  <c r="I45" i="39"/>
  <c r="Z45" i="39"/>
  <c r="AI83" i="28"/>
  <c r="G45" i="39"/>
  <c r="AQ83" i="28"/>
  <c r="P45" i="39"/>
  <c r="AF45" i="38"/>
  <c r="AG45" i="39"/>
  <c r="D45" i="38"/>
  <c r="AE45" i="38"/>
  <c r="AC45" i="39"/>
  <c r="AI45" i="39"/>
  <c r="AK105" i="28"/>
  <c r="J45" i="38"/>
  <c r="AP105" i="28"/>
  <c r="O45" i="38"/>
  <c r="AL105" i="28"/>
  <c r="K45" i="38"/>
  <c r="C45" i="39"/>
  <c r="AS83" i="28"/>
  <c r="Z45" i="38"/>
  <c r="AS105" i="28"/>
  <c r="E83" i="28"/>
  <c r="R45" i="39"/>
  <c r="AC45" i="38"/>
  <c r="BY83" i="28"/>
  <c r="AO83" i="28"/>
  <c r="N45" i="39"/>
  <c r="DS76" i="28" l="1"/>
  <c r="M46" i="74"/>
  <c r="DS98" i="28"/>
  <c r="D46" i="55"/>
  <c r="M46" i="55" s="1"/>
  <c r="AF90" i="28"/>
  <c r="D48" i="55"/>
  <c r="C53" i="72"/>
  <c r="C52" i="72"/>
  <c r="C51" i="72"/>
  <c r="AE77" i="28"/>
  <c r="E45" i="36" s="1"/>
  <c r="AE83" i="28"/>
  <c r="C53" i="41"/>
  <c r="C48" i="72"/>
  <c r="AF60" i="64"/>
  <c r="AF60" i="69"/>
  <c r="AF45" i="69"/>
  <c r="AF45" i="64"/>
  <c r="T45" i="32"/>
  <c r="DF98" i="28"/>
  <c r="E51" i="63"/>
  <c r="O51" i="63" s="1"/>
  <c r="E50" i="63"/>
  <c r="E48" i="63"/>
  <c r="E49" i="63"/>
  <c r="E55" i="63"/>
  <c r="CZ98" i="28"/>
  <c r="CI77" i="28"/>
  <c r="CI76" i="28" s="1"/>
  <c r="CI83" i="28"/>
  <c r="CM76" i="28"/>
  <c r="V45" i="36"/>
  <c r="CM98" i="28"/>
  <c r="V73" i="60" s="1"/>
  <c r="V45" i="32"/>
  <c r="CL98" i="28"/>
  <c r="U73" i="60" s="1"/>
  <c r="U45" i="32"/>
  <c r="CK98" i="28"/>
  <c r="T73" i="60" s="1"/>
  <c r="CJ98" i="28"/>
  <c r="S73" i="60" s="1"/>
  <c r="CI98" i="28"/>
  <c r="R73" i="60" s="1"/>
  <c r="S45" i="32"/>
  <c r="CK76" i="28"/>
  <c r="T45" i="36"/>
  <c r="CL76" i="28"/>
  <c r="U45" i="36"/>
  <c r="CJ76" i="28"/>
  <c r="C61" i="41"/>
  <c r="C49" i="42"/>
  <c r="D45" i="32"/>
  <c r="D54" i="51"/>
  <c r="D56" i="43"/>
  <c r="BY76" i="28"/>
  <c r="D45" i="51"/>
  <c r="AF45" i="36"/>
  <c r="AQ76" i="28"/>
  <c r="P45" i="36"/>
  <c r="D49" i="54"/>
  <c r="D54" i="43"/>
  <c r="AM76" i="28"/>
  <c r="L45" i="36"/>
  <c r="D49" i="52"/>
  <c r="Q45" i="36"/>
  <c r="D53" i="43"/>
  <c r="D53" i="48"/>
  <c r="Z45" i="32"/>
  <c r="D47" i="54"/>
  <c r="D46" i="47"/>
  <c r="D53" i="55"/>
  <c r="Y45" i="36"/>
  <c r="D48" i="48"/>
  <c r="AN76" i="28"/>
  <c r="M45" i="36"/>
  <c r="C49" i="41"/>
  <c r="C56" i="41"/>
  <c r="AQ98" i="28"/>
  <c r="P45" i="32"/>
  <c r="D52" i="51"/>
  <c r="D45" i="55"/>
  <c r="C45" i="32"/>
  <c r="AH76" i="28"/>
  <c r="H45" i="36"/>
  <c r="AK76" i="28"/>
  <c r="J45" i="36"/>
  <c r="C58" i="41"/>
  <c r="D47" i="52"/>
  <c r="D45" i="52"/>
  <c r="D47" i="50"/>
  <c r="Q45" i="32"/>
  <c r="C48" i="41"/>
  <c r="D56" i="47"/>
  <c r="O72" i="60"/>
  <c r="P71" i="61"/>
  <c r="D48" i="47"/>
  <c r="AS98" i="28"/>
  <c r="D50" i="43"/>
  <c r="D48" i="52"/>
  <c r="J72" i="60"/>
  <c r="K71" i="61"/>
  <c r="I72" i="60"/>
  <c r="J71" i="61"/>
  <c r="AH45" i="36"/>
  <c r="D55" i="47"/>
  <c r="AJ76" i="28"/>
  <c r="I45" i="36"/>
  <c r="X45" i="32"/>
  <c r="D49" i="50"/>
  <c r="AF83" i="28"/>
  <c r="AF76" i="28"/>
  <c r="D46" i="50"/>
  <c r="D56" i="51"/>
  <c r="G45" i="32"/>
  <c r="Z45" i="36"/>
  <c r="D51" i="51"/>
  <c r="C62" i="42"/>
  <c r="W45" i="32"/>
  <c r="AT76" i="28"/>
  <c r="D45" i="47"/>
  <c r="D50" i="50"/>
  <c r="D50" i="55"/>
  <c r="D54" i="47"/>
  <c r="D46" i="54"/>
  <c r="C55" i="42"/>
  <c r="AS76" i="28"/>
  <c r="D50" i="47"/>
  <c r="D48" i="51"/>
  <c r="C54" i="42"/>
  <c r="C59" i="41"/>
  <c r="AO76" i="28"/>
  <c r="H62" i="74" s="1"/>
  <c r="N45" i="36"/>
  <c r="Y45" i="32"/>
  <c r="AL98" i="28"/>
  <c r="K45" i="32"/>
  <c r="N72" i="60"/>
  <c r="O71" i="61"/>
  <c r="AK98" i="28"/>
  <c r="J45" i="32"/>
  <c r="AE45" i="32"/>
  <c r="AI76" i="28"/>
  <c r="G45" i="36"/>
  <c r="AE45" i="36"/>
  <c r="C55" i="41"/>
  <c r="D52" i="43"/>
  <c r="D49" i="47"/>
  <c r="BY98" i="28"/>
  <c r="D45" i="48"/>
  <c r="D50" i="52"/>
  <c r="C57" i="41"/>
  <c r="M72" i="60"/>
  <c r="N71" i="61"/>
  <c r="C52" i="42"/>
  <c r="D49" i="48"/>
  <c r="D48" i="54"/>
  <c r="D54" i="55"/>
  <c r="AH45" i="32"/>
  <c r="X45" i="36"/>
  <c r="I45" i="32"/>
  <c r="R45" i="36"/>
  <c r="D51" i="43"/>
  <c r="C45" i="36"/>
  <c r="C63" i="41"/>
  <c r="BX76" i="28"/>
  <c r="D50" i="51"/>
  <c r="D49" i="51"/>
  <c r="AL76" i="28"/>
  <c r="K45" i="36"/>
  <c r="D51" i="48"/>
  <c r="AC45" i="32"/>
  <c r="G72" i="60"/>
  <c r="G45" i="60" s="1"/>
  <c r="H71" i="61"/>
  <c r="D55" i="48"/>
  <c r="L71" i="61"/>
  <c r="K72" i="60"/>
  <c r="U76" i="28"/>
  <c r="C57" i="42"/>
  <c r="D46" i="51"/>
  <c r="AD45" i="32"/>
  <c r="M45" i="32"/>
  <c r="D52" i="48"/>
  <c r="AG76" i="28"/>
  <c r="F45" i="36"/>
  <c r="D52" i="47"/>
  <c r="C60" i="41"/>
  <c r="AP98" i="28"/>
  <c r="O45" i="32"/>
  <c r="AB45" i="36"/>
  <c r="C48" i="42"/>
  <c r="D51" i="55"/>
  <c r="C54" i="41"/>
  <c r="D45" i="54"/>
  <c r="BX98" i="28"/>
  <c r="D50" i="48"/>
  <c r="D46" i="48"/>
  <c r="C60" i="42"/>
  <c r="AO98" i="28"/>
  <c r="N45" i="32"/>
  <c r="D54" i="48"/>
  <c r="AB45" i="32"/>
  <c r="E76" i="28"/>
  <c r="C63" i="42"/>
  <c r="D55" i="51"/>
  <c r="C62" i="41"/>
  <c r="D45" i="50"/>
  <c r="D48" i="43"/>
  <c r="D53" i="47"/>
  <c r="D51" i="47"/>
  <c r="AT98" i="28"/>
  <c r="D45" i="43"/>
  <c r="AA45" i="32"/>
  <c r="AD45" i="36"/>
  <c r="D50" i="54"/>
  <c r="D46" i="52"/>
  <c r="D46" i="43"/>
  <c r="C58" i="42"/>
  <c r="AC45" i="36"/>
  <c r="E72" i="60"/>
  <c r="E45" i="60" s="1"/>
  <c r="F71" i="61"/>
  <c r="AA45" i="36"/>
  <c r="AH98" i="28"/>
  <c r="H45" i="32"/>
  <c r="C61" i="42"/>
  <c r="V76" i="28"/>
  <c r="C56" i="42"/>
  <c r="AM98" i="28"/>
  <c r="L45" i="32"/>
  <c r="D49" i="43"/>
  <c r="D53" i="51"/>
  <c r="AP76" i="28"/>
  <c r="I59" i="47" s="1"/>
  <c r="I55" i="47" s="1"/>
  <c r="O45" i="36"/>
  <c r="AG98" i="28"/>
  <c r="F45" i="32"/>
  <c r="D55" i="43"/>
  <c r="W45" i="36"/>
  <c r="C59" i="42"/>
  <c r="R45" i="32"/>
  <c r="D45" i="36"/>
  <c r="H54" i="74" l="1"/>
  <c r="H50" i="74"/>
  <c r="H46" i="74"/>
  <c r="H52" i="74"/>
  <c r="H49" i="74"/>
  <c r="H45" i="74"/>
  <c r="H48" i="74"/>
  <c r="H53" i="74"/>
  <c r="H51" i="74"/>
  <c r="H47" i="74"/>
  <c r="AE76" i="28"/>
  <c r="I60" i="63"/>
  <c r="I53" i="63" s="1"/>
  <c r="H46" i="72"/>
  <c r="K60" i="64"/>
  <c r="K45" i="69"/>
  <c r="K60" i="69"/>
  <c r="Z60" i="64"/>
  <c r="Z45" i="69"/>
  <c r="Z60" i="69"/>
  <c r="N60" i="64"/>
  <c r="N45" i="69"/>
  <c r="N60" i="69"/>
  <c r="AC60" i="64"/>
  <c r="AC45" i="69"/>
  <c r="AC60" i="69"/>
  <c r="I60" i="64"/>
  <c r="I60" i="69"/>
  <c r="I45" i="69"/>
  <c r="P60" i="64"/>
  <c r="P60" i="69"/>
  <c r="P45" i="69"/>
  <c r="R60" i="64"/>
  <c r="R45" i="69"/>
  <c r="R60" i="69"/>
  <c r="AB60" i="64"/>
  <c r="AB45" i="69"/>
  <c r="AB60" i="69"/>
  <c r="F60" i="64"/>
  <c r="F45" i="69"/>
  <c r="F60" i="69"/>
  <c r="C60" i="64"/>
  <c r="C45" i="69"/>
  <c r="C60" i="69"/>
  <c r="S60" i="64"/>
  <c r="S45" i="69"/>
  <c r="S60" i="69"/>
  <c r="Q60" i="64"/>
  <c r="Q60" i="69"/>
  <c r="Q45" i="69"/>
  <c r="AD60" i="64"/>
  <c r="AD45" i="69"/>
  <c r="AD60" i="69"/>
  <c r="Y60" i="64"/>
  <c r="Y60" i="69"/>
  <c r="Y45" i="69"/>
  <c r="E60" i="64"/>
  <c r="E45" i="69"/>
  <c r="E60" i="69"/>
  <c r="T60" i="64"/>
  <c r="T60" i="69"/>
  <c r="T45" i="69"/>
  <c r="W60" i="64"/>
  <c r="W60" i="69"/>
  <c r="W45" i="69"/>
  <c r="D60" i="64"/>
  <c r="D45" i="69"/>
  <c r="D60" i="69"/>
  <c r="H60" i="64"/>
  <c r="H60" i="69"/>
  <c r="H45" i="69"/>
  <c r="J60" i="64"/>
  <c r="J45" i="69"/>
  <c r="J60" i="69"/>
  <c r="O60" i="64"/>
  <c r="O60" i="69"/>
  <c r="O45" i="69"/>
  <c r="L60" i="64"/>
  <c r="L45" i="69"/>
  <c r="L60" i="69"/>
  <c r="AA60" i="64"/>
  <c r="AA45" i="69"/>
  <c r="AA60" i="69"/>
  <c r="G60" i="64"/>
  <c r="G60" i="69"/>
  <c r="G45" i="69"/>
  <c r="M60" i="64"/>
  <c r="M45" i="69"/>
  <c r="M60" i="69"/>
  <c r="V60" i="64"/>
  <c r="V60" i="69"/>
  <c r="V45" i="69"/>
  <c r="U60" i="64"/>
  <c r="U60" i="69"/>
  <c r="U45" i="69"/>
  <c r="AG60" i="64"/>
  <c r="AG60" i="69"/>
  <c r="AG45" i="69"/>
  <c r="X60" i="64"/>
  <c r="X60" i="69"/>
  <c r="X45" i="69"/>
  <c r="V45" i="64"/>
  <c r="L45" i="64"/>
  <c r="AD45" i="64"/>
  <c r="W45" i="64"/>
  <c r="Y45" i="64"/>
  <c r="D45" i="64"/>
  <c r="R45" i="64"/>
  <c r="M45" i="64"/>
  <c r="U45" i="64"/>
  <c r="K45" i="64"/>
  <c r="Z45" i="64"/>
  <c r="N45" i="64"/>
  <c r="AC45" i="64"/>
  <c r="I45" i="64"/>
  <c r="P45" i="64"/>
  <c r="X45" i="64"/>
  <c r="AB45" i="64"/>
  <c r="F45" i="64"/>
  <c r="C45" i="64"/>
  <c r="S45" i="64"/>
  <c r="G45" i="64"/>
  <c r="Q45" i="64"/>
  <c r="T45" i="64"/>
  <c r="E45" i="64"/>
  <c r="AA45" i="64"/>
  <c r="H45" i="64"/>
  <c r="J45" i="64"/>
  <c r="O45" i="64"/>
  <c r="AG45" i="64"/>
  <c r="S45" i="36"/>
  <c r="D52" i="55"/>
  <c r="M48" i="60"/>
  <c r="M46" i="60"/>
  <c r="M45" i="60"/>
  <c r="M55" i="60"/>
  <c r="M47" i="60"/>
  <c r="J57" i="42"/>
  <c r="N47" i="60"/>
  <c r="N48" i="60"/>
  <c r="N46" i="60"/>
  <c r="N45" i="60"/>
  <c r="N55" i="60"/>
  <c r="J46" i="60"/>
  <c r="J45" i="60"/>
  <c r="O73" i="60"/>
  <c r="P72" i="61"/>
  <c r="G73" i="60"/>
  <c r="H72" i="61"/>
  <c r="N73" i="60"/>
  <c r="O72" i="61"/>
  <c r="I59" i="43"/>
  <c r="I55" i="43" s="1"/>
  <c r="I73" i="60"/>
  <c r="J72" i="61"/>
  <c r="E73" i="60"/>
  <c r="F72" i="61"/>
  <c r="C50" i="42"/>
  <c r="C51" i="42"/>
  <c r="K46" i="60"/>
  <c r="K45" i="60"/>
  <c r="J73" i="60"/>
  <c r="K72" i="61"/>
  <c r="O47" i="60"/>
  <c r="O48" i="60"/>
  <c r="O46" i="60"/>
  <c r="O45" i="60"/>
  <c r="O55" i="60"/>
  <c r="L72" i="61"/>
  <c r="K73" i="60"/>
  <c r="L62" i="51"/>
  <c r="H46" i="42"/>
  <c r="H58" i="52"/>
  <c r="H45" i="52" s="1"/>
  <c r="H58" i="47"/>
  <c r="I46" i="60"/>
  <c r="I45" i="60"/>
  <c r="J56" i="42"/>
  <c r="J63" i="42"/>
  <c r="H62" i="55"/>
  <c r="H46" i="41"/>
  <c r="H58" i="50"/>
  <c r="H45" i="50" s="1"/>
  <c r="M73" i="60"/>
  <c r="N72" i="61"/>
  <c r="S45" i="61" s="1"/>
  <c r="H58" i="54"/>
  <c r="H58" i="43"/>
  <c r="L62" i="48"/>
  <c r="C51" i="41"/>
  <c r="C52" i="41"/>
  <c r="H48" i="55" l="1"/>
  <c r="H46" i="55"/>
  <c r="H47" i="55"/>
  <c r="H49" i="55"/>
  <c r="I51" i="63"/>
  <c r="I50" i="63"/>
  <c r="I46" i="63"/>
  <c r="I45" i="63"/>
  <c r="I48" i="63"/>
  <c r="I52" i="63"/>
  <c r="I49" i="63"/>
  <c r="I55" i="63"/>
  <c r="I54" i="63"/>
  <c r="I47" i="63"/>
  <c r="H49" i="72"/>
  <c r="H48" i="72"/>
  <c r="H51" i="72"/>
  <c r="H47" i="72"/>
  <c r="H50" i="72"/>
  <c r="H52" i="72"/>
  <c r="H54" i="72"/>
  <c r="H53" i="72"/>
  <c r="L49" i="48"/>
  <c r="L51" i="48"/>
  <c r="L56" i="48"/>
  <c r="L46" i="48"/>
  <c r="L53" i="48"/>
  <c r="L48" i="48"/>
  <c r="L50" i="48"/>
  <c r="L55" i="48"/>
  <c r="L45" i="48"/>
  <c r="L52" i="48"/>
  <c r="L47" i="48"/>
  <c r="L54" i="48"/>
  <c r="H48" i="47"/>
  <c r="H50" i="47"/>
  <c r="H55" i="47"/>
  <c r="H45" i="47"/>
  <c r="H52" i="47"/>
  <c r="H47" i="47"/>
  <c r="H54" i="47"/>
  <c r="H49" i="47"/>
  <c r="H51" i="47"/>
  <c r="H56" i="47"/>
  <c r="H46" i="47"/>
  <c r="H53" i="47"/>
  <c r="H52" i="55"/>
  <c r="H51" i="55"/>
  <c r="H50" i="55"/>
  <c r="H45" i="55"/>
  <c r="H54" i="55"/>
  <c r="H53" i="55"/>
  <c r="H48" i="52"/>
  <c r="H50" i="52"/>
  <c r="H49" i="52"/>
  <c r="H46" i="52"/>
  <c r="H47" i="52"/>
  <c r="H49" i="54"/>
  <c r="H48" i="54"/>
  <c r="H47" i="54"/>
  <c r="H46" i="54"/>
  <c r="H45" i="54"/>
  <c r="H50" i="54"/>
  <c r="H54" i="42"/>
  <c r="H60" i="42"/>
  <c r="H53" i="42"/>
  <c r="H59" i="42"/>
  <c r="H58" i="42"/>
  <c r="H52" i="42"/>
  <c r="H57" i="42"/>
  <c r="H49" i="42"/>
  <c r="H50" i="42"/>
  <c r="H51" i="42"/>
  <c r="H63" i="42"/>
  <c r="H62" i="42"/>
  <c r="H47" i="42"/>
  <c r="H55" i="42"/>
  <c r="H61" i="42"/>
  <c r="H48" i="42"/>
  <c r="H56" i="42"/>
  <c r="L55" i="51"/>
  <c r="L45" i="51"/>
  <c r="L52" i="51"/>
  <c r="L47" i="51"/>
  <c r="L54" i="51"/>
  <c r="L49" i="51"/>
  <c r="L51" i="51"/>
  <c r="L56" i="51"/>
  <c r="L46" i="51"/>
  <c r="L53" i="51"/>
  <c r="L48" i="51"/>
  <c r="L50" i="51"/>
  <c r="H47" i="50"/>
  <c r="H49" i="50"/>
  <c r="H46" i="50"/>
  <c r="H48" i="50"/>
  <c r="H50" i="50"/>
  <c r="H48" i="43"/>
  <c r="H52" i="43"/>
  <c r="H46" i="43"/>
  <c r="H54" i="43"/>
  <c r="H47" i="43"/>
  <c r="H49" i="43"/>
  <c r="H51" i="43"/>
  <c r="H45" i="43"/>
  <c r="H56" i="43"/>
  <c r="H53" i="43"/>
  <c r="H50" i="43"/>
  <c r="H55" i="43"/>
  <c r="H50" i="41"/>
  <c r="H51" i="41"/>
  <c r="H52" i="41"/>
  <c r="H53" i="41"/>
  <c r="H47" i="41"/>
  <c r="H48" i="41"/>
  <c r="H49" i="41"/>
  <c r="H60" i="41"/>
  <c r="H63" i="41"/>
  <c r="H57" i="41"/>
  <c r="H55" i="41"/>
  <c r="H58" i="41"/>
  <c r="H62" i="41"/>
  <c r="H59" i="41"/>
  <c r="H61" i="41"/>
  <c r="H54" i="41"/>
  <c r="H56" i="41"/>
  <c r="DX8" i="28"/>
  <c r="DX17" i="25" s="1"/>
  <c r="DY8" i="28"/>
  <c r="DY17" i="25" s="1"/>
  <c r="DY24" i="25" s="1"/>
  <c r="DZ8" i="28"/>
  <c r="DZ17" i="25" s="1"/>
  <c r="EA8" i="28"/>
  <c r="EA17" i="25" s="1"/>
  <c r="EB8" i="28"/>
  <c r="EC8" i="28"/>
  <c r="EC17" i="25" s="1"/>
  <c r="EB17" i="25"/>
  <c r="EB21" i="25" s="1"/>
  <c r="ED17" i="25"/>
  <c r="ED23" i="25" s="1"/>
  <c r="ED20" i="25" l="1"/>
  <c r="ED25" i="25"/>
  <c r="ED24" i="25"/>
  <c r="EB24" i="25"/>
  <c r="EB23" i="25"/>
  <c r="DX25" i="25"/>
  <c r="DX20" i="25"/>
  <c r="DX22" i="25"/>
  <c r="DX23" i="25"/>
  <c r="EB22" i="25"/>
  <c r="ED21" i="25"/>
  <c r="DZ25" i="25"/>
  <c r="DZ24" i="25"/>
  <c r="DZ23" i="25"/>
  <c r="DZ22" i="25"/>
  <c r="DZ21" i="25"/>
  <c r="DZ20" i="25"/>
  <c r="EC22" i="25"/>
  <c r="EC21" i="25"/>
  <c r="EC20" i="25"/>
  <c r="EC23" i="25"/>
  <c r="EC25" i="25"/>
  <c r="EC24" i="25"/>
  <c r="EA20" i="25"/>
  <c r="EA25" i="25"/>
  <c r="EA24" i="25"/>
  <c r="EA21" i="25"/>
  <c r="EA23" i="25"/>
  <c r="EA22" i="25"/>
  <c r="DY20" i="25"/>
  <c r="DY21" i="25"/>
  <c r="EB25" i="25"/>
  <c r="DY22" i="25"/>
  <c r="DX21" i="25"/>
  <c r="DY23" i="25"/>
  <c r="DY25" i="25"/>
  <c r="DX24" i="25"/>
  <c r="ED22" i="25"/>
  <c r="EB20" i="25"/>
  <c r="EB32" i="25" l="1"/>
  <c r="EB41" i="25" s="1"/>
  <c r="EB45" i="25" s="1"/>
  <c r="ED28" i="25"/>
  <c r="ED43" i="25" s="1"/>
  <c r="DZ28" i="25"/>
  <c r="DZ43" i="25" s="1"/>
  <c r="DZ15" i="26" s="1"/>
  <c r="DZ94" i="28" s="1"/>
  <c r="DZ87" i="28" s="1"/>
  <c r="DZ80" i="28" s="1"/>
  <c r="DX32" i="25"/>
  <c r="DX41" i="25" s="1"/>
  <c r="DX45" i="25" s="1"/>
  <c r="DX28" i="25"/>
  <c r="DX43" i="25" s="1"/>
  <c r="DZ32" i="25"/>
  <c r="DZ41" i="25" s="1"/>
  <c r="DZ45" i="25" s="1"/>
  <c r="DZ115" i="28" s="1"/>
  <c r="EB28" i="25"/>
  <c r="EB43" i="25" s="1"/>
  <c r="EA28" i="25"/>
  <c r="EA43" i="25" s="1"/>
  <c r="EA32" i="25"/>
  <c r="EA41" i="25" s="1"/>
  <c r="EA45" i="25" s="1"/>
  <c r="DY28" i="25"/>
  <c r="DY43" i="25" s="1"/>
  <c r="DY32" i="25"/>
  <c r="DY41" i="25" s="1"/>
  <c r="DY45" i="25" s="1"/>
  <c r="EC32" i="25"/>
  <c r="EC41" i="25" s="1"/>
  <c r="EC45" i="25" s="1"/>
  <c r="ED32" i="25"/>
  <c r="ED41" i="25" s="1"/>
  <c r="ED45" i="25" s="1"/>
  <c r="ED115" i="28" s="1"/>
  <c r="EC28" i="25"/>
  <c r="EC43" i="25" s="1"/>
  <c r="ED93" i="28"/>
  <c r="ED15" i="26"/>
  <c r="ED94" i="28" s="1"/>
  <c r="ED87" i="28" s="1"/>
  <c r="EB115" i="28"/>
  <c r="EB17" i="26"/>
  <c r="EB116" i="28" s="1"/>
  <c r="EB109" i="28" s="1"/>
  <c r="EB102" i="28" s="1"/>
  <c r="G50" i="54" s="1"/>
  <c r="DZ93" i="28" l="1"/>
  <c r="DZ86" i="28" s="1"/>
  <c r="DZ17" i="26"/>
  <c r="DZ116" i="28" s="1"/>
  <c r="DZ109" i="28" s="1"/>
  <c r="DZ102" i="28" s="1"/>
  <c r="G49" i="54" s="1"/>
  <c r="ED17" i="26"/>
  <c r="ED116" i="28" s="1"/>
  <c r="ED109" i="28" s="1"/>
  <c r="ED102" i="28" s="1"/>
  <c r="EA115" i="28"/>
  <c r="EA17" i="26"/>
  <c r="EA116" i="28" s="1"/>
  <c r="EA109" i="28" s="1"/>
  <c r="EA102" i="28" s="1"/>
  <c r="G46" i="54" s="1"/>
  <c r="EC15" i="26"/>
  <c r="EC94" i="28" s="1"/>
  <c r="EC87" i="28" s="1"/>
  <c r="EC80" i="28" s="1"/>
  <c r="EC93" i="28"/>
  <c r="DY115" i="28"/>
  <c r="DY17" i="26"/>
  <c r="DY116" i="28" s="1"/>
  <c r="DY109" i="28" s="1"/>
  <c r="DY102" i="28" s="1"/>
  <c r="G48" i="54" s="1"/>
  <c r="DY93" i="28"/>
  <c r="DY15" i="26"/>
  <c r="DY94" i="28" s="1"/>
  <c r="DY87" i="28" s="1"/>
  <c r="DY80" i="28" s="1"/>
  <c r="EA93" i="28"/>
  <c r="EA15" i="26"/>
  <c r="EA94" i="28" s="1"/>
  <c r="EA87" i="28" s="1"/>
  <c r="EA80" i="28" s="1"/>
  <c r="EB93" i="28"/>
  <c r="EB15" i="26"/>
  <c r="EB94" i="28" s="1"/>
  <c r="EB87" i="28" s="1"/>
  <c r="EB80" i="28" s="1"/>
  <c r="DX93" i="28"/>
  <c r="DX15" i="26"/>
  <c r="DX94" i="28" s="1"/>
  <c r="DX87" i="28" s="1"/>
  <c r="DX80" i="28" s="1"/>
  <c r="EC115" i="28"/>
  <c r="EC17" i="26"/>
  <c r="EC116" i="28" s="1"/>
  <c r="EC109" i="28" s="1"/>
  <c r="EC102" i="28" s="1"/>
  <c r="G45" i="54" s="1"/>
  <c r="DX115" i="28"/>
  <c r="DX17" i="26"/>
  <c r="DX116" i="28" s="1"/>
  <c r="DX109" i="28" s="1"/>
  <c r="DX102" i="28" s="1"/>
  <c r="G47" i="54" s="1"/>
  <c r="AI58" i="38"/>
  <c r="DZ108" i="28"/>
  <c r="ED108" i="28"/>
  <c r="EB108" i="28"/>
  <c r="EB112" i="28"/>
  <c r="ED80" i="28"/>
  <c r="AH58" i="36" s="1"/>
  <c r="AI58" i="39"/>
  <c r="ED90" i="28"/>
  <c r="ED86" i="28"/>
  <c r="AH84" i="32" s="1"/>
  <c r="DZ90" i="28" l="1"/>
  <c r="ED112" i="28"/>
  <c r="DZ112" i="28"/>
  <c r="DX90" i="28"/>
  <c r="DX86" i="28"/>
  <c r="DY108" i="28"/>
  <c r="DY112" i="28"/>
  <c r="EC86" i="28"/>
  <c r="EC90" i="28"/>
  <c r="EB86" i="28"/>
  <c r="EB90" i="28"/>
  <c r="EC108" i="28"/>
  <c r="EC112" i="28"/>
  <c r="DY90" i="28"/>
  <c r="DY86" i="28"/>
  <c r="DX108" i="28"/>
  <c r="DX112" i="28"/>
  <c r="EA90" i="28"/>
  <c r="EA86" i="28"/>
  <c r="EA112" i="28"/>
  <c r="EA108" i="28"/>
  <c r="DZ105" i="28"/>
  <c r="DZ101" i="28"/>
  <c r="EB101" i="28"/>
  <c r="EB105" i="28"/>
  <c r="DZ79" i="28"/>
  <c r="DZ76" i="28" s="1"/>
  <c r="DZ83" i="28"/>
  <c r="ED79" i="28"/>
  <c r="ED83" i="28"/>
  <c r="AI57" i="39"/>
  <c r="AI46" i="39" s="1"/>
  <c r="ED105" i="28"/>
  <c r="ED101" i="28"/>
  <c r="AI57" i="38"/>
  <c r="AI46" i="38" s="1"/>
  <c r="AH58" i="32"/>
  <c r="AI48" i="38" l="1"/>
  <c r="AI48" i="39"/>
  <c r="EA83" i="28"/>
  <c r="EA79" i="28"/>
  <c r="EA76" i="28" s="1"/>
  <c r="EB79" i="28"/>
  <c r="EB76" i="28" s="1"/>
  <c r="EB83" i="28"/>
  <c r="EC79" i="28"/>
  <c r="EC76" i="28" s="1"/>
  <c r="EC83" i="28"/>
  <c r="DX101" i="28"/>
  <c r="DX105" i="28"/>
  <c r="DY79" i="28"/>
  <c r="DY76" i="28" s="1"/>
  <c r="DY83" i="28"/>
  <c r="DY105" i="28"/>
  <c r="DY101" i="28"/>
  <c r="EA105" i="28"/>
  <c r="EA101" i="28"/>
  <c r="DX79" i="28"/>
  <c r="DX76" i="28" s="1"/>
  <c r="DX83" i="28"/>
  <c r="EC101" i="28"/>
  <c r="EC105" i="28"/>
  <c r="EB98" i="28"/>
  <c r="E50" i="54"/>
  <c r="M50" i="54" s="1"/>
  <c r="ED98" i="28"/>
  <c r="AH57" i="32"/>
  <c r="AH46" i="32" s="1"/>
  <c r="AC71" i="61"/>
  <c r="AG72" i="60"/>
  <c r="DZ98" i="28"/>
  <c r="E49" i="54"/>
  <c r="M49" i="54" s="1"/>
  <c r="ED76" i="28"/>
  <c r="AH57" i="36"/>
  <c r="AG61" i="64" l="1"/>
  <c r="AG46" i="69"/>
  <c r="AG61" i="69"/>
  <c r="AG46" i="64"/>
  <c r="DX98" i="28"/>
  <c r="E47" i="54"/>
  <c r="M47" i="54" s="1"/>
  <c r="E46" i="54"/>
  <c r="M46" i="54" s="1"/>
  <c r="EA98" i="28"/>
  <c r="DY98" i="28"/>
  <c r="E48" i="54"/>
  <c r="M48" i="54" s="1"/>
  <c r="E45" i="54"/>
  <c r="M45" i="54" s="1"/>
  <c r="EC98" i="28"/>
  <c r="AH46" i="36"/>
  <c r="AH48" i="36"/>
  <c r="AG73" i="60"/>
  <c r="AG56" i="60" s="1"/>
  <c r="AC72" i="61"/>
  <c r="Q45" i="61" s="1"/>
  <c r="I59" i="54"/>
  <c r="N49" i="54" s="1"/>
  <c r="AH48" i="32"/>
  <c r="AG63" i="64" l="1"/>
  <c r="AG63" i="69"/>
  <c r="AG48" i="64"/>
  <c r="AG48" i="69"/>
  <c r="I57" i="60"/>
  <c r="Q57" i="60"/>
  <c r="Y57" i="60"/>
  <c r="J57" i="60"/>
  <c r="R57" i="60"/>
  <c r="Z57" i="60"/>
  <c r="K57" i="60"/>
  <c r="S57" i="60"/>
  <c r="L57" i="60"/>
  <c r="T57" i="60"/>
  <c r="AB57" i="60"/>
  <c r="M57" i="60"/>
  <c r="U57" i="60"/>
  <c r="X57" i="60"/>
  <c r="N57" i="60"/>
  <c r="V57" i="60"/>
  <c r="AA57" i="60"/>
  <c r="O57" i="60"/>
  <c r="W57" i="60"/>
  <c r="P57" i="60"/>
  <c r="H45" i="61"/>
  <c r="F45" i="61"/>
  <c r="D45" i="61"/>
  <c r="G45" i="61"/>
  <c r="I45" i="61"/>
  <c r="E45" i="61"/>
  <c r="C45" i="61"/>
  <c r="I46" i="54"/>
  <c r="I48" i="54"/>
  <c r="I45" i="54"/>
  <c r="I50" i="54"/>
  <c r="I49" i="54"/>
  <c r="I47" i="54"/>
  <c r="N48" i="54"/>
  <c r="N45" i="54"/>
  <c r="N47" i="54"/>
  <c r="N46" i="54"/>
  <c r="N50" i="54"/>
  <c r="D17" i="25"/>
  <c r="D22" i="25" s="1"/>
  <c r="C86" i="32"/>
  <c r="D25" i="25" l="1"/>
  <c r="D24" i="25"/>
  <c r="D23" i="25"/>
  <c r="D20" i="25"/>
  <c r="D21" i="25"/>
  <c r="D28" i="25" l="1"/>
  <c r="EX11" i="26" s="1"/>
  <c r="D32" i="25"/>
  <c r="D43" i="25" l="1"/>
  <c r="D93" i="28" s="1"/>
  <c r="EX13" i="26"/>
  <c r="EU14" i="26" s="1"/>
  <c r="EU15" i="26" s="1"/>
  <c r="D41" i="25"/>
  <c r="D45" i="25" s="1"/>
  <c r="D115" i="28" s="1"/>
  <c r="EU11" i="26" l="1"/>
  <c r="EU12" i="26" s="1"/>
  <c r="I94" i="28" s="1"/>
  <c r="D90" i="28"/>
  <c r="D86" i="28"/>
  <c r="C84" i="32" s="1"/>
  <c r="D112" i="28"/>
  <c r="D108" i="28"/>
  <c r="EQ14" i="26"/>
  <c r="EQ15" i="26" s="1"/>
  <c r="EJ14" i="26"/>
  <c r="EJ15" i="26" s="1"/>
  <c r="ER14" i="26"/>
  <c r="ER15" i="26" s="1"/>
  <c r="Y13" i="26" s="1"/>
  <c r="Y17" i="26" s="1"/>
  <c r="Y116" i="28" s="1"/>
  <c r="EK14" i="26"/>
  <c r="EK15" i="26" s="1"/>
  <c r="ES14" i="26"/>
  <c r="ES15" i="26" s="1"/>
  <c r="EL14" i="26"/>
  <c r="EL15" i="26" s="1"/>
  <c r="ET14" i="26"/>
  <c r="ET15" i="26" s="1"/>
  <c r="EM14" i="26"/>
  <c r="EM15" i="26" s="1"/>
  <c r="EV15" i="26"/>
  <c r="EN14" i="26"/>
  <c r="EN15" i="26" s="1"/>
  <c r="EO14" i="26"/>
  <c r="EO15" i="26" s="1"/>
  <c r="EP14" i="26"/>
  <c r="EP15" i="26" s="1"/>
  <c r="AA12" i="26"/>
  <c r="AA15" i="26" s="1"/>
  <c r="AA94" i="28" s="1"/>
  <c r="EL11" i="26"/>
  <c r="EL12" i="26" s="1"/>
  <c r="EM11" i="26"/>
  <c r="EM12" i="26" s="1"/>
  <c r="EP11" i="26"/>
  <c r="EP12" i="26" s="1"/>
  <c r="EQ11" i="26"/>
  <c r="EQ12" i="26" s="1"/>
  <c r="ET11" i="26"/>
  <c r="ET12" i="26" s="1"/>
  <c r="Y109" i="28" l="1"/>
  <c r="Y112" i="28"/>
  <c r="X13" i="26"/>
  <c r="X17" i="26" s="1"/>
  <c r="X116" i="28" s="1"/>
  <c r="Z13" i="26"/>
  <c r="Z17" i="26" s="1"/>
  <c r="Z116" i="28" s="1"/>
  <c r="AD13" i="26"/>
  <c r="AD17" i="26" s="1"/>
  <c r="AD116" i="28" s="1"/>
  <c r="AC13" i="26"/>
  <c r="AC17" i="26" s="1"/>
  <c r="AC116" i="28" s="1"/>
  <c r="AB13" i="26"/>
  <c r="AB17" i="26" s="1"/>
  <c r="AB116" i="28" s="1"/>
  <c r="AF13" i="26"/>
  <c r="AF17" i="26" s="1"/>
  <c r="AA13" i="26"/>
  <c r="AA17" i="26" s="1"/>
  <c r="AA116" i="28" s="1"/>
  <c r="AA109" i="28" s="1"/>
  <c r="I13" i="26"/>
  <c r="I17" i="26" s="1"/>
  <c r="I116" i="28" s="1"/>
  <c r="I87" i="28"/>
  <c r="I90" i="28"/>
  <c r="AA90" i="28"/>
  <c r="AA87" i="28"/>
  <c r="AE13" i="26"/>
  <c r="AE17" i="26" s="1"/>
  <c r="F13" i="26"/>
  <c r="F17" i="26" s="1"/>
  <c r="F116" i="28" s="1"/>
  <c r="J13" i="26"/>
  <c r="J17" i="26" s="1"/>
  <c r="D101" i="28"/>
  <c r="C57" i="32" s="1"/>
  <c r="D105" i="28"/>
  <c r="C57" i="38"/>
  <c r="L13" i="26"/>
  <c r="L17" i="26" s="1"/>
  <c r="L116" i="28" s="1"/>
  <c r="L109" i="28" s="1"/>
  <c r="L102" i="28" s="1"/>
  <c r="T13" i="26"/>
  <c r="T17" i="26" s="1"/>
  <c r="T116" i="28" s="1"/>
  <c r="T109" i="28" s="1"/>
  <c r="T102" i="28" s="1"/>
  <c r="M13" i="26"/>
  <c r="M17" i="26" s="1"/>
  <c r="M116" i="28" s="1"/>
  <c r="M109" i="28" s="1"/>
  <c r="M102" i="28" s="1"/>
  <c r="U13" i="26"/>
  <c r="U17" i="26" s="1"/>
  <c r="U116" i="28" s="1"/>
  <c r="E13" i="26"/>
  <c r="E17" i="26" s="1"/>
  <c r="E116" i="28" s="1"/>
  <c r="N13" i="26"/>
  <c r="N17" i="26" s="1"/>
  <c r="N116" i="28" s="1"/>
  <c r="N109" i="28" s="1"/>
  <c r="N102" i="28" s="1"/>
  <c r="V13" i="26"/>
  <c r="V17" i="26" s="1"/>
  <c r="V116" i="28" s="1"/>
  <c r="O13" i="26"/>
  <c r="O17" i="26" s="1"/>
  <c r="O116" i="28" s="1"/>
  <c r="O109" i="28" s="1"/>
  <c r="O102" i="28" s="1"/>
  <c r="W13" i="26"/>
  <c r="W17" i="26" s="1"/>
  <c r="G13" i="26"/>
  <c r="G17" i="26" s="1"/>
  <c r="G116" i="28" s="1"/>
  <c r="G109" i="28" s="1"/>
  <c r="G102" i="28" s="1"/>
  <c r="P13" i="26"/>
  <c r="P17" i="26" s="1"/>
  <c r="P116" i="28" s="1"/>
  <c r="P109" i="28" s="1"/>
  <c r="P102" i="28" s="1"/>
  <c r="H13" i="26"/>
  <c r="H17" i="26" s="1"/>
  <c r="Q13" i="26"/>
  <c r="Q17" i="26" s="1"/>
  <c r="Q116" i="28" s="1"/>
  <c r="Q109" i="28" s="1"/>
  <c r="Q102" i="28" s="1"/>
  <c r="AI13" i="26"/>
  <c r="AI17" i="26" s="1"/>
  <c r="AI116" i="28" s="1"/>
  <c r="R13" i="26"/>
  <c r="R17" i="26" s="1"/>
  <c r="R116" i="28" s="1"/>
  <c r="R109" i="28" s="1"/>
  <c r="R102" i="28" s="1"/>
  <c r="AJ13" i="26"/>
  <c r="AJ17" i="26" s="1"/>
  <c r="AJ116" i="28" s="1"/>
  <c r="K13" i="26"/>
  <c r="K17" i="26" s="1"/>
  <c r="K116" i="28" s="1"/>
  <c r="K109" i="28" s="1"/>
  <c r="K102" i="28" s="1"/>
  <c r="S13" i="26"/>
  <c r="S17" i="26" s="1"/>
  <c r="S116" i="28" s="1"/>
  <c r="S109" i="28" s="1"/>
  <c r="S102" i="28" s="1"/>
  <c r="AN13" i="26"/>
  <c r="AN17" i="26" s="1"/>
  <c r="AN116" i="28" s="1"/>
  <c r="D83" i="28"/>
  <c r="D79" i="28"/>
  <c r="C57" i="39"/>
  <c r="F12" i="26"/>
  <c r="F15" i="26" s="1"/>
  <c r="F94" i="28" s="1"/>
  <c r="J12" i="26"/>
  <c r="J15" i="26" s="1"/>
  <c r="Y102" i="28" l="1"/>
  <c r="Y98" i="28" s="1"/>
  <c r="Y105" i="28"/>
  <c r="X109" i="28"/>
  <c r="X112" i="28"/>
  <c r="W116" i="28"/>
  <c r="W109" i="28" s="1"/>
  <c r="W102" i="28" s="1"/>
  <c r="D58" i="32" s="1"/>
  <c r="Z109" i="28"/>
  <c r="Z112" i="28"/>
  <c r="AD109" i="28"/>
  <c r="AD112" i="28"/>
  <c r="AE116" i="28"/>
  <c r="AE112" i="28" s="1"/>
  <c r="AB109" i="28"/>
  <c r="AB112" i="28"/>
  <c r="AC109" i="28"/>
  <c r="AC112" i="28"/>
  <c r="F58" i="41"/>
  <c r="F60" i="41"/>
  <c r="F49" i="41"/>
  <c r="F59" i="41"/>
  <c r="F50" i="41"/>
  <c r="F61" i="41"/>
  <c r="F62" i="41"/>
  <c r="F56" i="41"/>
  <c r="F55" i="41"/>
  <c r="AA112" i="28"/>
  <c r="I112" i="28"/>
  <c r="I109" i="28"/>
  <c r="I80" i="28"/>
  <c r="I76" i="28" s="1"/>
  <c r="I83" i="28"/>
  <c r="F53" i="41"/>
  <c r="H116" i="28"/>
  <c r="H109" i="28" s="1"/>
  <c r="H102" i="28" s="1"/>
  <c r="AA80" i="28"/>
  <c r="AA76" i="28" s="1"/>
  <c r="AA83" i="28"/>
  <c r="AA102" i="28"/>
  <c r="AA98" i="28" s="1"/>
  <c r="AA105" i="28"/>
  <c r="AF116" i="28"/>
  <c r="AF109" i="28" s="1"/>
  <c r="AJ109" i="28"/>
  <c r="AJ112" i="28"/>
  <c r="F90" i="28"/>
  <c r="F87" i="28"/>
  <c r="C48" i="38"/>
  <c r="C46" i="38"/>
  <c r="C48" i="39"/>
  <c r="C46" i="39"/>
  <c r="AI109" i="28"/>
  <c r="AI112" i="28"/>
  <c r="V109" i="28"/>
  <c r="V112" i="28"/>
  <c r="C72" i="60"/>
  <c r="C45" i="60" s="1"/>
  <c r="C71" i="61"/>
  <c r="D98" i="28"/>
  <c r="E109" i="28"/>
  <c r="E112" i="28"/>
  <c r="J116" i="28"/>
  <c r="J109" i="28" s="1"/>
  <c r="J102" i="28" s="1"/>
  <c r="F52" i="41"/>
  <c r="J94" i="28"/>
  <c r="J87" i="28" s="1"/>
  <c r="J80" i="28" s="1"/>
  <c r="F50" i="42" s="1"/>
  <c r="F51" i="42"/>
  <c r="D76" i="28"/>
  <c r="C57" i="36"/>
  <c r="AN109" i="28"/>
  <c r="AN112" i="28"/>
  <c r="U109" i="28"/>
  <c r="U112" i="28"/>
  <c r="F112" i="28"/>
  <c r="F109" i="28"/>
  <c r="F48" i="72" l="1"/>
  <c r="D58" i="38"/>
  <c r="X102" i="28"/>
  <c r="X98" i="28" s="1"/>
  <c r="X105" i="28"/>
  <c r="Z102" i="28"/>
  <c r="Z105" i="28"/>
  <c r="AE109" i="28"/>
  <c r="AE105" i="28" s="1"/>
  <c r="D71" i="61" s="1"/>
  <c r="AD102" i="28"/>
  <c r="AD98" i="28" s="1"/>
  <c r="AD105" i="28"/>
  <c r="AC102" i="28"/>
  <c r="AC105" i="28"/>
  <c r="AB102" i="28"/>
  <c r="AB105" i="28"/>
  <c r="F51" i="41"/>
  <c r="F53" i="72"/>
  <c r="F48" i="41"/>
  <c r="I102" i="28"/>
  <c r="I98" i="28" s="1"/>
  <c r="I105" i="28"/>
  <c r="AF112" i="28"/>
  <c r="C48" i="32"/>
  <c r="C46" i="32"/>
  <c r="AN105" i="28"/>
  <c r="AN102" i="28"/>
  <c r="M58" i="38"/>
  <c r="M48" i="38" s="1"/>
  <c r="AI102" i="28"/>
  <c r="AI105" i="28"/>
  <c r="G58" i="38"/>
  <c r="G48" i="38" s="1"/>
  <c r="F102" i="28"/>
  <c r="F105" i="28"/>
  <c r="C46" i="36"/>
  <c r="C48" i="36"/>
  <c r="C72" i="61"/>
  <c r="C73" i="60"/>
  <c r="AJ105" i="28"/>
  <c r="AJ102" i="28"/>
  <c r="I58" i="38"/>
  <c r="I48" i="38" s="1"/>
  <c r="U102" i="28"/>
  <c r="U105" i="28"/>
  <c r="F83" i="28"/>
  <c r="F80" i="28"/>
  <c r="V102" i="28"/>
  <c r="V105" i="28"/>
  <c r="E102" i="28"/>
  <c r="E105" i="28"/>
  <c r="AF105" i="28"/>
  <c r="AF102" i="28"/>
  <c r="AF98" i="28" s="1"/>
  <c r="F49" i="72" l="1"/>
  <c r="F54" i="72"/>
  <c r="J54" i="72" s="1"/>
  <c r="AB98" i="28"/>
  <c r="F51" i="72"/>
  <c r="Z98" i="28"/>
  <c r="F50" i="72"/>
  <c r="AC98" i="28"/>
  <c r="F52" i="72"/>
  <c r="AE102" i="28"/>
  <c r="E58" i="32" s="1"/>
  <c r="E48" i="32" s="1"/>
  <c r="E58" i="38"/>
  <c r="E48" i="38" s="1"/>
  <c r="C61" i="69"/>
  <c r="C61" i="64"/>
  <c r="C46" i="69"/>
  <c r="C46" i="64"/>
  <c r="C63" i="64"/>
  <c r="C48" i="64"/>
  <c r="C63" i="69"/>
  <c r="C48" i="69"/>
  <c r="M71" i="61"/>
  <c r="L72" i="60"/>
  <c r="F76" i="28"/>
  <c r="F47" i="42"/>
  <c r="H72" i="60"/>
  <c r="H45" i="60" s="1"/>
  <c r="I71" i="61"/>
  <c r="U98" i="28"/>
  <c r="F57" i="41"/>
  <c r="G71" i="61"/>
  <c r="F72" i="60"/>
  <c r="F45" i="60" s="1"/>
  <c r="V98" i="28"/>
  <c r="F54" i="41"/>
  <c r="AI98" i="28"/>
  <c r="G58" i="32"/>
  <c r="G48" i="32" s="1"/>
  <c r="AN98" i="28"/>
  <c r="M58" i="32"/>
  <c r="M48" i="32" s="1"/>
  <c r="F98" i="28"/>
  <c r="F47" i="41"/>
  <c r="E98" i="28"/>
  <c r="F63" i="41"/>
  <c r="AJ98" i="28"/>
  <c r="I58" i="32"/>
  <c r="I48" i="32" s="1"/>
  <c r="F47" i="72" l="1"/>
  <c r="J47" i="72" s="1"/>
  <c r="AE98" i="28"/>
  <c r="L48" i="64"/>
  <c r="J55" i="64" s="1"/>
  <c r="L63" i="64"/>
  <c r="L63" i="69"/>
  <c r="L48" i="69"/>
  <c r="J55" i="69" s="1"/>
  <c r="H63" i="69"/>
  <c r="H48" i="69"/>
  <c r="G55" i="69" s="1"/>
  <c r="H48" i="64"/>
  <c r="G55" i="64" s="1"/>
  <c r="H63" i="64"/>
  <c r="F63" i="69"/>
  <c r="F63" i="64"/>
  <c r="F48" i="69"/>
  <c r="E55" i="69" s="1"/>
  <c r="F48" i="64"/>
  <c r="E55" i="64" s="1"/>
  <c r="G72" i="61"/>
  <c r="F73" i="60"/>
  <c r="J63" i="41"/>
  <c r="J57" i="41"/>
  <c r="L73" i="60"/>
  <c r="M72" i="61"/>
  <c r="I72" i="61"/>
  <c r="H73" i="60"/>
  <c r="J47" i="42"/>
  <c r="J47" i="41"/>
  <c r="L45" i="60"/>
  <c r="L46" i="60"/>
  <c r="J54" i="41"/>
  <c r="D72" i="61" l="1"/>
  <c r="E46" i="61"/>
  <c r="L46" i="61"/>
  <c r="M46" i="61"/>
  <c r="F46" i="61"/>
  <c r="G46" i="61"/>
  <c r="N46" i="61"/>
  <c r="G17" i="25"/>
  <c r="G20" i="25" s="1"/>
  <c r="O46" i="61" l="1"/>
  <c r="H46" i="61"/>
  <c r="G21" i="25"/>
  <c r="G23" i="25"/>
  <c r="G25" i="25"/>
  <c r="G24" i="25"/>
  <c r="G22" i="25"/>
  <c r="G28" i="25" l="1"/>
  <c r="G43" i="25" s="1"/>
  <c r="G93" i="28" s="1"/>
  <c r="G86" i="28" s="1"/>
  <c r="G32" i="25"/>
  <c r="G41" i="25" s="1"/>
  <c r="G45" i="25" s="1"/>
  <c r="G115" i="28" s="1"/>
  <c r="G108" i="28" s="1"/>
  <c r="G90" i="28" l="1"/>
  <c r="G112" i="28"/>
  <c r="G101" i="28"/>
  <c r="G105" i="28"/>
  <c r="G79" i="28"/>
  <c r="G83" i="28"/>
  <c r="G76" i="28" l="1"/>
  <c r="D62" i="42"/>
  <c r="G98" i="28"/>
  <c r="D62" i="41"/>
  <c r="J62" i="41" l="1"/>
  <c r="J62" i="42"/>
  <c r="H17" i="25"/>
  <c r="H20" i="25" s="1"/>
  <c r="J17" i="25"/>
  <c r="J20" i="25" s="1"/>
  <c r="K17" i="25"/>
  <c r="K20" i="25" s="1"/>
  <c r="L17" i="25"/>
  <c r="L22" i="25" s="1"/>
  <c r="M17" i="25"/>
  <c r="M24" i="25" s="1"/>
  <c r="N17" i="25"/>
  <c r="N20" i="25" s="1"/>
  <c r="O17" i="25"/>
  <c r="O20" i="25" s="1"/>
  <c r="P17" i="25"/>
  <c r="P21" i="25" s="1"/>
  <c r="Q17" i="25"/>
  <c r="Q21" i="25" s="1"/>
  <c r="R17" i="25"/>
  <c r="R21" i="25" s="1"/>
  <c r="S17" i="25"/>
  <c r="S20" i="25" s="1"/>
  <c r="T17" i="25"/>
  <c r="T20" i="25" s="1"/>
  <c r="N22" i="25"/>
  <c r="N23" i="25"/>
  <c r="N25" i="25" l="1"/>
  <c r="N24" i="25"/>
  <c r="H24" i="25"/>
  <c r="N21" i="25"/>
  <c r="N28" i="25" s="1"/>
  <c r="N43" i="25" s="1"/>
  <c r="N93" i="28" s="1"/>
  <c r="N86" i="28" s="1"/>
  <c r="O23" i="25"/>
  <c r="K24" i="25"/>
  <c r="O22" i="25"/>
  <c r="O25" i="25"/>
  <c r="R25" i="25"/>
  <c r="P24" i="25"/>
  <c r="O24" i="25"/>
  <c r="O21" i="25"/>
  <c r="Q24" i="25"/>
  <c r="M22" i="25"/>
  <c r="J25" i="25"/>
  <c r="R23" i="25"/>
  <c r="M20" i="25"/>
  <c r="R24" i="25"/>
  <c r="M25" i="25"/>
  <c r="J22" i="25"/>
  <c r="M21" i="25"/>
  <c r="M23" i="25"/>
  <c r="Q22" i="25"/>
  <c r="P22" i="25"/>
  <c r="Q20" i="25"/>
  <c r="R20" i="25"/>
  <c r="J23" i="25"/>
  <c r="K22" i="25"/>
  <c r="P20" i="25"/>
  <c r="S22" i="25"/>
  <c r="N32" i="25"/>
  <c r="N41" i="25" s="1"/>
  <c r="N45" i="25" s="1"/>
  <c r="N115" i="28" s="1"/>
  <c r="N108" i="28" s="1"/>
  <c r="S24" i="25"/>
  <c r="J24" i="25"/>
  <c r="R22" i="25"/>
  <c r="H22" i="25"/>
  <c r="T23" i="25"/>
  <c r="L23" i="25"/>
  <c r="T21" i="25"/>
  <c r="L21" i="25"/>
  <c r="S21" i="25"/>
  <c r="K21" i="25"/>
  <c r="L25" i="25"/>
  <c r="J21" i="25"/>
  <c r="L20" i="25"/>
  <c r="T25" i="25"/>
  <c r="S25" i="25"/>
  <c r="K25" i="25"/>
  <c r="S23" i="25"/>
  <c r="K23" i="25"/>
  <c r="Q23" i="25"/>
  <c r="H23" i="25"/>
  <c r="Q25" i="25"/>
  <c r="H25" i="25"/>
  <c r="H21" i="25"/>
  <c r="P25" i="25"/>
  <c r="T24" i="25"/>
  <c r="L24" i="25"/>
  <c r="P23" i="25"/>
  <c r="T22" i="25"/>
  <c r="O28" i="25" l="1"/>
  <c r="O43" i="25" s="1"/>
  <c r="O93" i="28" s="1"/>
  <c r="O86" i="28" s="1"/>
  <c r="O79" i="28" s="1"/>
  <c r="O32" i="25"/>
  <c r="O41" i="25" s="1"/>
  <c r="O45" i="25" s="1"/>
  <c r="O115" i="28" s="1"/>
  <c r="O108" i="28" s="1"/>
  <c r="O101" i="28" s="1"/>
  <c r="D52" i="72" s="1"/>
  <c r="J52" i="72" s="1"/>
  <c r="Q28" i="25"/>
  <c r="Q43" i="25" s="1"/>
  <c r="Q93" i="28" s="1"/>
  <c r="Q86" i="28" s="1"/>
  <c r="Q83" i="28" s="1"/>
  <c r="M28" i="25"/>
  <c r="M43" i="25" s="1"/>
  <c r="M93" i="28" s="1"/>
  <c r="M90" i="28" s="1"/>
  <c r="N90" i="28"/>
  <c r="P28" i="25"/>
  <c r="P43" i="25" s="1"/>
  <c r="P93" i="28" s="1"/>
  <c r="P90" i="28" s="1"/>
  <c r="J32" i="25"/>
  <c r="J41" i="25" s="1"/>
  <c r="J45" i="25" s="1"/>
  <c r="M32" i="25"/>
  <c r="M41" i="25" s="1"/>
  <c r="M45" i="25" s="1"/>
  <c r="M115" i="28" s="1"/>
  <c r="K32" i="25"/>
  <c r="K41" i="25" s="1"/>
  <c r="K45" i="25" s="1"/>
  <c r="K115" i="28" s="1"/>
  <c r="R32" i="25"/>
  <c r="R41" i="25" s="1"/>
  <c r="R45" i="25" s="1"/>
  <c r="R115" i="28" s="1"/>
  <c r="R112" i="28" s="1"/>
  <c r="J28" i="25"/>
  <c r="J43" i="25" s="1"/>
  <c r="P32" i="25"/>
  <c r="P41" i="25" s="1"/>
  <c r="P45" i="25" s="1"/>
  <c r="P115" i="28" s="1"/>
  <c r="P112" i="28" s="1"/>
  <c r="R28" i="25"/>
  <c r="R43" i="25" s="1"/>
  <c r="R93" i="28" s="1"/>
  <c r="N112" i="28"/>
  <c r="S32" i="25"/>
  <c r="S41" i="25" s="1"/>
  <c r="S45" i="25" s="1"/>
  <c r="S115" i="28" s="1"/>
  <c r="S112" i="28" s="1"/>
  <c r="H28" i="25"/>
  <c r="H43" i="25" s="1"/>
  <c r="T28" i="25"/>
  <c r="T43" i="25" s="1"/>
  <c r="T93" i="28" s="1"/>
  <c r="T86" i="28" s="1"/>
  <c r="Q32" i="25"/>
  <c r="Q41" i="25" s="1"/>
  <c r="Q45" i="25" s="1"/>
  <c r="Q115" i="28" s="1"/>
  <c r="S28" i="25"/>
  <c r="S43" i="25" s="1"/>
  <c r="S93" i="28" s="1"/>
  <c r="S86" i="28" s="1"/>
  <c r="L28" i="25"/>
  <c r="L43" i="25" s="1"/>
  <c r="L93" i="28" s="1"/>
  <c r="L32" i="25"/>
  <c r="L41" i="25" s="1"/>
  <c r="L45" i="25" s="1"/>
  <c r="L115" i="28" s="1"/>
  <c r="H32" i="25"/>
  <c r="H41" i="25" s="1"/>
  <c r="H45" i="25" s="1"/>
  <c r="T32" i="25"/>
  <c r="T41" i="25" s="1"/>
  <c r="T45" i="25" s="1"/>
  <c r="T115" i="28" s="1"/>
  <c r="K28" i="25"/>
  <c r="K43" i="25" s="1"/>
  <c r="K93" i="28" s="1"/>
  <c r="N79" i="28"/>
  <c r="N83" i="28"/>
  <c r="N105" i="28"/>
  <c r="N101" i="28"/>
  <c r="O90" i="28" l="1"/>
  <c r="O83" i="28"/>
  <c r="O105" i="28"/>
  <c r="O112" i="28"/>
  <c r="K108" i="28"/>
  <c r="K112" i="28"/>
  <c r="K86" i="28"/>
  <c r="K90" i="28"/>
  <c r="H93" i="28"/>
  <c r="H86" i="28" s="1"/>
  <c r="H83" i="28" s="1"/>
  <c r="H115" i="28"/>
  <c r="H112" i="28" s="1"/>
  <c r="Q90" i="28"/>
  <c r="M86" i="28"/>
  <c r="J115" i="28"/>
  <c r="J108" i="28" s="1"/>
  <c r="J101" i="28" s="1"/>
  <c r="D53" i="72" s="1"/>
  <c r="J53" i="72" s="1"/>
  <c r="M108" i="28"/>
  <c r="M112" i="28"/>
  <c r="R108" i="28"/>
  <c r="R101" i="28" s="1"/>
  <c r="P86" i="28"/>
  <c r="P83" i="28" s="1"/>
  <c r="T79" i="28"/>
  <c r="T76" i="28" s="1"/>
  <c r="T83" i="28"/>
  <c r="T90" i="28"/>
  <c r="S108" i="28"/>
  <c r="S101" i="28" s="1"/>
  <c r="P108" i="28"/>
  <c r="P101" i="28" s="1"/>
  <c r="Q79" i="28"/>
  <c r="Q76" i="28" s="1"/>
  <c r="R86" i="28"/>
  <c r="R90" i="28"/>
  <c r="J93" i="28"/>
  <c r="L108" i="28"/>
  <c r="L112" i="28"/>
  <c r="L86" i="28"/>
  <c r="L90" i="28"/>
  <c r="Q112" i="28"/>
  <c r="Q108" i="28"/>
  <c r="T112" i="28"/>
  <c r="T108" i="28"/>
  <c r="S90" i="28"/>
  <c r="N98" i="28"/>
  <c r="D59" i="41"/>
  <c r="S83" i="28"/>
  <c r="S79" i="28"/>
  <c r="O76" i="28"/>
  <c r="D49" i="42"/>
  <c r="O98" i="28"/>
  <c r="D49" i="41"/>
  <c r="N76" i="28"/>
  <c r="D59" i="42"/>
  <c r="D56" i="41" l="1"/>
  <c r="J56" i="41" s="1"/>
  <c r="P98" i="28"/>
  <c r="H90" i="28"/>
  <c r="H79" i="28"/>
  <c r="H76" i="28" s="1"/>
  <c r="K79" i="28"/>
  <c r="K76" i="28" s="1"/>
  <c r="K83" i="28"/>
  <c r="K101" i="28"/>
  <c r="K105" i="28"/>
  <c r="H108" i="28"/>
  <c r="H101" i="28" s="1"/>
  <c r="D49" i="72" s="1"/>
  <c r="J49" i="72" s="1"/>
  <c r="S105" i="28"/>
  <c r="J105" i="28"/>
  <c r="R105" i="28"/>
  <c r="D61" i="41"/>
  <c r="J61" i="41" s="1"/>
  <c r="M79" i="28"/>
  <c r="M83" i="28"/>
  <c r="D53" i="42"/>
  <c r="J53" i="42" s="1"/>
  <c r="R98" i="28"/>
  <c r="J112" i="28"/>
  <c r="P79" i="28"/>
  <c r="P105" i="28"/>
  <c r="M101" i="28"/>
  <c r="D50" i="72" s="1"/>
  <c r="J50" i="72" s="1"/>
  <c r="M105" i="28"/>
  <c r="D54" i="42"/>
  <c r="J54" i="42" s="1"/>
  <c r="J86" i="28"/>
  <c r="J90" i="28"/>
  <c r="R83" i="28"/>
  <c r="R79" i="28"/>
  <c r="L79" i="28"/>
  <c r="L83" i="28"/>
  <c r="T101" i="28"/>
  <c r="D51" i="72" s="1"/>
  <c r="J51" i="72" s="1"/>
  <c r="T105" i="28"/>
  <c r="L101" i="28"/>
  <c r="L105" i="28"/>
  <c r="Q101" i="28"/>
  <c r="Q105" i="28"/>
  <c r="J59" i="42"/>
  <c r="D52" i="41"/>
  <c r="S98" i="28"/>
  <c r="D58" i="41"/>
  <c r="J98" i="28"/>
  <c r="D51" i="41"/>
  <c r="J49" i="41"/>
  <c r="J49" i="42"/>
  <c r="J59" i="41"/>
  <c r="S76" i="28"/>
  <c r="D58" i="42"/>
  <c r="K98" i="28" l="1"/>
  <c r="D48" i="72"/>
  <c r="J48" i="72" s="1"/>
  <c r="K48" i="72" s="1"/>
  <c r="H105" i="28"/>
  <c r="D48" i="42"/>
  <c r="J48" i="42" s="1"/>
  <c r="M76" i="28"/>
  <c r="D52" i="42"/>
  <c r="J52" i="42" s="1"/>
  <c r="M98" i="28"/>
  <c r="D53" i="41"/>
  <c r="J53" i="41" s="1"/>
  <c r="P76" i="28"/>
  <c r="D61" i="42"/>
  <c r="J61" i="42" s="1"/>
  <c r="R76" i="28"/>
  <c r="D55" i="42"/>
  <c r="J55" i="42" s="1"/>
  <c r="J79" i="28"/>
  <c r="J83" i="28"/>
  <c r="H98" i="28"/>
  <c r="D48" i="41"/>
  <c r="J48" i="41" s="1"/>
  <c r="T98" i="28"/>
  <c r="D50" i="41"/>
  <c r="J50" i="41" s="1"/>
  <c r="L98" i="28"/>
  <c r="D60" i="41"/>
  <c r="J60" i="41" s="1"/>
  <c r="Q98" i="28"/>
  <c r="D55" i="41"/>
  <c r="J55" i="41" s="1"/>
  <c r="L76" i="28"/>
  <c r="D60" i="42"/>
  <c r="J60" i="42" s="1"/>
  <c r="J51" i="41"/>
  <c r="J52" i="41"/>
  <c r="J58" i="41"/>
  <c r="J58" i="42"/>
  <c r="K54" i="72" l="1"/>
  <c r="K49" i="72"/>
  <c r="K51" i="72"/>
  <c r="K52" i="72"/>
  <c r="K53" i="72"/>
  <c r="K47" i="72"/>
  <c r="K50" i="72"/>
  <c r="D50" i="42"/>
  <c r="J50" i="42" s="1"/>
  <c r="J76" i="28"/>
  <c r="D51" i="42"/>
  <c r="J51" i="42" s="1"/>
  <c r="K61" i="41"/>
  <c r="K60" i="41"/>
  <c r="K47" i="41"/>
  <c r="K56" i="41"/>
  <c r="K58" i="41"/>
  <c r="K63" i="41"/>
  <c r="K54" i="41"/>
  <c r="K62" i="41"/>
  <c r="K49" i="41"/>
  <c r="K53" i="41"/>
  <c r="K55" i="41"/>
  <c r="K51" i="41"/>
  <c r="K52" i="41"/>
  <c r="K57" i="41"/>
  <c r="K50" i="41"/>
  <c r="K48" i="41"/>
  <c r="K59" i="41"/>
  <c r="W17" i="25"/>
  <c r="W21" i="25" s="1"/>
  <c r="K56" i="42" l="1"/>
  <c r="K53" i="42"/>
  <c r="K60" i="42"/>
  <c r="K59" i="42"/>
  <c r="K61" i="42"/>
  <c r="K58" i="42"/>
  <c r="K52" i="42"/>
  <c r="K47" i="42"/>
  <c r="K50" i="42"/>
  <c r="K51" i="42"/>
  <c r="K62" i="42"/>
  <c r="K49" i="42"/>
  <c r="K55" i="42"/>
  <c r="K48" i="42"/>
  <c r="K57" i="42"/>
  <c r="K54" i="42"/>
  <c r="K63" i="42"/>
  <c r="W25" i="25"/>
  <c r="W22" i="25"/>
  <c r="W23" i="25"/>
  <c r="W20" i="25"/>
  <c r="W24" i="25"/>
  <c r="W28" i="25" l="1"/>
  <c r="W43" i="25" s="1"/>
  <c r="W32" i="25"/>
  <c r="W41" i="25" s="1"/>
  <c r="W45" i="25" s="1"/>
  <c r="W115" i="28" l="1"/>
  <c r="W108" i="28" s="1"/>
  <c r="W93" i="28"/>
  <c r="W90" i="28" s="1"/>
  <c r="W86" i="28" l="1"/>
  <c r="W112" i="28"/>
  <c r="W101" i="28"/>
  <c r="D57" i="32" s="1"/>
  <c r="W105" i="28"/>
  <c r="D57" i="38"/>
  <c r="W83" i="28" l="1"/>
  <c r="F84" i="32"/>
  <c r="D57" i="39"/>
  <c r="D46" i="39" s="1"/>
  <c r="W79" i="28"/>
  <c r="W76" i="28" s="1"/>
  <c r="G45" i="42" s="1"/>
  <c r="D48" i="38"/>
  <c r="D46" i="38"/>
  <c r="D72" i="60"/>
  <c r="D45" i="60" s="1"/>
  <c r="E71" i="61"/>
  <c r="W98" i="28"/>
  <c r="E72" i="61" s="1"/>
  <c r="D48" i="39" l="1"/>
  <c r="D57" i="36"/>
  <c r="D46" i="36" s="1"/>
  <c r="G45" i="72"/>
  <c r="D48" i="32"/>
  <c r="D46" i="32"/>
  <c r="G45" i="41"/>
  <c r="D73" i="60"/>
  <c r="G49" i="42"/>
  <c r="N50" i="42"/>
  <c r="N54" i="42"/>
  <c r="N58" i="42"/>
  <c r="N62" i="42"/>
  <c r="G47" i="42"/>
  <c r="G51" i="42"/>
  <c r="G59" i="42"/>
  <c r="G63" i="42"/>
  <c r="G55" i="42"/>
  <c r="G50" i="42"/>
  <c r="G56" i="42"/>
  <c r="G61" i="42"/>
  <c r="N51" i="42"/>
  <c r="N56" i="42"/>
  <c r="N61" i="42"/>
  <c r="G52" i="42"/>
  <c r="G57" i="42"/>
  <c r="G62" i="42"/>
  <c r="N52" i="42"/>
  <c r="N57" i="42"/>
  <c r="N63" i="42"/>
  <c r="N47" i="42"/>
  <c r="G53" i="42"/>
  <c r="G58" i="42"/>
  <c r="N53" i="42"/>
  <c r="G48" i="42"/>
  <c r="N59" i="42"/>
  <c r="N48" i="42"/>
  <c r="G54" i="42"/>
  <c r="G60" i="42"/>
  <c r="N49" i="42"/>
  <c r="N55" i="42"/>
  <c r="N60" i="42"/>
  <c r="D48" i="36" l="1"/>
  <c r="G53" i="72"/>
  <c r="N47" i="72"/>
  <c r="G47" i="72"/>
  <c r="N50" i="72"/>
  <c r="G49" i="72"/>
  <c r="N52" i="72"/>
  <c r="G51" i="72"/>
  <c r="G48" i="72"/>
  <c r="N54" i="72"/>
  <c r="N53" i="72"/>
  <c r="G50" i="72"/>
  <c r="N49" i="72"/>
  <c r="N48" i="72"/>
  <c r="G52" i="72"/>
  <c r="G54" i="72"/>
  <c r="N51" i="72"/>
  <c r="D46" i="69"/>
  <c r="D61" i="69"/>
  <c r="D46" i="64"/>
  <c r="D61" i="64"/>
  <c r="D63" i="64"/>
  <c r="D48" i="64"/>
  <c r="D63" i="69"/>
  <c r="D48" i="69"/>
  <c r="P46" i="61"/>
  <c r="I46" i="61"/>
  <c r="G49" i="41"/>
  <c r="G53" i="41"/>
  <c r="G57" i="41"/>
  <c r="G61" i="41"/>
  <c r="N49" i="41"/>
  <c r="N53" i="41"/>
  <c r="N57" i="41"/>
  <c r="N61" i="41"/>
  <c r="G50" i="41"/>
  <c r="G54" i="41"/>
  <c r="G59" i="41"/>
  <c r="G62" i="41"/>
  <c r="N50" i="41"/>
  <c r="N54" i="41"/>
  <c r="N59" i="41"/>
  <c r="N62" i="41"/>
  <c r="G47" i="41"/>
  <c r="G51" i="41"/>
  <c r="G55" i="41"/>
  <c r="G58" i="41"/>
  <c r="G63" i="41"/>
  <c r="N47" i="41"/>
  <c r="N51" i="41"/>
  <c r="N55" i="41"/>
  <c r="N58" i="41"/>
  <c r="N63" i="41"/>
  <c r="G48" i="41"/>
  <c r="G52" i="41"/>
  <c r="G56" i="41"/>
  <c r="G60" i="41"/>
  <c r="N48" i="41"/>
  <c r="N52" i="41"/>
  <c r="N56" i="41"/>
  <c r="N60" i="41"/>
  <c r="AR17" i="25"/>
  <c r="AR20" i="25" s="1"/>
  <c r="C55" i="64" l="1"/>
  <c r="C55" i="69"/>
  <c r="AR25" i="25"/>
  <c r="AR22" i="25"/>
  <c r="AR21" i="25"/>
  <c r="AR24" i="25"/>
  <c r="AR23" i="25"/>
  <c r="AR28" i="25" l="1"/>
  <c r="AR43" i="25" s="1"/>
  <c r="AR32" i="25"/>
  <c r="AR41" i="25" s="1"/>
  <c r="AR45" i="25" s="1"/>
  <c r="AR115" i="28" l="1"/>
  <c r="AR17" i="26"/>
  <c r="AR116" i="28" s="1"/>
  <c r="AR109" i="28" s="1"/>
  <c r="AR102" i="28" s="1"/>
  <c r="AR93" i="28"/>
  <c r="AR15" i="26"/>
  <c r="AR94" i="28" s="1"/>
  <c r="AR87" i="28" s="1"/>
  <c r="AR80" i="28" s="1"/>
  <c r="AR112" i="28" l="1"/>
  <c r="AR108" i="28"/>
  <c r="AR86" i="28"/>
  <c r="AR90" i="28"/>
  <c r="AR83" i="28" l="1"/>
  <c r="AR79" i="28"/>
  <c r="AR76" i="28" s="1"/>
  <c r="AR105" i="28"/>
  <c r="AR101" i="28"/>
  <c r="AR98" i="28" s="1"/>
  <c r="CG17" i="25"/>
  <c r="CG21" i="25" s="1"/>
  <c r="CN17" i="25"/>
  <c r="CN20" i="25" s="1"/>
  <c r="CO17" i="25"/>
  <c r="CO20" i="25" s="1"/>
  <c r="CP17" i="25"/>
  <c r="CP22" i="25" s="1"/>
  <c r="CQ17" i="25"/>
  <c r="CQ20" i="25" s="1"/>
  <c r="CR17" i="25"/>
  <c r="CR22" i="25" s="1"/>
  <c r="CS17" i="25"/>
  <c r="CT17" i="25"/>
  <c r="CT21" i="25" s="1"/>
  <c r="CU17" i="25"/>
  <c r="CU20" i="25" s="1"/>
  <c r="CV17" i="25"/>
  <c r="CV20" i="25" s="1"/>
  <c r="CW17" i="25"/>
  <c r="CW20" i="25" s="1"/>
  <c r="CX17" i="25"/>
  <c r="CX23" i="25" s="1"/>
  <c r="DK17" i="25"/>
  <c r="DK21" i="25" s="1"/>
  <c r="DL17" i="25"/>
  <c r="DL20" i="25" s="1"/>
  <c r="DM17" i="25"/>
  <c r="DN17" i="25"/>
  <c r="DN21" i="25" s="1"/>
  <c r="DO17" i="25"/>
  <c r="DO21" i="25" s="1"/>
  <c r="DP17" i="25"/>
  <c r="DP22" i="25" s="1"/>
  <c r="DQ17" i="25"/>
  <c r="DQ20" i="25" s="1"/>
  <c r="DR17" i="25"/>
  <c r="DR24" i="25" s="1"/>
  <c r="DT17" i="25"/>
  <c r="DT25" i="25" s="1"/>
  <c r="DU17" i="25"/>
  <c r="DU20" i="25" s="1"/>
  <c r="DW17" i="25"/>
  <c r="CR20" i="25"/>
  <c r="CQ21" i="25"/>
  <c r="CR21" i="25"/>
  <c r="DL21" i="25"/>
  <c r="DL23" i="25"/>
  <c r="DL25" i="25"/>
  <c r="DT24" i="25" l="1"/>
  <c r="CO21" i="25"/>
  <c r="CT25" i="25"/>
  <c r="CN25" i="25"/>
  <c r="DL24" i="25"/>
  <c r="DU21" i="25"/>
  <c r="DK22" i="25"/>
  <c r="DK24" i="25"/>
  <c r="CQ22" i="25"/>
  <c r="DT20" i="25"/>
  <c r="CQ24" i="25"/>
  <c r="DO20" i="25"/>
  <c r="DK25" i="25"/>
  <c r="DT23" i="25"/>
  <c r="DT21" i="25"/>
  <c r="DK20" i="25"/>
  <c r="DT22" i="25"/>
  <c r="CQ25" i="25"/>
  <c r="DK23" i="25"/>
  <c r="CQ23" i="25"/>
  <c r="DP23" i="25"/>
  <c r="DL22" i="25"/>
  <c r="CW24" i="25"/>
  <c r="CN24" i="25"/>
  <c r="CV25" i="25"/>
  <c r="CV24" i="25"/>
  <c r="CW22" i="25"/>
  <c r="DQ25" i="25"/>
  <c r="CU22" i="25"/>
  <c r="CV21" i="25"/>
  <c r="DP25" i="25"/>
  <c r="CO25" i="25"/>
  <c r="CO23" i="25"/>
  <c r="CU21" i="25"/>
  <c r="DO25" i="25"/>
  <c r="CG23" i="25"/>
  <c r="CO22" i="25"/>
  <c r="DN25" i="25"/>
  <c r="CG25" i="25"/>
  <c r="DU23" i="25"/>
  <c r="DU22" i="25"/>
  <c r="CN22" i="25"/>
  <c r="CG20" i="25"/>
  <c r="CO24" i="25"/>
  <c r="CW23" i="25"/>
  <c r="DO22" i="25"/>
  <c r="CG22" i="25"/>
  <c r="DP24" i="25"/>
  <c r="CV23" i="25"/>
  <c r="CU25" i="25"/>
  <c r="DO24" i="25"/>
  <c r="CG24" i="25"/>
  <c r="CU23" i="25"/>
  <c r="DU25" i="25"/>
  <c r="CW25" i="25"/>
  <c r="DU24" i="25"/>
  <c r="CU24" i="25"/>
  <c r="DO23" i="25"/>
  <c r="CN23" i="25"/>
  <c r="CV22" i="25"/>
  <c r="CN21" i="25"/>
  <c r="CX22" i="25"/>
  <c r="CW21" i="25"/>
  <c r="DP20" i="25"/>
  <c r="CP25" i="25"/>
  <c r="DR23" i="25"/>
  <c r="DQ22" i="25"/>
  <c r="DP21" i="25"/>
  <c r="CR25" i="25"/>
  <c r="DQ24" i="25"/>
  <c r="CR24" i="25"/>
  <c r="DQ23" i="25"/>
  <c r="CR23" i="25"/>
  <c r="CP24" i="25"/>
  <c r="DR22" i="25"/>
  <c r="CP21" i="25"/>
  <c r="CP20" i="25"/>
  <c r="CX21" i="25"/>
  <c r="CX25" i="25"/>
  <c r="DR25" i="25"/>
  <c r="CX24" i="25"/>
  <c r="CP23" i="25"/>
  <c r="DR21" i="25"/>
  <c r="DQ21" i="25"/>
  <c r="CX20" i="25"/>
  <c r="DR20" i="25"/>
  <c r="DN20" i="25"/>
  <c r="DN22" i="25"/>
  <c r="DN23" i="25"/>
  <c r="DN24" i="25"/>
  <c r="CT20" i="25"/>
  <c r="CT22" i="25"/>
  <c r="CT23" i="25"/>
  <c r="CT24" i="25"/>
  <c r="DW21" i="25"/>
  <c r="DW22" i="25"/>
  <c r="DW23" i="25"/>
  <c r="DW20" i="25"/>
  <c r="DW24" i="25"/>
  <c r="DW25" i="25"/>
  <c r="DM21" i="25"/>
  <c r="DM22" i="25"/>
  <c r="DM23" i="25"/>
  <c r="DM24" i="25"/>
  <c r="DM25" i="25"/>
  <c r="CS21" i="25"/>
  <c r="CS22" i="25"/>
  <c r="CS23" i="25"/>
  <c r="CS24" i="25"/>
  <c r="CS25" i="25"/>
  <c r="CS20" i="25"/>
  <c r="DM20" i="25"/>
  <c r="DL28" i="25" l="1"/>
  <c r="DL43" i="25" s="1"/>
  <c r="DL93" i="28" s="1"/>
  <c r="DK32" i="25"/>
  <c r="DK41" i="25" s="1"/>
  <c r="DK45" i="25" s="1"/>
  <c r="DK17" i="26" s="1"/>
  <c r="CQ28" i="25"/>
  <c r="CQ43" i="25" s="1"/>
  <c r="CQ32" i="25"/>
  <c r="CQ41" i="25" s="1"/>
  <c r="CQ45" i="25" s="1"/>
  <c r="DT28" i="25"/>
  <c r="DT43" i="25" s="1"/>
  <c r="DT15" i="26" s="1"/>
  <c r="DT94" i="28" s="1"/>
  <c r="DT87" i="28" s="1"/>
  <c r="DK28" i="25"/>
  <c r="DK43" i="25" s="1"/>
  <c r="DK93" i="28" s="1"/>
  <c r="CG32" i="25"/>
  <c r="CG41" i="25" s="1"/>
  <c r="CG45" i="25" s="1"/>
  <c r="CG17" i="26" s="1"/>
  <c r="CG116" i="28" s="1"/>
  <c r="CG109" i="28" s="1"/>
  <c r="DT32" i="25"/>
  <c r="DT41" i="25" s="1"/>
  <c r="DT45" i="25" s="1"/>
  <c r="DT17" i="26" s="1"/>
  <c r="DT116" i="28" s="1"/>
  <c r="DT109" i="28" s="1"/>
  <c r="DL32" i="25"/>
  <c r="DL41" i="25" s="1"/>
  <c r="DL45" i="25" s="1"/>
  <c r="DL115" i="28" s="1"/>
  <c r="CN28" i="25"/>
  <c r="CN43" i="25" s="1"/>
  <c r="CN93" i="28" s="1"/>
  <c r="CN86" i="28" s="1"/>
  <c r="CV28" i="25"/>
  <c r="CV43" i="25" s="1"/>
  <c r="CG28" i="25"/>
  <c r="CG43" i="25" s="1"/>
  <c r="CG15" i="26" s="1"/>
  <c r="CG94" i="28" s="1"/>
  <c r="CG87" i="28" s="1"/>
  <c r="CO32" i="25"/>
  <c r="CO41" i="25" s="1"/>
  <c r="CO45" i="25" s="1"/>
  <c r="CO115" i="28" s="1"/>
  <c r="CO108" i="28" s="1"/>
  <c r="CO101" i="28" s="1"/>
  <c r="CV32" i="25"/>
  <c r="CV41" i="25" s="1"/>
  <c r="CV45" i="25" s="1"/>
  <c r="CV115" i="28" s="1"/>
  <c r="CV108" i="28" s="1"/>
  <c r="CO28" i="25"/>
  <c r="CO43" i="25" s="1"/>
  <c r="DO32" i="25"/>
  <c r="DO41" i="25" s="1"/>
  <c r="DO45" i="25" s="1"/>
  <c r="DO115" i="28" s="1"/>
  <c r="CN32" i="25"/>
  <c r="CN41" i="25" s="1"/>
  <c r="CN45" i="25" s="1"/>
  <c r="CN17" i="26" s="1"/>
  <c r="CN116" i="28" s="1"/>
  <c r="CN109" i="28" s="1"/>
  <c r="CN102" i="28" s="1"/>
  <c r="G56" i="43" s="1"/>
  <c r="CU32" i="25"/>
  <c r="CU41" i="25" s="1"/>
  <c r="CU45" i="25" s="1"/>
  <c r="CU17" i="26" s="1"/>
  <c r="CU116" i="28" s="1"/>
  <c r="CU109" i="28" s="1"/>
  <c r="CU102" i="28" s="1"/>
  <c r="DP28" i="25"/>
  <c r="DP43" i="25" s="1"/>
  <c r="DP93" i="28" s="1"/>
  <c r="DP86" i="28" s="1"/>
  <c r="CW32" i="25"/>
  <c r="CW41" i="25" s="1"/>
  <c r="CW45" i="25" s="1"/>
  <c r="CW17" i="26" s="1"/>
  <c r="CW116" i="28" s="1"/>
  <c r="CW109" i="28" s="1"/>
  <c r="CW102" i="28" s="1"/>
  <c r="S49" i="48" s="1"/>
  <c r="DU32" i="25"/>
  <c r="DU41" i="25" s="1"/>
  <c r="DU45" i="25" s="1"/>
  <c r="DU115" i="28" s="1"/>
  <c r="CU28" i="25"/>
  <c r="CU43" i="25" s="1"/>
  <c r="CU93" i="28" s="1"/>
  <c r="CP32" i="25"/>
  <c r="CP41" i="25" s="1"/>
  <c r="CP45" i="25" s="1"/>
  <c r="CP115" i="28" s="1"/>
  <c r="DO28" i="25"/>
  <c r="DO43" i="25" s="1"/>
  <c r="DO93" i="28" s="1"/>
  <c r="CR28" i="25"/>
  <c r="CR43" i="25" s="1"/>
  <c r="CR15" i="26" s="1"/>
  <c r="CR94" i="28" s="1"/>
  <c r="CR87" i="28" s="1"/>
  <c r="CR80" i="28" s="1"/>
  <c r="G52" i="47" s="1"/>
  <c r="DU28" i="25"/>
  <c r="DU43" i="25" s="1"/>
  <c r="DU15" i="26" s="1"/>
  <c r="DU94" i="28" s="1"/>
  <c r="DU87" i="28" s="1"/>
  <c r="DP32" i="25"/>
  <c r="DP41" i="25" s="1"/>
  <c r="DP45" i="25" s="1"/>
  <c r="DP17" i="26" s="1"/>
  <c r="CW28" i="25"/>
  <c r="CW43" i="25" s="1"/>
  <c r="CW15" i="26" s="1"/>
  <c r="CW94" i="28" s="1"/>
  <c r="CW87" i="28" s="1"/>
  <c r="CW80" i="28" s="1"/>
  <c r="S49" i="51" s="1"/>
  <c r="CR32" i="25"/>
  <c r="CR41" i="25" s="1"/>
  <c r="CR45" i="25" s="1"/>
  <c r="CR115" i="28" s="1"/>
  <c r="DR32" i="25"/>
  <c r="DR41" i="25" s="1"/>
  <c r="DR45" i="25" s="1"/>
  <c r="DR115" i="28" s="1"/>
  <c r="DR28" i="25"/>
  <c r="DR43" i="25" s="1"/>
  <c r="DR15" i="26" s="1"/>
  <c r="DR94" i="28" s="1"/>
  <c r="CX32" i="25"/>
  <c r="CX41" i="25" s="1"/>
  <c r="CX45" i="25" s="1"/>
  <c r="CX115" i="28" s="1"/>
  <c r="CX108" i="28" s="1"/>
  <c r="DQ28" i="25"/>
  <c r="DQ43" i="25" s="1"/>
  <c r="CP28" i="25"/>
  <c r="CP43" i="25" s="1"/>
  <c r="CP93" i="28" s="1"/>
  <c r="CX28" i="25"/>
  <c r="CX43" i="25" s="1"/>
  <c r="DQ32" i="25"/>
  <c r="DQ41" i="25" s="1"/>
  <c r="DQ45" i="25" s="1"/>
  <c r="DN28" i="25"/>
  <c r="DN43" i="25" s="1"/>
  <c r="DN32" i="25"/>
  <c r="DN41" i="25" s="1"/>
  <c r="DN45" i="25" s="1"/>
  <c r="CQ115" i="28"/>
  <c r="CQ17" i="26"/>
  <c r="CQ116" i="28" s="1"/>
  <c r="CQ109" i="28" s="1"/>
  <c r="CQ102" i="28" s="1"/>
  <c r="G49" i="43" s="1"/>
  <c r="DM28" i="25"/>
  <c r="DM43" i="25" s="1"/>
  <c r="DM32" i="25"/>
  <c r="DM41" i="25" s="1"/>
  <c r="DM45" i="25" s="1"/>
  <c r="CQ93" i="28"/>
  <c r="CQ15" i="26"/>
  <c r="CQ94" i="28" s="1"/>
  <c r="CQ87" i="28" s="1"/>
  <c r="CQ80" i="28" s="1"/>
  <c r="G49" i="47" s="1"/>
  <c r="CV93" i="28"/>
  <c r="CV15" i="26"/>
  <c r="CV94" i="28" s="1"/>
  <c r="CV87" i="28" s="1"/>
  <c r="CV80" i="28" s="1"/>
  <c r="DW32" i="25"/>
  <c r="DW41" i="25" s="1"/>
  <c r="DW45" i="25" s="1"/>
  <c r="DW28" i="25"/>
  <c r="DW43" i="25" s="1"/>
  <c r="CT28" i="25"/>
  <c r="CT43" i="25" s="1"/>
  <c r="CT32" i="25"/>
  <c r="CT41" i="25" s="1"/>
  <c r="CT45" i="25" s="1"/>
  <c r="CN115" i="28"/>
  <c r="CS32" i="25"/>
  <c r="CS41" i="25" s="1"/>
  <c r="CS45" i="25" s="1"/>
  <c r="CS28" i="25"/>
  <c r="CS43" i="25" s="1"/>
  <c r="DT115" i="28" l="1"/>
  <c r="DL17" i="26"/>
  <c r="DK115" i="28"/>
  <c r="DL15" i="26"/>
  <c r="DT93" i="28"/>
  <c r="DT90" i="28" s="1"/>
  <c r="DK15" i="26"/>
  <c r="DK94" i="28" s="1"/>
  <c r="DK87" i="28" s="1"/>
  <c r="DK80" i="28" s="1"/>
  <c r="G51" i="74" s="1"/>
  <c r="CP17" i="26"/>
  <c r="CP116" i="28" s="1"/>
  <c r="CP109" i="28" s="1"/>
  <c r="CP102" i="28" s="1"/>
  <c r="CG115" i="28"/>
  <c r="CG112" i="28" s="1"/>
  <c r="CO17" i="26"/>
  <c r="CO116" i="28" s="1"/>
  <c r="CO109" i="28" s="1"/>
  <c r="CO102" i="28" s="1"/>
  <c r="G55" i="43" s="1"/>
  <c r="CN15" i="26"/>
  <c r="CN94" i="28" s="1"/>
  <c r="CN87" i="28" s="1"/>
  <c r="CN80" i="28" s="1"/>
  <c r="G56" i="47" s="1"/>
  <c r="CG93" i="28"/>
  <c r="CG90" i="28" s="1"/>
  <c r="CV17" i="26"/>
  <c r="CV116" i="28" s="1"/>
  <c r="CV109" i="28" s="1"/>
  <c r="CV102" i="28" s="1"/>
  <c r="DU17" i="26"/>
  <c r="DU116" i="28" s="1"/>
  <c r="DU109" i="28" s="1"/>
  <c r="DU102" i="28" s="1"/>
  <c r="AE58" i="32" s="1"/>
  <c r="DO15" i="26"/>
  <c r="DO94" i="28" s="1"/>
  <c r="DO87" i="28" s="1"/>
  <c r="DO80" i="28" s="1"/>
  <c r="G54" i="74" s="1"/>
  <c r="DU93" i="28"/>
  <c r="DU90" i="28" s="1"/>
  <c r="CR93" i="28"/>
  <c r="CR86" i="28" s="1"/>
  <c r="DR93" i="28"/>
  <c r="DR86" i="28" s="1"/>
  <c r="CW115" i="28"/>
  <c r="CW108" i="28" s="1"/>
  <c r="CU115" i="28"/>
  <c r="CU112" i="28" s="1"/>
  <c r="DP115" i="28"/>
  <c r="DP108" i="28" s="1"/>
  <c r="CR17" i="26"/>
  <c r="CR116" i="28" s="1"/>
  <c r="CR109" i="28" s="1"/>
  <c r="CR102" i="28" s="1"/>
  <c r="G52" i="43" s="1"/>
  <c r="CO93" i="28"/>
  <c r="CO15" i="26"/>
  <c r="CO94" i="28" s="1"/>
  <c r="CO87" i="28" s="1"/>
  <c r="CO80" i="28" s="1"/>
  <c r="G55" i="47" s="1"/>
  <c r="CU15" i="26"/>
  <c r="CU94" i="28" s="1"/>
  <c r="CU87" i="28" s="1"/>
  <c r="CU80" i="28" s="1"/>
  <c r="DO17" i="26"/>
  <c r="DO116" i="28" s="1"/>
  <c r="DO109" i="28" s="1"/>
  <c r="DO102" i="28" s="1"/>
  <c r="G54" i="55" s="1"/>
  <c r="DP15" i="26"/>
  <c r="DR87" i="28"/>
  <c r="CW93" i="28"/>
  <c r="CX17" i="26"/>
  <c r="CX116" i="28" s="1"/>
  <c r="CX109" i="28" s="1"/>
  <c r="CX102" i="28" s="1"/>
  <c r="S52" i="48" s="1"/>
  <c r="CP15" i="26"/>
  <c r="CP94" i="28" s="1"/>
  <c r="CP87" i="28" s="1"/>
  <c r="CP80" i="28" s="1"/>
  <c r="DR17" i="26"/>
  <c r="DR116" i="28" s="1"/>
  <c r="DR109" i="28" s="1"/>
  <c r="DR102" i="28" s="1"/>
  <c r="AD58" i="32" s="1"/>
  <c r="DQ93" i="28"/>
  <c r="DQ15" i="26"/>
  <c r="DQ94" i="28" s="1"/>
  <c r="DQ87" i="28" s="1"/>
  <c r="CX15" i="26"/>
  <c r="CX94" i="28" s="1"/>
  <c r="CX87" i="28" s="1"/>
  <c r="CX80" i="28" s="1"/>
  <c r="S52" i="51" s="1"/>
  <c r="CX93" i="28"/>
  <c r="DQ17" i="26"/>
  <c r="DQ116" i="28" s="1"/>
  <c r="DQ109" i="28" s="1"/>
  <c r="DQ115" i="28"/>
  <c r="DL116" i="28"/>
  <c r="DL109" i="28" s="1"/>
  <c r="DL102" i="28" s="1"/>
  <c r="G50" i="55" s="1"/>
  <c r="DK116" i="28"/>
  <c r="DK109" i="28" s="1"/>
  <c r="DK102" i="28" s="1"/>
  <c r="G51" i="55" s="1"/>
  <c r="DL94" i="28"/>
  <c r="DL87" i="28" s="1"/>
  <c r="DL80" i="28" s="1"/>
  <c r="G50" i="74" s="1"/>
  <c r="DP116" i="28"/>
  <c r="DP109" i="28" s="1"/>
  <c r="DP102" i="28" s="1"/>
  <c r="G47" i="55" s="1"/>
  <c r="DT80" i="28"/>
  <c r="AG58" i="39"/>
  <c r="CQ108" i="28"/>
  <c r="CQ112" i="28"/>
  <c r="DN93" i="28"/>
  <c r="DN15" i="26"/>
  <c r="CG108" i="28"/>
  <c r="CV86" i="28"/>
  <c r="CV90" i="28"/>
  <c r="DT108" i="28"/>
  <c r="DT112" i="28"/>
  <c r="DN115" i="28"/>
  <c r="DN17" i="26"/>
  <c r="CN79" i="28"/>
  <c r="CN83" i="28"/>
  <c r="CT115" i="28"/>
  <c r="CT17" i="26"/>
  <c r="CT116" i="28" s="1"/>
  <c r="CT109" i="28" s="1"/>
  <c r="CT102" i="28" s="1"/>
  <c r="S55" i="48" s="1"/>
  <c r="DW93" i="28"/>
  <c r="DW15" i="26"/>
  <c r="DW94" i="28" s="1"/>
  <c r="DW87" i="28" s="1"/>
  <c r="DU108" i="28"/>
  <c r="DL86" i="28"/>
  <c r="CT93" i="28"/>
  <c r="CT15" i="26"/>
  <c r="CT94" i="28" s="1"/>
  <c r="CT87" i="28" s="1"/>
  <c r="CT80" i="28" s="1"/>
  <c r="S55" i="51" s="1"/>
  <c r="DW115" i="28"/>
  <c r="DW17" i="26"/>
  <c r="DW116" i="28" s="1"/>
  <c r="DW109" i="28" s="1"/>
  <c r="CQ90" i="28"/>
  <c r="CQ86" i="28"/>
  <c r="DT86" i="28"/>
  <c r="AF84" i="32" s="1"/>
  <c r="CS93" i="28"/>
  <c r="CS15" i="26"/>
  <c r="CS94" i="28" s="1"/>
  <c r="CS87" i="28" s="1"/>
  <c r="CS80" i="28" s="1"/>
  <c r="S56" i="51" s="1"/>
  <c r="E55" i="43"/>
  <c r="CS115" i="28"/>
  <c r="CS17" i="26"/>
  <c r="CS116" i="28" s="1"/>
  <c r="CS109" i="28" s="1"/>
  <c r="CS102" i="28" s="1"/>
  <c r="S56" i="48" s="1"/>
  <c r="CP108" i="28"/>
  <c r="DP79" i="28"/>
  <c r="E47" i="74" s="1"/>
  <c r="CU86" i="28"/>
  <c r="DK86" i="28"/>
  <c r="DK108" i="28"/>
  <c r="DR108" i="28"/>
  <c r="CX101" i="28"/>
  <c r="DM115" i="28"/>
  <c r="DM17" i="26"/>
  <c r="DU80" i="28"/>
  <c r="AE58" i="36" s="1"/>
  <c r="AF58" i="39"/>
  <c r="DO108" i="28"/>
  <c r="CV101" i="28"/>
  <c r="DO86" i="28"/>
  <c r="CP86" i="28"/>
  <c r="DL108" i="28"/>
  <c r="DM93" i="28"/>
  <c r="DM15" i="26"/>
  <c r="CG80" i="28"/>
  <c r="AB58" i="36" s="1"/>
  <c r="AC58" i="39"/>
  <c r="CN108" i="28"/>
  <c r="CN112" i="28"/>
  <c r="CG102" i="28"/>
  <c r="AB58" i="32" s="1"/>
  <c r="AC58" i="38"/>
  <c r="DT102" i="28"/>
  <c r="AG58" i="38"/>
  <c r="CR108" i="28"/>
  <c r="CR90" i="28" l="1"/>
  <c r="CP112" i="28"/>
  <c r="AF58" i="36"/>
  <c r="G49" i="74"/>
  <c r="AF58" i="32"/>
  <c r="G49" i="55"/>
  <c r="CO112" i="28"/>
  <c r="DR79" i="28"/>
  <c r="AD57" i="36" s="1"/>
  <c r="AD84" i="32"/>
  <c r="CO98" i="28"/>
  <c r="CO105" i="28"/>
  <c r="CG86" i="28"/>
  <c r="AB84" i="32" s="1"/>
  <c r="CN90" i="28"/>
  <c r="DU112" i="28"/>
  <c r="AF58" i="38"/>
  <c r="CV105" i="28"/>
  <c r="CW112" i="28"/>
  <c r="CV112" i="28"/>
  <c r="CV98" i="28"/>
  <c r="CU108" i="28"/>
  <c r="CU105" i="28" s="1"/>
  <c r="DU86" i="28"/>
  <c r="DR90" i="28"/>
  <c r="DR83" i="28"/>
  <c r="DW102" i="28"/>
  <c r="AH58" i="38"/>
  <c r="DW80" i="28"/>
  <c r="AH58" i="39"/>
  <c r="CU90" i="28"/>
  <c r="DW108" i="28"/>
  <c r="AH57" i="38" s="1"/>
  <c r="AH46" i="38" s="1"/>
  <c r="DW112" i="28"/>
  <c r="DW86" i="28"/>
  <c r="DW90" i="28"/>
  <c r="CR112" i="28"/>
  <c r="AE57" i="39"/>
  <c r="AE46" i="39" s="1"/>
  <c r="DL112" i="28"/>
  <c r="CW101" i="28"/>
  <c r="CW98" i="28" s="1"/>
  <c r="CW105" i="28"/>
  <c r="DP94" i="28"/>
  <c r="CP90" i="28"/>
  <c r="AE58" i="38"/>
  <c r="CO86" i="28"/>
  <c r="CO90" i="28"/>
  <c r="CX112" i="28"/>
  <c r="CX105" i="28"/>
  <c r="DR112" i="28"/>
  <c r="CW86" i="28"/>
  <c r="CW90" i="28"/>
  <c r="DK112" i="28"/>
  <c r="AE58" i="39"/>
  <c r="DR80" i="28"/>
  <c r="AD58" i="36" s="1"/>
  <c r="DO90" i="28"/>
  <c r="DK90" i="28"/>
  <c r="DO112" i="28"/>
  <c r="AD58" i="39"/>
  <c r="DQ80" i="28"/>
  <c r="AC58" i="36" s="1"/>
  <c r="DQ90" i="28"/>
  <c r="DQ86" i="28"/>
  <c r="DP112" i="28"/>
  <c r="G45" i="55"/>
  <c r="DL90" i="28"/>
  <c r="DM94" i="28"/>
  <c r="DM87" i="28" s="1"/>
  <c r="DM80" i="28" s="1"/>
  <c r="G52" i="74" s="1"/>
  <c r="DQ108" i="28"/>
  <c r="DQ112" i="28"/>
  <c r="DM116" i="28"/>
  <c r="DM109" i="28" s="1"/>
  <c r="DM102" i="28" s="1"/>
  <c r="G52" i="55" s="1"/>
  <c r="AD58" i="38"/>
  <c r="DQ102" i="28"/>
  <c r="AC58" i="32" s="1"/>
  <c r="DN116" i="28"/>
  <c r="DN109" i="28" s="1"/>
  <c r="DN102" i="28" s="1"/>
  <c r="G53" i="55" s="1"/>
  <c r="DN94" i="28"/>
  <c r="DN87" i="28" s="1"/>
  <c r="DN80" i="28" s="1"/>
  <c r="G53" i="74" s="1"/>
  <c r="CX86" i="28"/>
  <c r="CX90" i="28"/>
  <c r="CR101" i="28"/>
  <c r="CR105" i="28"/>
  <c r="CN101" i="28"/>
  <c r="CN105" i="28"/>
  <c r="CR79" i="28"/>
  <c r="CR83" i="28"/>
  <c r="CP79" i="28"/>
  <c r="CP76" i="28" s="1"/>
  <c r="CP83" i="28"/>
  <c r="DO101" i="28"/>
  <c r="DO105" i="28"/>
  <c r="DK101" i="28"/>
  <c r="DK105" i="28"/>
  <c r="DM86" i="28"/>
  <c r="DK79" i="28"/>
  <c r="DK83" i="28"/>
  <c r="DO79" i="28"/>
  <c r="DO83" i="28"/>
  <c r="CU79" i="28"/>
  <c r="CU76" i="28" s="1"/>
  <c r="CU83" i="28"/>
  <c r="DN86" i="28"/>
  <c r="DR101" i="28"/>
  <c r="AE57" i="38"/>
  <c r="AE46" i="38" s="1"/>
  <c r="DR105" i="28"/>
  <c r="DT79" i="28"/>
  <c r="E49" i="74" s="1"/>
  <c r="DT83" i="28"/>
  <c r="AG57" i="39"/>
  <c r="AG46" i="39" s="1"/>
  <c r="DL101" i="28"/>
  <c r="DL105" i="28"/>
  <c r="CT108" i="28"/>
  <c r="CT112" i="28"/>
  <c r="DT101" i="28"/>
  <c r="E49" i="55" s="1"/>
  <c r="DT105" i="28"/>
  <c r="AG57" i="38"/>
  <c r="AG46" i="38" s="1"/>
  <c r="CQ101" i="28"/>
  <c r="CQ105" i="28"/>
  <c r="CS108" i="28"/>
  <c r="CS112" i="28"/>
  <c r="DU101" i="28"/>
  <c r="DU105" i="28"/>
  <c r="AF57" i="38"/>
  <c r="AF46" i="38" s="1"/>
  <c r="CG101" i="28"/>
  <c r="CG105" i="28"/>
  <c r="AC57" i="38"/>
  <c r="AC46" i="38" s="1"/>
  <c r="CX98" i="28"/>
  <c r="R52" i="48"/>
  <c r="CS86" i="28"/>
  <c r="CS90" i="28"/>
  <c r="DM108" i="28"/>
  <c r="CT86" i="28"/>
  <c r="CT90" i="28"/>
  <c r="DN108" i="28"/>
  <c r="DP101" i="28"/>
  <c r="E47" i="55" s="1"/>
  <c r="M47" i="55" s="1"/>
  <c r="DP105" i="28"/>
  <c r="CP101" i="28"/>
  <c r="CP98" i="28" s="1"/>
  <c r="CP105" i="28"/>
  <c r="CQ79" i="28"/>
  <c r="CQ83" i="28"/>
  <c r="DL79" i="28"/>
  <c r="DL83" i="28"/>
  <c r="CN76" i="28"/>
  <c r="E56" i="47"/>
  <c r="CV79" i="28"/>
  <c r="CV76" i="28" s="1"/>
  <c r="CV83" i="28"/>
  <c r="AH48" i="38" l="1"/>
  <c r="AE48" i="38"/>
  <c r="AC48" i="38"/>
  <c r="AG48" i="38"/>
  <c r="AF48" i="38"/>
  <c r="CG83" i="28"/>
  <c r="M49" i="74"/>
  <c r="DL76" i="28"/>
  <c r="E50" i="74"/>
  <c r="M50" i="74" s="1"/>
  <c r="AG58" i="32"/>
  <c r="G48" i="55"/>
  <c r="DO76" i="28"/>
  <c r="E54" i="74"/>
  <c r="M54" i="74" s="1"/>
  <c r="DK76" i="28"/>
  <c r="E51" i="74"/>
  <c r="M51" i="74" s="1"/>
  <c r="AG58" i="36"/>
  <c r="G48" i="74"/>
  <c r="M49" i="55"/>
  <c r="CG79" i="28"/>
  <c r="AC57" i="39"/>
  <c r="AC46" i="39" s="1"/>
  <c r="AH57" i="39"/>
  <c r="AH46" i="39" s="1"/>
  <c r="AG84" i="32"/>
  <c r="DU79" i="28"/>
  <c r="DU76" i="28" s="1"/>
  <c r="AE84" i="32"/>
  <c r="AC84" i="32"/>
  <c r="CU101" i="28"/>
  <c r="CU98" i="28" s="1"/>
  <c r="AF57" i="39"/>
  <c r="AF46" i="39" s="1"/>
  <c r="DU83" i="28"/>
  <c r="AE48" i="39"/>
  <c r="DM112" i="28"/>
  <c r="R49" i="48"/>
  <c r="G49" i="48" s="1"/>
  <c r="DW79" i="28"/>
  <c r="E48" i="74" s="1"/>
  <c r="DW83" i="28"/>
  <c r="DW101" i="28"/>
  <c r="E48" i="55" s="1"/>
  <c r="DW105" i="28"/>
  <c r="DR76" i="28"/>
  <c r="DP87" i="28"/>
  <c r="DP90" i="28"/>
  <c r="CO83" i="28"/>
  <c r="CO79" i="28"/>
  <c r="CW79" i="28"/>
  <c r="CW83" i="28"/>
  <c r="DN90" i="28"/>
  <c r="DQ79" i="28"/>
  <c r="DQ83" i="28"/>
  <c r="AD57" i="39"/>
  <c r="AC48" i="39"/>
  <c r="CX79" i="28"/>
  <c r="CX83" i="28"/>
  <c r="DN112" i="28"/>
  <c r="DM90" i="28"/>
  <c r="DQ101" i="28"/>
  <c r="AD57" i="38"/>
  <c r="AD46" i="38" s="1"/>
  <c r="DQ105" i="28"/>
  <c r="E52" i="48"/>
  <c r="G52" i="48"/>
  <c r="DU98" i="28"/>
  <c r="AE57" i="32"/>
  <c r="AE46" i="32" s="1"/>
  <c r="CT105" i="28"/>
  <c r="CT101" i="28"/>
  <c r="DN83" i="28"/>
  <c r="DN79" i="28"/>
  <c r="DK98" i="28"/>
  <c r="E51" i="55"/>
  <c r="M51" i="55" s="1"/>
  <c r="DT76" i="28"/>
  <c r="AF57" i="36"/>
  <c r="DL98" i="28"/>
  <c r="E50" i="55"/>
  <c r="M50" i="55" s="1"/>
  <c r="Z71" i="61"/>
  <c r="AD72" i="60"/>
  <c r="DO98" i="28"/>
  <c r="E54" i="55"/>
  <c r="M54" i="55" s="1"/>
  <c r="CQ76" i="28"/>
  <c r="E49" i="47"/>
  <c r="AD46" i="36"/>
  <c r="AD48" i="36"/>
  <c r="CS83" i="28"/>
  <c r="CS79" i="28"/>
  <c r="CR76" i="28"/>
  <c r="E52" i="47"/>
  <c r="AG48" i="39"/>
  <c r="CQ98" i="28"/>
  <c r="E49" i="43"/>
  <c r="CN98" i="28"/>
  <c r="E56" i="43"/>
  <c r="AE72" i="60"/>
  <c r="AA71" i="61"/>
  <c r="DN101" i="28"/>
  <c r="DN105" i="28"/>
  <c r="DM101" i="28"/>
  <c r="DM105" i="28"/>
  <c r="X71" i="61"/>
  <c r="AB72" i="60"/>
  <c r="CS101" i="28"/>
  <c r="CS105" i="28"/>
  <c r="DR98" i="28"/>
  <c r="AD57" i="32"/>
  <c r="DP98" i="28"/>
  <c r="E45" i="55"/>
  <c r="M45" i="55" s="1"/>
  <c r="DT98" i="28"/>
  <c r="AF57" i="32"/>
  <c r="CG76" i="28"/>
  <c r="K61" i="51" s="1"/>
  <c r="AB57" i="36"/>
  <c r="DM83" i="28"/>
  <c r="DM79" i="28"/>
  <c r="CT83" i="28"/>
  <c r="CT79" i="28"/>
  <c r="CG98" i="28"/>
  <c r="AB57" i="32"/>
  <c r="AF72" i="60"/>
  <c r="AB71" i="61"/>
  <c r="CR98" i="28"/>
  <c r="E52" i="43"/>
  <c r="AD48" i="38" l="1"/>
  <c r="M48" i="55"/>
  <c r="M48" i="74"/>
  <c r="DN76" i="28"/>
  <c r="E53" i="74"/>
  <c r="M53" i="74" s="1"/>
  <c r="AE57" i="36"/>
  <c r="AE46" i="36" s="1"/>
  <c r="DM76" i="28"/>
  <c r="E52" i="74"/>
  <c r="M52" i="74" s="1"/>
  <c r="AH48" i="39"/>
  <c r="AF48" i="39"/>
  <c r="DW98" i="28"/>
  <c r="AG57" i="32"/>
  <c r="DW76" i="28"/>
  <c r="AG57" i="36"/>
  <c r="AD61" i="69"/>
  <c r="AD46" i="69"/>
  <c r="AD46" i="64"/>
  <c r="AD61" i="64"/>
  <c r="E49" i="48"/>
  <c r="DP80" i="28"/>
  <c r="DP83" i="28"/>
  <c r="E55" i="47"/>
  <c r="CO76" i="28"/>
  <c r="CW76" i="28"/>
  <c r="R49" i="51"/>
  <c r="AD46" i="39"/>
  <c r="AD48" i="39"/>
  <c r="DQ76" i="28"/>
  <c r="I63" i="74" s="1"/>
  <c r="AC57" i="36"/>
  <c r="Y71" i="61"/>
  <c r="AC72" i="60"/>
  <c r="R52" i="51"/>
  <c r="CX76" i="28"/>
  <c r="DQ98" i="28"/>
  <c r="K62" i="63" s="1"/>
  <c r="AC57" i="32"/>
  <c r="AB72" i="61"/>
  <c r="AF73" i="60"/>
  <c r="AF56" i="60" s="1"/>
  <c r="AB45" i="60"/>
  <c r="AB46" i="60"/>
  <c r="AB47" i="60"/>
  <c r="AB48" i="60"/>
  <c r="AB55" i="60"/>
  <c r="AF46" i="36"/>
  <c r="AF48" i="36"/>
  <c r="CT76" i="28"/>
  <c r="R55" i="51"/>
  <c r="CS76" i="28"/>
  <c r="R56" i="51"/>
  <c r="CT98" i="28"/>
  <c r="R55" i="48"/>
  <c r="AE48" i="32"/>
  <c r="AB46" i="32"/>
  <c r="AB48" i="32"/>
  <c r="AD46" i="32"/>
  <c r="AD48" i="32"/>
  <c r="AB73" i="60"/>
  <c r="X72" i="61"/>
  <c r="K61" i="48"/>
  <c r="AB46" i="36"/>
  <c r="AB48" i="36"/>
  <c r="AD73" i="60"/>
  <c r="AD56" i="60" s="1"/>
  <c r="Z72" i="61"/>
  <c r="DM98" i="28"/>
  <c r="E52" i="55"/>
  <c r="M52" i="55" s="1"/>
  <c r="AA72" i="61"/>
  <c r="AE73" i="60"/>
  <c r="AE56" i="60" s="1"/>
  <c r="K54" i="51"/>
  <c r="K52" i="51"/>
  <c r="K51" i="51"/>
  <c r="K53" i="51"/>
  <c r="AF46" i="32"/>
  <c r="AF48" i="32"/>
  <c r="CS98" i="28"/>
  <c r="R56" i="48"/>
  <c r="DN98" i="28"/>
  <c r="E53" i="55"/>
  <c r="M53" i="55" s="1"/>
  <c r="AE48" i="36" l="1"/>
  <c r="K45" i="63"/>
  <c r="K55" i="63"/>
  <c r="K47" i="63"/>
  <c r="K54" i="63"/>
  <c r="K46" i="63"/>
  <c r="K53" i="63"/>
  <c r="K52" i="63"/>
  <c r="K51" i="63"/>
  <c r="K50" i="63"/>
  <c r="K49" i="63"/>
  <c r="K48" i="63"/>
  <c r="DP76" i="28"/>
  <c r="G47" i="74"/>
  <c r="M47" i="74" s="1"/>
  <c r="DQ97" i="28"/>
  <c r="AE46" i="69"/>
  <c r="AE61" i="69"/>
  <c r="AE46" i="64"/>
  <c r="AE61" i="64"/>
  <c r="AD48" i="64"/>
  <c r="AD63" i="64"/>
  <c r="AD63" i="69"/>
  <c r="AD48" i="69"/>
  <c r="AG48" i="36"/>
  <c r="AG46" i="36"/>
  <c r="AG46" i="32"/>
  <c r="AG48" i="32"/>
  <c r="AC48" i="64"/>
  <c r="AC48" i="69"/>
  <c r="AC63" i="64"/>
  <c r="AC63" i="69"/>
  <c r="AC46" i="64"/>
  <c r="AC61" i="69"/>
  <c r="AC46" i="69"/>
  <c r="AC61" i="64"/>
  <c r="AE48" i="64"/>
  <c r="AE63" i="69"/>
  <c r="AE48" i="69"/>
  <c r="AE63" i="64"/>
  <c r="AA61" i="64"/>
  <c r="AA46" i="69"/>
  <c r="AA46" i="64"/>
  <c r="AA61" i="69"/>
  <c r="AA48" i="69"/>
  <c r="AA63" i="69"/>
  <c r="AA63" i="64"/>
  <c r="AA48" i="64"/>
  <c r="E49" i="51"/>
  <c r="G49" i="51"/>
  <c r="AC46" i="36"/>
  <c r="AC48" i="36"/>
  <c r="AC46" i="32"/>
  <c r="AC48" i="32"/>
  <c r="Y72" i="61"/>
  <c r="R45" i="61" s="1"/>
  <c r="O45" i="61" s="1"/>
  <c r="I63" i="55"/>
  <c r="AC73" i="60"/>
  <c r="AC56" i="60" s="1"/>
  <c r="E52" i="51"/>
  <c r="G52" i="51"/>
  <c r="E56" i="51"/>
  <c r="G56" i="51"/>
  <c r="E55" i="51"/>
  <c r="G55" i="51"/>
  <c r="K54" i="48"/>
  <c r="K52" i="48"/>
  <c r="K51" i="48"/>
  <c r="K53" i="48"/>
  <c r="E56" i="48"/>
  <c r="G56" i="48"/>
  <c r="E55" i="48"/>
  <c r="G55" i="48"/>
  <c r="CC17" i="25"/>
  <c r="CC23" i="25" s="1"/>
  <c r="I54" i="74" l="1"/>
  <c r="I50" i="74"/>
  <c r="I46" i="74"/>
  <c r="I52" i="74"/>
  <c r="I45" i="74"/>
  <c r="I53" i="74"/>
  <c r="I48" i="74"/>
  <c r="I51" i="74"/>
  <c r="I47" i="74"/>
  <c r="I49" i="74"/>
  <c r="N45" i="74"/>
  <c r="N49" i="74"/>
  <c r="N51" i="74"/>
  <c r="N52" i="74"/>
  <c r="N48" i="74"/>
  <c r="N54" i="74"/>
  <c r="N53" i="74"/>
  <c r="N50" i="74"/>
  <c r="N47" i="74"/>
  <c r="N46" i="74"/>
  <c r="I46" i="55"/>
  <c r="N46" i="55"/>
  <c r="I48" i="55"/>
  <c r="N48" i="55"/>
  <c r="I49" i="55"/>
  <c r="N49" i="55"/>
  <c r="I47" i="55"/>
  <c r="N47" i="55"/>
  <c r="AB48" i="69"/>
  <c r="AB48" i="64"/>
  <c r="AB63" i="64"/>
  <c r="AB63" i="69"/>
  <c r="AF63" i="64"/>
  <c r="AF48" i="64"/>
  <c r="AF63" i="69"/>
  <c r="AF48" i="69"/>
  <c r="AF46" i="69"/>
  <c r="AF46" i="64"/>
  <c r="AF61" i="64"/>
  <c r="AF61" i="69"/>
  <c r="AB46" i="64"/>
  <c r="AB61" i="69"/>
  <c r="AB46" i="69"/>
  <c r="AB61" i="64"/>
  <c r="L56" i="60"/>
  <c r="K56" i="60"/>
  <c r="J56" i="60"/>
  <c r="I56" i="60"/>
  <c r="M56" i="60"/>
  <c r="U56" i="60"/>
  <c r="N56" i="60"/>
  <c r="V56" i="60"/>
  <c r="O56" i="60"/>
  <c r="P56" i="60"/>
  <c r="Q56" i="60"/>
  <c r="Y56" i="60"/>
  <c r="R56" i="60"/>
  <c r="Z56" i="60"/>
  <c r="W56" i="60"/>
  <c r="X56" i="60"/>
  <c r="S56" i="60"/>
  <c r="AA56" i="60"/>
  <c r="T56" i="60"/>
  <c r="AB56" i="60"/>
  <c r="CC21" i="25"/>
  <c r="CC22" i="25"/>
  <c r="N45" i="55"/>
  <c r="I45" i="55"/>
  <c r="I54" i="55"/>
  <c r="N50" i="55"/>
  <c r="I51" i="55"/>
  <c r="I53" i="55"/>
  <c r="N54" i="55"/>
  <c r="I50" i="55"/>
  <c r="N51" i="55"/>
  <c r="I52" i="55"/>
  <c r="N53" i="55"/>
  <c r="J45" i="61"/>
  <c r="P45" i="61"/>
  <c r="N45" i="61"/>
  <c r="M45" i="61"/>
  <c r="L45" i="61"/>
  <c r="K45" i="61"/>
  <c r="CC25" i="25"/>
  <c r="CC24" i="25"/>
  <c r="N52" i="55"/>
  <c r="CC20" i="25"/>
  <c r="CC32" i="25" l="1"/>
  <c r="CC41" i="25" s="1"/>
  <c r="CC45" i="25" s="1"/>
  <c r="CC28" i="25"/>
  <c r="CC43" i="25" s="1"/>
  <c r="CC93" i="28" l="1"/>
  <c r="CC15" i="26"/>
  <c r="CC94" i="28" s="1"/>
  <c r="CC87" i="28" s="1"/>
  <c r="CC115" i="28"/>
  <c r="CC17" i="26"/>
  <c r="CC116" i="28" s="1"/>
  <c r="CC109" i="28" s="1"/>
  <c r="CC102" i="28" l="1"/>
  <c r="AA58" i="32" s="1"/>
  <c r="AB58" i="38"/>
  <c r="CC80" i="28"/>
  <c r="AA58" i="36" s="1"/>
  <c r="AB58" i="39"/>
  <c r="CC86" i="28"/>
  <c r="AA84" i="32" s="1"/>
  <c r="CC90" i="28"/>
  <c r="CC112" i="28"/>
  <c r="CC108" i="28"/>
  <c r="CC105" i="28" l="1"/>
  <c r="CC101" i="28"/>
  <c r="AB57" i="38"/>
  <c r="AB46" i="38" s="1"/>
  <c r="CC83" i="28"/>
  <c r="CC79" i="28"/>
  <c r="AB57" i="39"/>
  <c r="AB46" i="39" s="1"/>
  <c r="AB48" i="38" l="1"/>
  <c r="CC76" i="28"/>
  <c r="J60" i="51" s="1"/>
  <c r="AA57" i="36"/>
  <c r="CC98" i="28"/>
  <c r="AA57" i="32"/>
  <c r="AB48" i="39"/>
  <c r="AA72" i="60"/>
  <c r="W71" i="61"/>
  <c r="AA46" i="32" l="1"/>
  <c r="AA48" i="32"/>
  <c r="AA73" i="60"/>
  <c r="W72" i="61"/>
  <c r="J60" i="48"/>
  <c r="J45" i="51"/>
  <c r="J47" i="51"/>
  <c r="J49" i="51"/>
  <c r="J50" i="51"/>
  <c r="J46" i="51"/>
  <c r="J48" i="51"/>
  <c r="AA47" i="60"/>
  <c r="AA46" i="60"/>
  <c r="AA45" i="60"/>
  <c r="AA55" i="60"/>
  <c r="AA48" i="60"/>
  <c r="AA46" i="36"/>
  <c r="AA48" i="36"/>
  <c r="Z63" i="64" l="1"/>
  <c r="Z48" i="64"/>
  <c r="Z48" i="69"/>
  <c r="Z63" i="69"/>
  <c r="Z61" i="64"/>
  <c r="Z46" i="64"/>
  <c r="Z46" i="69"/>
  <c r="Z61" i="69"/>
  <c r="J46" i="48"/>
  <c r="J48" i="48"/>
  <c r="J50" i="48"/>
  <c r="J47" i="48"/>
  <c r="J45" i="48"/>
  <c r="J49" i="48"/>
  <c r="BT17" i="25"/>
  <c r="BT24" i="25" s="1"/>
  <c r="T55" i="64" l="1"/>
  <c r="Z55" i="64"/>
  <c r="Z55" i="69"/>
  <c r="T55" i="69"/>
  <c r="BT20" i="25"/>
  <c r="BT25" i="25"/>
  <c r="BT23" i="25"/>
  <c r="BT22" i="25"/>
  <c r="BT21" i="25"/>
  <c r="BT32" i="25" l="1"/>
  <c r="BT41" i="25" s="1"/>
  <c r="BT45" i="25" s="1"/>
  <c r="BT115" i="28" s="1"/>
  <c r="BT28" i="25"/>
  <c r="BT43" i="25" s="1"/>
  <c r="BT17" i="26" l="1"/>
  <c r="BT116" i="28" s="1"/>
  <c r="BT109" i="28" s="1"/>
  <c r="BT102" i="28" s="1"/>
  <c r="Z58" i="32" s="1"/>
  <c r="BT93" i="28"/>
  <c r="BT15" i="26"/>
  <c r="BT94" i="28" s="1"/>
  <c r="BT87" i="28" s="1"/>
  <c r="BT108" i="28"/>
  <c r="AA58" i="38" l="1"/>
  <c r="BT112" i="28"/>
  <c r="BT80" i="28"/>
  <c r="Z58" i="36" s="1"/>
  <c r="AA58" i="39"/>
  <c r="BT86" i="28"/>
  <c r="Z84" i="32" s="1"/>
  <c r="BT90" i="28"/>
  <c r="BT105" i="28"/>
  <c r="BT101" i="28"/>
  <c r="AA57" i="38"/>
  <c r="AA46" i="38" s="1"/>
  <c r="AA48" i="38" l="1"/>
  <c r="BT83" i="28"/>
  <c r="BT79" i="28"/>
  <c r="AA57" i="39"/>
  <c r="AA46" i="39" s="1"/>
  <c r="Z72" i="60"/>
  <c r="V71" i="61"/>
  <c r="BT98" i="28"/>
  <c r="Z57" i="32"/>
  <c r="AA48" i="39" l="1"/>
  <c r="Z57" i="36"/>
  <c r="BT76" i="28"/>
  <c r="Z46" i="32"/>
  <c r="Z48" i="32"/>
  <c r="V72" i="61"/>
  <c r="Z73" i="60"/>
  <c r="Z46" i="60"/>
  <c r="Z45" i="60"/>
  <c r="Z55" i="60"/>
  <c r="Z48" i="60"/>
  <c r="Z47" i="60"/>
  <c r="BK17" i="25"/>
  <c r="BK24" i="25" s="1"/>
  <c r="Y46" i="64" l="1"/>
  <c r="Y46" i="69"/>
  <c r="Y61" i="69"/>
  <c r="Y61" i="64"/>
  <c r="Y63" i="69"/>
  <c r="Y63" i="64"/>
  <c r="Y48" i="64"/>
  <c r="Y48" i="69"/>
  <c r="BK20" i="25"/>
  <c r="BK23" i="25"/>
  <c r="BK22" i="25"/>
  <c r="BK21" i="25"/>
  <c r="BK25" i="25"/>
  <c r="Z46" i="36"/>
  <c r="Z48" i="36"/>
  <c r="BK32" i="25" l="1"/>
  <c r="BK41" i="25" s="1"/>
  <c r="BK45" i="25" s="1"/>
  <c r="BK17" i="26" s="1"/>
  <c r="BK116" i="28" s="1"/>
  <c r="BK109" i="28" s="1"/>
  <c r="BK28" i="25"/>
  <c r="BK43" i="25" s="1"/>
  <c r="BK93" i="28" s="1"/>
  <c r="BK115" i="28" l="1"/>
  <c r="BK112" i="28" s="1"/>
  <c r="BK15" i="26"/>
  <c r="BK94" i="28" s="1"/>
  <c r="BK87" i="28" s="1"/>
  <c r="BK80" i="28" s="1"/>
  <c r="Y58" i="36" s="1"/>
  <c r="BN15" i="26"/>
  <c r="BN94" i="28" s="1"/>
  <c r="BN87" i="28" s="1"/>
  <c r="BN80" i="28" s="1"/>
  <c r="BK86" i="28"/>
  <c r="Y84" i="32" s="1"/>
  <c r="BK102" i="28"/>
  <c r="Y58" i="32" s="1"/>
  <c r="Z58" i="38"/>
  <c r="BK108" i="28" l="1"/>
  <c r="BK105" i="28" s="1"/>
  <c r="Z58" i="39"/>
  <c r="BK90" i="28"/>
  <c r="BK79" i="28"/>
  <c r="BK83" i="28"/>
  <c r="Z57" i="39"/>
  <c r="Z46" i="39" s="1"/>
  <c r="BK101" i="28" l="1"/>
  <c r="BK98" i="28" s="1"/>
  <c r="Z57" i="38"/>
  <c r="BK76" i="28"/>
  <c r="Y57" i="36"/>
  <c r="Y72" i="60"/>
  <c r="U71" i="61"/>
  <c r="Z48" i="39"/>
  <c r="Z46" i="38" l="1"/>
  <c r="Z48" i="38"/>
  <c r="Y57" i="32"/>
  <c r="Y48" i="32" s="1"/>
  <c r="Y73" i="60"/>
  <c r="U72" i="61"/>
  <c r="Y45" i="60"/>
  <c r="Y47" i="60"/>
  <c r="Y46" i="60"/>
  <c r="Y48" i="60"/>
  <c r="Y55" i="60"/>
  <c r="Y46" i="36"/>
  <c r="Y48" i="36"/>
  <c r="BI17" i="25"/>
  <c r="BI20" i="25" s="1"/>
  <c r="BJ17" i="25"/>
  <c r="BJ21" i="25" s="1"/>
  <c r="Y46" i="32" l="1"/>
  <c r="X46" i="64" s="1"/>
  <c r="X48" i="69"/>
  <c r="X63" i="64"/>
  <c r="X63" i="69"/>
  <c r="X48" i="64"/>
  <c r="BI21" i="25"/>
  <c r="BI25" i="25"/>
  <c r="BI22" i="25"/>
  <c r="BJ25" i="25"/>
  <c r="BJ20" i="25"/>
  <c r="BJ24" i="25"/>
  <c r="BI24" i="25"/>
  <c r="BJ23" i="25"/>
  <c r="BI23" i="25"/>
  <c r="BJ22" i="25"/>
  <c r="X61" i="69" l="1"/>
  <c r="X61" i="64"/>
  <c r="X46" i="69"/>
  <c r="BJ28" i="25"/>
  <c r="BJ43" i="25" s="1"/>
  <c r="BJ15" i="26" s="1"/>
  <c r="BJ94" i="28" s="1"/>
  <c r="BJ87" i="28" s="1"/>
  <c r="BI28" i="25"/>
  <c r="BI43" i="25" s="1"/>
  <c r="BL15" i="26" s="1"/>
  <c r="BL94" i="28" s="1"/>
  <c r="BL87" i="28" s="1"/>
  <c r="BL80" i="28" s="1"/>
  <c r="BI32" i="25"/>
  <c r="BI41" i="25" s="1"/>
  <c r="BI45" i="25" s="1"/>
  <c r="BI17" i="26" s="1"/>
  <c r="BI116" i="28" s="1"/>
  <c r="BI109" i="28" s="1"/>
  <c r="BJ32" i="25"/>
  <c r="BJ41" i="25" s="1"/>
  <c r="BJ45" i="25" s="1"/>
  <c r="BJ115" i="28" s="1"/>
  <c r="BJ93" i="28" l="1"/>
  <c r="BJ90" i="28" s="1"/>
  <c r="BM15" i="26"/>
  <c r="BM94" i="28" s="1"/>
  <c r="BM87" i="28" s="1"/>
  <c r="BM80" i="28" s="1"/>
  <c r="BI93" i="28"/>
  <c r="BI86" i="28" s="1"/>
  <c r="BI15" i="26"/>
  <c r="BI94" i="28" s="1"/>
  <c r="BI87" i="28" s="1"/>
  <c r="BI80" i="28" s="1"/>
  <c r="W58" i="36" s="1"/>
  <c r="BI115" i="28"/>
  <c r="BI108" i="28" s="1"/>
  <c r="BJ17" i="26"/>
  <c r="BJ116" i="28" s="1"/>
  <c r="BJ109" i="28" s="1"/>
  <c r="BJ102" i="28" s="1"/>
  <c r="X58" i="32" s="1"/>
  <c r="BJ80" i="28"/>
  <c r="X58" i="36" s="1"/>
  <c r="Y58" i="39"/>
  <c r="BI102" i="28"/>
  <c r="W58" i="32" s="1"/>
  <c r="X58" i="38"/>
  <c r="BJ108" i="28"/>
  <c r="BI79" i="28" l="1"/>
  <c r="W84" i="32"/>
  <c r="BJ86" i="28"/>
  <c r="BI112" i="28"/>
  <c r="X58" i="39"/>
  <c r="BI83" i="28"/>
  <c r="X57" i="39"/>
  <c r="X46" i="39" s="1"/>
  <c r="BI90" i="28"/>
  <c r="BJ112" i="28"/>
  <c r="Y58" i="38"/>
  <c r="BJ105" i="28"/>
  <c r="BJ101" i="28"/>
  <c r="Y57" i="38"/>
  <c r="Y46" i="38" s="1"/>
  <c r="BI101" i="28"/>
  <c r="BI105" i="28"/>
  <c r="X57" i="38"/>
  <c r="X46" i="38" s="1"/>
  <c r="W57" i="36"/>
  <c r="BI76" i="28"/>
  <c r="Y48" i="38" l="1"/>
  <c r="X48" i="38"/>
  <c r="BJ79" i="28"/>
  <c r="BJ76" i="28" s="1"/>
  <c r="I59" i="51" s="1"/>
  <c r="I55" i="51" s="1"/>
  <c r="X84" i="32"/>
  <c r="Y57" i="39"/>
  <c r="Y46" i="39" s="1"/>
  <c r="BJ83" i="28"/>
  <c r="X48" i="39"/>
  <c r="X72" i="60"/>
  <c r="T71" i="61"/>
  <c r="W46" i="36"/>
  <c r="W48" i="36"/>
  <c r="S71" i="61"/>
  <c r="W72" i="60"/>
  <c r="BI98" i="28"/>
  <c r="J61" i="63" s="1"/>
  <c r="W57" i="32"/>
  <c r="I59" i="52"/>
  <c r="H58" i="51"/>
  <c r="H56" i="51" s="1"/>
  <c r="X57" i="32"/>
  <c r="BJ98" i="28"/>
  <c r="X57" i="36" l="1"/>
  <c r="X48" i="36" s="1"/>
  <c r="Y48" i="39"/>
  <c r="W46" i="60"/>
  <c r="W48" i="60"/>
  <c r="W45" i="60"/>
  <c r="W47" i="60"/>
  <c r="W55" i="60"/>
  <c r="X46" i="32"/>
  <c r="X48" i="32"/>
  <c r="X46" i="36"/>
  <c r="W46" i="32"/>
  <c r="W48" i="32"/>
  <c r="I48" i="52"/>
  <c r="I49" i="52"/>
  <c r="I45" i="52"/>
  <c r="I50" i="52"/>
  <c r="I47" i="52"/>
  <c r="I46" i="52"/>
  <c r="I59" i="48"/>
  <c r="I55" i="48" s="1"/>
  <c r="T72" i="61"/>
  <c r="X73" i="60"/>
  <c r="H58" i="48"/>
  <c r="H56" i="48" s="1"/>
  <c r="S72" i="61"/>
  <c r="W73" i="60"/>
  <c r="I59" i="50"/>
  <c r="X46" i="60"/>
  <c r="X48" i="60"/>
  <c r="X45" i="60"/>
  <c r="X47" i="60"/>
  <c r="X55" i="60"/>
  <c r="W46" i="69" l="1"/>
  <c r="W46" i="64"/>
  <c r="W61" i="69"/>
  <c r="W61" i="64"/>
  <c r="W48" i="69"/>
  <c r="W63" i="64"/>
  <c r="W48" i="64"/>
  <c r="W63" i="69"/>
  <c r="V48" i="64"/>
  <c r="V63" i="64"/>
  <c r="V63" i="69"/>
  <c r="V48" i="69"/>
  <c r="V61" i="64"/>
  <c r="V46" i="69"/>
  <c r="V46" i="64"/>
  <c r="V61" i="69"/>
  <c r="J55" i="63"/>
  <c r="J50" i="63"/>
  <c r="J45" i="63"/>
  <c r="J54" i="63"/>
  <c r="J52" i="63"/>
  <c r="J53" i="63"/>
  <c r="J46" i="63"/>
  <c r="J48" i="63"/>
  <c r="J51" i="63"/>
  <c r="J47" i="63"/>
  <c r="J49" i="63"/>
  <c r="K46" i="61"/>
  <c r="J46" i="61"/>
  <c r="D46" i="61"/>
  <c r="C46" i="61"/>
  <c r="I50" i="50"/>
  <c r="I47" i="50"/>
  <c r="I46" i="50"/>
  <c r="I48" i="50"/>
  <c r="I45" i="50"/>
  <c r="I49" i="50"/>
  <c r="BB17" i="25"/>
  <c r="BB25" i="25" s="1"/>
  <c r="BB21" i="25" l="1"/>
  <c r="BB23" i="25"/>
  <c r="BB20" i="25"/>
  <c r="BB22" i="25"/>
  <c r="BB24" i="25"/>
  <c r="BB32" i="25" l="1"/>
  <c r="BB41" i="25" s="1"/>
  <c r="BB45" i="25" s="1"/>
  <c r="BB28" i="25"/>
  <c r="BB43" i="25" s="1"/>
  <c r="BB93" i="28" l="1"/>
  <c r="BB15" i="26"/>
  <c r="BB94" i="28" s="1"/>
  <c r="BB87" i="28" s="1"/>
  <c r="BB115" i="28"/>
  <c r="BB17" i="26"/>
  <c r="BB116" i="28" s="1"/>
  <c r="BB109" i="28" s="1"/>
  <c r="BB108" i="28" l="1"/>
  <c r="R57" i="38" s="1"/>
  <c r="R46" i="38" s="1"/>
  <c r="BB112" i="28"/>
  <c r="BB80" i="28"/>
  <c r="R58" i="36" s="1"/>
  <c r="R58" i="39"/>
  <c r="BB90" i="28"/>
  <c r="BB86" i="28"/>
  <c r="R84" i="32" s="1"/>
  <c r="BB102" i="28"/>
  <c r="R58" i="32" s="1"/>
  <c r="R58" i="38"/>
  <c r="R48" i="38" s="1"/>
  <c r="BB105" i="28" l="1"/>
  <c r="BB101" i="28"/>
  <c r="BB83" i="28"/>
  <c r="BB79" i="28"/>
  <c r="R57" i="39"/>
  <c r="R46" i="39" s="1"/>
  <c r="R48" i="39" l="1"/>
  <c r="BB76" i="28"/>
  <c r="K61" i="47" s="1"/>
  <c r="R57" i="36"/>
  <c r="BB98" i="28"/>
  <c r="R57" i="32"/>
  <c r="R71" i="61"/>
  <c r="Q72" i="60"/>
  <c r="R46" i="36" l="1"/>
  <c r="R48" i="36"/>
  <c r="Q73" i="60"/>
  <c r="K61" i="43"/>
  <c r="R72" i="61"/>
  <c r="K51" i="47"/>
  <c r="K52" i="47"/>
  <c r="K53" i="47"/>
  <c r="K54" i="47"/>
  <c r="Q47" i="60"/>
  <c r="Q48" i="60"/>
  <c r="Q45" i="60"/>
  <c r="Q55" i="60"/>
  <c r="Q46" i="60"/>
  <c r="R46" i="32"/>
  <c r="R48" i="32"/>
  <c r="Q63" i="69" l="1"/>
  <c r="Q48" i="69"/>
  <c r="Q63" i="64"/>
  <c r="Q48" i="64"/>
  <c r="Q61" i="64"/>
  <c r="Q46" i="69"/>
  <c r="Q61" i="69"/>
  <c r="Q46" i="64"/>
  <c r="K51" i="43"/>
  <c r="K52" i="43"/>
  <c r="K53" i="43"/>
  <c r="K54" i="43"/>
  <c r="DA4" i="24"/>
  <c r="DA6" i="25" s="1"/>
  <c r="DA36" i="25"/>
  <c r="DA31" i="24" l="1"/>
  <c r="DA74" i="24"/>
  <c r="DA80" i="24" s="1"/>
  <c r="DA122" i="24"/>
  <c r="DA128" i="24" s="1"/>
  <c r="DA75" i="24"/>
  <c r="DA81" i="24" s="1"/>
  <c r="DA123" i="24"/>
  <c r="DA129" i="24" s="1"/>
  <c r="DA121" i="24"/>
  <c r="DA73" i="24"/>
  <c r="DA3" i="23"/>
  <c r="DA76" i="24" l="1"/>
  <c r="DA79" i="24"/>
  <c r="DA82" i="24" s="1"/>
  <c r="DA140" i="24" s="1"/>
  <c r="DA91" i="28" s="1"/>
  <c r="DA124" i="24"/>
  <c r="DA127" i="24"/>
  <c r="DA130" i="24" s="1"/>
  <c r="DA142" i="24" s="1"/>
  <c r="DA113" i="28" s="1"/>
  <c r="DA106" i="28" s="1"/>
  <c r="DA27" i="23"/>
  <c r="DA79" i="23" s="1"/>
  <c r="DA105" i="23" s="1"/>
  <c r="DA20" i="23"/>
  <c r="DA72" i="23" s="1"/>
  <c r="DA28" i="23"/>
  <c r="DA80" i="23" s="1"/>
  <c r="DA29" i="23"/>
  <c r="DA81" i="23" s="1"/>
  <c r="DA107" i="23" s="1"/>
  <c r="DA21" i="23"/>
  <c r="DA73" i="23" s="1"/>
  <c r="DA99" i="23" s="1"/>
  <c r="DA22" i="23"/>
  <c r="DA74" i="23" s="1"/>
  <c r="DA100" i="23" s="1"/>
  <c r="DA25" i="23"/>
  <c r="DA77" i="23" s="1"/>
  <c r="DA103" i="23" s="1"/>
  <c r="DA26" i="23"/>
  <c r="DA78" i="23" s="1"/>
  <c r="DA104" i="23" s="1"/>
  <c r="DA23" i="23"/>
  <c r="DA75" i="23" s="1"/>
  <c r="DA101" i="23" s="1"/>
  <c r="DA24" i="23"/>
  <c r="DA76" i="23" s="1"/>
  <c r="DA102" i="23" s="1"/>
  <c r="DA38" i="25"/>
  <c r="DA45" i="25"/>
  <c r="DA115" i="28" s="1"/>
  <c r="DA108" i="28" s="1"/>
  <c r="DA101" i="28" s="1"/>
  <c r="DA43" i="25"/>
  <c r="DA93" i="28" s="1"/>
  <c r="DA86" i="28" s="1"/>
  <c r="DA79" i="28" s="1"/>
  <c r="DA84" i="28" l="1"/>
  <c r="DA99" i="28"/>
  <c r="DA98" i="23"/>
  <c r="DA108" i="23" s="1"/>
  <c r="DA114" i="28" s="1"/>
  <c r="DA82" i="23"/>
  <c r="DA92" i="28" s="1"/>
  <c r="DA85" i="28" s="1"/>
  <c r="DA78" i="28" s="1"/>
  <c r="DA15" i="26"/>
  <c r="DA94" i="28" s="1"/>
  <c r="DA87" i="28" s="1"/>
  <c r="DA80" i="28" s="1"/>
  <c r="DA17" i="26"/>
  <c r="DA116" i="28" s="1"/>
  <c r="DA109" i="28" s="1"/>
  <c r="DA102" i="28" s="1"/>
  <c r="E54" i="63" l="1"/>
  <c r="DA90" i="28"/>
  <c r="DA107" i="28"/>
  <c r="DA112" i="28"/>
  <c r="DA83" i="28"/>
  <c r="DA77" i="28"/>
  <c r="DA76" i="28" s="1"/>
  <c r="CY17" i="28"/>
  <c r="CY22" i="28"/>
  <c r="CY7" i="26"/>
  <c r="CY10" i="26" s="1"/>
  <c r="CY15" i="26" s="1"/>
  <c r="CY94" i="28" s="1"/>
  <c r="CY87" i="28" l="1"/>
  <c r="CY80" i="28" s="1"/>
  <c r="CY90" i="28"/>
  <c r="CY81" i="28"/>
  <c r="CY103" i="28"/>
  <c r="G45" i="63" s="1"/>
  <c r="CY85" i="28"/>
  <c r="CY78" i="28" s="1"/>
  <c r="CY107" i="28"/>
  <c r="CY100" i="28" s="1"/>
  <c r="CY108" i="28"/>
  <c r="CY101" i="28" s="1"/>
  <c r="CY86" i="28"/>
  <c r="CY79" i="28" s="1"/>
  <c r="CY106" i="28"/>
  <c r="CY84" i="28"/>
  <c r="DA100" i="28"/>
  <c r="DA105" i="28"/>
  <c r="CY17" i="26"/>
  <c r="CY116" i="28" s="1"/>
  <c r="DA98" i="28" l="1"/>
  <c r="E47" i="63"/>
  <c r="CY109" i="28"/>
  <c r="CY102" i="28" s="1"/>
  <c r="CY112" i="28"/>
  <c r="CY77" i="28"/>
  <c r="CY76" i="28" s="1"/>
  <c r="CY83" i="28"/>
  <c r="CY99" i="28"/>
  <c r="E46" i="63" l="1"/>
  <c r="E45" i="63"/>
  <c r="E52" i="63"/>
  <c r="CY105" i="28"/>
  <c r="CY98" i="28"/>
  <c r="S46" i="36"/>
  <c r="S48" i="36"/>
  <c r="S46" i="32"/>
  <c r="S48" i="32"/>
  <c r="S46" i="39"/>
  <c r="S48" i="39"/>
  <c r="R45" i="60"/>
  <c r="R46" i="60"/>
  <c r="R47" i="60"/>
  <c r="R48" i="60"/>
  <c r="R55" i="60"/>
  <c r="S45" i="60"/>
  <c r="T45" i="60"/>
  <c r="U45" i="60"/>
  <c r="V45" i="60"/>
  <c r="S46" i="60"/>
  <c r="T46" i="60"/>
  <c r="U46" i="60"/>
  <c r="V46" i="60"/>
  <c r="S47" i="60"/>
  <c r="T47" i="60"/>
  <c r="U47" i="60"/>
  <c r="V47" i="60"/>
  <c r="S48" i="60"/>
  <c r="T48" i="60"/>
  <c r="U48" i="60"/>
  <c r="V48" i="60"/>
  <c r="S55" i="60"/>
  <c r="T55" i="60"/>
  <c r="U55" i="60"/>
  <c r="V55" i="60"/>
  <c r="E53" i="63"/>
  <c r="G53" i="63"/>
  <c r="S45" i="63"/>
  <c r="F45" i="63" s="1"/>
  <c r="T45" i="63"/>
  <c r="S52" i="63"/>
  <c r="F52" i="63" s="1"/>
  <c r="T52" i="63"/>
  <c r="S46" i="63"/>
  <c r="F46" i="63" s="1"/>
  <c r="S53" i="63"/>
  <c r="F53" i="63" s="1"/>
  <c r="T53" i="63"/>
  <c r="R61" i="64" l="1"/>
  <c r="R46" i="64"/>
  <c r="R46" i="69"/>
  <c r="R61" i="69"/>
  <c r="R63" i="64"/>
  <c r="R48" i="64"/>
  <c r="R48" i="69"/>
  <c r="R63" i="69"/>
  <c r="H45" i="63"/>
  <c r="O45" i="63" s="1"/>
  <c r="H53" i="63"/>
  <c r="O53" i="63" s="1"/>
  <c r="H52" i="63"/>
  <c r="O52" i="63" s="1"/>
  <c r="H46" i="63"/>
  <c r="O46" i="63" s="1"/>
  <c r="S47" i="63"/>
  <c r="F47" i="63" s="1"/>
  <c r="T47" i="63"/>
  <c r="S54" i="63"/>
  <c r="F54" i="63" s="1"/>
  <c r="T54" i="63"/>
  <c r="W55" i="69" l="1"/>
  <c r="R55" i="69"/>
  <c r="N55" i="69"/>
  <c r="W55" i="64"/>
  <c r="N55" i="64"/>
  <c r="R55" i="64"/>
  <c r="H54" i="63"/>
  <c r="O54" i="63" s="1"/>
  <c r="H47" i="63"/>
  <c r="O47" i="63" s="1"/>
  <c r="S48" i="63"/>
  <c r="F48" i="63" s="1"/>
  <c r="T48" i="63"/>
  <c r="S55" i="63"/>
  <c r="F55" i="63" s="1"/>
  <c r="T55" i="63"/>
  <c r="S49" i="63"/>
  <c r="T49" i="63"/>
  <c r="H48" i="63" l="1"/>
  <c r="O48" i="63" s="1"/>
  <c r="H55" i="63"/>
  <c r="O55" i="63" s="1"/>
  <c r="H49" i="63"/>
  <c r="F49" i="63"/>
  <c r="S50" i="63"/>
  <c r="F50" i="63" s="1"/>
  <c r="T50" i="63"/>
  <c r="O49" i="63" l="1"/>
  <c r="H50" i="63"/>
  <c r="O50" i="63" s="1"/>
  <c r="CE8" i="28" l="1"/>
  <c r="BA17" i="25"/>
  <c r="BA20" i="25" s="1"/>
  <c r="CF8" i="28"/>
  <c r="CF17" i="25" s="1"/>
  <c r="BM8" i="28"/>
  <c r="BM17" i="25" s="1"/>
  <c r="BM20" i="25" s="1"/>
  <c r="AV17" i="25"/>
  <c r="AV20" i="25" s="1"/>
  <c r="BE8" i="28"/>
  <c r="BE17" i="25" s="1"/>
  <c r="BE23" i="25" s="1"/>
  <c r="BC8" i="28"/>
  <c r="BC17" i="25" s="1"/>
  <c r="BC20" i="25" s="1"/>
  <c r="AW17" i="25"/>
  <c r="AW20" i="25" s="1"/>
  <c r="BW8" i="28"/>
  <c r="BW17" i="25"/>
  <c r="AX17" i="25"/>
  <c r="AX20" i="25" s="1"/>
  <c r="AZ17" i="25"/>
  <c r="BV8" i="28"/>
  <c r="BV17" i="25" s="1"/>
  <c r="BV20" i="25" s="1"/>
  <c r="BU8" i="28"/>
  <c r="BU17" i="25" s="1"/>
  <c r="BU20" i="25" s="1"/>
  <c r="BQ8" i="28"/>
  <c r="BQ17" i="25" s="1"/>
  <c r="BS8" i="28"/>
  <c r="BS17" i="25" s="1"/>
  <c r="BS20" i="25" s="1"/>
  <c r="BR8" i="28"/>
  <c r="BR17" i="25"/>
  <c r="BL8" i="28"/>
  <c r="BL17" i="25" s="1"/>
  <c r="BN8" i="28"/>
  <c r="BN17" i="25" s="1"/>
  <c r="CA8" i="28"/>
  <c r="CA17" i="25" s="1"/>
  <c r="AU17" i="25"/>
  <c r="AU20" i="25" s="1"/>
  <c r="BG8" i="28"/>
  <c r="BG17" i="25" s="1"/>
  <c r="BD8" i="28"/>
  <c r="BD17" i="25" s="1"/>
  <c r="BD20" i="25" s="1"/>
  <c r="BF8" i="28"/>
  <c r="BF17" i="25" s="1"/>
  <c r="CB8" i="28"/>
  <c r="CB17" i="25" s="1"/>
  <c r="BZ8" i="28"/>
  <c r="BZ17" i="25"/>
  <c r="BH8" i="28"/>
  <c r="BH17" i="25"/>
  <c r="BH20" i="25" s="1"/>
  <c r="CD8" i="28"/>
  <c r="CE17" i="25" s="1"/>
  <c r="AY17" i="25"/>
  <c r="CD17" i="25" l="1"/>
  <c r="CD21" i="25" s="1"/>
  <c r="BA23" i="25"/>
  <c r="BE20" i="25"/>
  <c r="BA24" i="25"/>
  <c r="BA21" i="25"/>
  <c r="CB22" i="25"/>
  <c r="CB21" i="25"/>
  <c r="CB23" i="25"/>
  <c r="CB25" i="25"/>
  <c r="CB24" i="25"/>
  <c r="CB20" i="25"/>
  <c r="BN21" i="25"/>
  <c r="BN25" i="25"/>
  <c r="BN24" i="25"/>
  <c r="BN23" i="25"/>
  <c r="BN22" i="25"/>
  <c r="BN20" i="25"/>
  <c r="BF23" i="25"/>
  <c r="BF21" i="25"/>
  <c r="BF25" i="25"/>
  <c r="BF24" i="25"/>
  <c r="BF22" i="25"/>
  <c r="BF20" i="25"/>
  <c r="BG25" i="25"/>
  <c r="BG21" i="25"/>
  <c r="BG22" i="25"/>
  <c r="BG24" i="25"/>
  <c r="BG23" i="25"/>
  <c r="BG20" i="25"/>
  <c r="BQ25" i="25"/>
  <c r="BQ24" i="25"/>
  <c r="BQ23" i="25"/>
  <c r="BQ22" i="25"/>
  <c r="BQ21" i="25"/>
  <c r="BQ20" i="25"/>
  <c r="CA21" i="25"/>
  <c r="CA24" i="25"/>
  <c r="CA25" i="25"/>
  <c r="CA23" i="25"/>
  <c r="CA22" i="25"/>
  <c r="CA20" i="25"/>
  <c r="BL22" i="25"/>
  <c r="BL23" i="25"/>
  <c r="BL24" i="25"/>
  <c r="BL21" i="25"/>
  <c r="BL25" i="25"/>
  <c r="BL20" i="25"/>
  <c r="AY23" i="25"/>
  <c r="AY25" i="25"/>
  <c r="AY24" i="25"/>
  <c r="AY21" i="25"/>
  <c r="AY22" i="25"/>
  <c r="BZ25" i="25"/>
  <c r="BZ24" i="25"/>
  <c r="BZ22" i="25"/>
  <c r="BZ23" i="25"/>
  <c r="BZ21" i="25"/>
  <c r="BR21" i="25"/>
  <c r="BR25" i="25"/>
  <c r="BR24" i="25"/>
  <c r="BR23" i="25"/>
  <c r="BR22" i="25"/>
  <c r="BS25" i="25"/>
  <c r="BS23" i="25"/>
  <c r="BS21" i="25"/>
  <c r="BS24" i="25"/>
  <c r="BU23" i="25"/>
  <c r="BU22" i="25"/>
  <c r="BU24" i="25"/>
  <c r="BU21" i="25"/>
  <c r="BU25" i="25"/>
  <c r="BW22" i="25"/>
  <c r="BW24" i="25"/>
  <c r="BW23" i="25"/>
  <c r="BW25" i="25"/>
  <c r="BW21" i="25"/>
  <c r="BW20" i="25"/>
  <c r="BH25" i="25"/>
  <c r="BH21" i="25"/>
  <c r="BH24" i="25"/>
  <c r="BH23" i="25"/>
  <c r="BH22" i="25"/>
  <c r="CD22" i="25"/>
  <c r="CD23" i="25"/>
  <c r="CD25" i="25"/>
  <c r="CD24" i="25"/>
  <c r="CE21" i="25"/>
  <c r="CE23" i="25"/>
  <c r="CE25" i="25"/>
  <c r="CE22" i="25"/>
  <c r="CE24" i="25"/>
  <c r="CE20" i="25"/>
  <c r="AX24" i="25"/>
  <c r="AX21" i="25"/>
  <c r="AX23" i="25"/>
  <c r="AX25" i="25"/>
  <c r="CF25" i="25"/>
  <c r="CF22" i="25"/>
  <c r="CF23" i="25"/>
  <c r="CF24" i="25"/>
  <c r="CF20" i="25"/>
  <c r="CF21" i="25"/>
  <c r="AZ24" i="25"/>
  <c r="AZ22" i="25"/>
  <c r="AZ25" i="25"/>
  <c r="AZ21" i="25"/>
  <c r="AZ23" i="25"/>
  <c r="AZ20" i="25"/>
  <c r="BC22" i="25"/>
  <c r="BC21" i="25"/>
  <c r="BC24" i="25"/>
  <c r="BC25" i="25"/>
  <c r="BC23" i="25"/>
  <c r="BS22" i="25"/>
  <c r="AX22" i="25"/>
  <c r="BD23" i="25"/>
  <c r="BD22" i="25"/>
  <c r="BD24" i="25"/>
  <c r="BD25" i="25"/>
  <c r="BD21" i="25"/>
  <c r="AY20" i="25"/>
  <c r="BZ20" i="25"/>
  <c r="AU22" i="25"/>
  <c r="AU21" i="25"/>
  <c r="AU23" i="25"/>
  <c r="AU24" i="25"/>
  <c r="AU25" i="25"/>
  <c r="BR20" i="25"/>
  <c r="BM21" i="25"/>
  <c r="BM22" i="25"/>
  <c r="BM23" i="25"/>
  <c r="BM24" i="25"/>
  <c r="BM25" i="25"/>
  <c r="BV22" i="25"/>
  <c r="BV24" i="25"/>
  <c r="BV25" i="25"/>
  <c r="BV23" i="25"/>
  <c r="BV21" i="25"/>
  <c r="AW25" i="25"/>
  <c r="AW24" i="25"/>
  <c r="AW21" i="25"/>
  <c r="AW23" i="25"/>
  <c r="AV24" i="25"/>
  <c r="BE21" i="25"/>
  <c r="BE24" i="25"/>
  <c r="BE22" i="25"/>
  <c r="BE25" i="25"/>
  <c r="AW22" i="25"/>
  <c r="AV22" i="25"/>
  <c r="AV23" i="25"/>
  <c r="AV21" i="25"/>
  <c r="AV25" i="25"/>
  <c r="BA25" i="25"/>
  <c r="BA22" i="25"/>
  <c r="CD20" i="25" l="1"/>
  <c r="AW32" i="25"/>
  <c r="AW41" i="25" s="1"/>
  <c r="AW45" i="25" s="1"/>
  <c r="AW17" i="26" s="1"/>
  <c r="AW116" i="28" s="1"/>
  <c r="AW109" i="28" s="1"/>
  <c r="AW102" i="28" s="1"/>
  <c r="G48" i="43" s="1"/>
  <c r="BM28" i="25"/>
  <c r="BM43" i="25" s="1"/>
  <c r="BM93" i="28" s="1"/>
  <c r="BM86" i="28" s="1"/>
  <c r="AV28" i="25"/>
  <c r="AV43" i="25" s="1"/>
  <c r="BU28" i="25"/>
  <c r="BU43" i="25" s="1"/>
  <c r="BU15" i="26" s="1"/>
  <c r="BU94" i="28" s="1"/>
  <c r="BU87" i="28" s="1"/>
  <c r="BU80" i="28" s="1"/>
  <c r="BA32" i="25"/>
  <c r="BA41" i="25" s="1"/>
  <c r="BH28" i="25"/>
  <c r="BH43" i="25" s="1"/>
  <c r="BH93" i="28" s="1"/>
  <c r="BC32" i="25"/>
  <c r="BC41" i="25" s="1"/>
  <c r="BC45" i="25" s="1"/>
  <c r="BC17" i="26" s="1"/>
  <c r="BC116" i="28" s="1"/>
  <c r="BC109" i="28" s="1"/>
  <c r="BC102" i="28" s="1"/>
  <c r="S45" i="50" s="1"/>
  <c r="AX32" i="25"/>
  <c r="AX41" i="25" s="1"/>
  <c r="AX45" i="25" s="1"/>
  <c r="AX115" i="28" s="1"/>
  <c r="AU28" i="25"/>
  <c r="AU43" i="25" s="1"/>
  <c r="AU15" i="26" s="1"/>
  <c r="AU94" i="28" s="1"/>
  <c r="AU87" i="28" s="1"/>
  <c r="AU80" i="28" s="1"/>
  <c r="G47" i="47" s="1"/>
  <c r="AW28" i="25"/>
  <c r="AW43" i="25" s="1"/>
  <c r="AW93" i="28" s="1"/>
  <c r="CD32" i="25"/>
  <c r="CD41" i="25" s="1"/>
  <c r="CD45" i="25" s="1"/>
  <c r="CD115" i="28" s="1"/>
  <c r="BV32" i="25"/>
  <c r="BV41" i="25" s="1"/>
  <c r="BV45" i="25" s="1"/>
  <c r="BV115" i="28" s="1"/>
  <c r="BE28" i="25"/>
  <c r="BE43" i="25" s="1"/>
  <c r="BE15" i="26" s="1"/>
  <c r="BE94" i="28" s="1"/>
  <c r="BE87" i="28" s="1"/>
  <c r="BE80" i="28" s="1"/>
  <c r="S48" i="52" s="1"/>
  <c r="BM32" i="25"/>
  <c r="BM41" i="25" s="1"/>
  <c r="BM45" i="25" s="1"/>
  <c r="BM17" i="26" s="1"/>
  <c r="BM116" i="28" s="1"/>
  <c r="BM109" i="28" s="1"/>
  <c r="BM102" i="28" s="1"/>
  <c r="BS28" i="25"/>
  <c r="BS43" i="25" s="1"/>
  <c r="BS93" i="28" s="1"/>
  <c r="BR32" i="25"/>
  <c r="BR41" i="25" s="1"/>
  <c r="BR45" i="25" s="1"/>
  <c r="BR28" i="25"/>
  <c r="BR43" i="25" s="1"/>
  <c r="BD28" i="25"/>
  <c r="BD43" i="25" s="1"/>
  <c r="BE32" i="25"/>
  <c r="BE41" i="25" s="1"/>
  <c r="BE45" i="25" s="1"/>
  <c r="BL32" i="25"/>
  <c r="BL41" i="25" s="1"/>
  <c r="BL45" i="25" s="1"/>
  <c r="BL28" i="25"/>
  <c r="BL43" i="25" s="1"/>
  <c r="BL93" i="28" s="1"/>
  <c r="BC28" i="25"/>
  <c r="BC43" i="25" s="1"/>
  <c r="BU32" i="25"/>
  <c r="BU41" i="25" s="1"/>
  <c r="BU45" i="25" s="1"/>
  <c r="BA33" i="25"/>
  <c r="BA29" i="25"/>
  <c r="BA28" i="25"/>
  <c r="CA28" i="25"/>
  <c r="CA43" i="25" s="1"/>
  <c r="CA32" i="25"/>
  <c r="CA41" i="25" s="1"/>
  <c r="CA45" i="25" s="1"/>
  <c r="CB28" i="25"/>
  <c r="CB43" i="25" s="1"/>
  <c r="CB32" i="25"/>
  <c r="CB41" i="25" s="1"/>
  <c r="CB45" i="25" s="1"/>
  <c r="CF32" i="25"/>
  <c r="CF41" i="25" s="1"/>
  <c r="CF28" i="25"/>
  <c r="CF29" i="25"/>
  <c r="CF33" i="25"/>
  <c r="AX28" i="25"/>
  <c r="AX43" i="25" s="1"/>
  <c r="BS32" i="25"/>
  <c r="BS41" i="25" s="1"/>
  <c r="BS45" i="25" s="1"/>
  <c r="BN28" i="25"/>
  <c r="BN43" i="25" s="1"/>
  <c r="BN93" i="28" s="1"/>
  <c r="BN32" i="25"/>
  <c r="BN41" i="25" s="1"/>
  <c r="BN45" i="25" s="1"/>
  <c r="AZ32" i="25"/>
  <c r="AZ41" i="25" s="1"/>
  <c r="AZ45" i="25" s="1"/>
  <c r="AZ115" i="28" s="1"/>
  <c r="AZ28" i="25"/>
  <c r="AZ43" i="25" s="1"/>
  <c r="AZ93" i="28" s="1"/>
  <c r="AU32" i="25"/>
  <c r="AU41" i="25" s="1"/>
  <c r="AU45" i="25" s="1"/>
  <c r="AV15" i="26"/>
  <c r="AV94" i="28" s="1"/>
  <c r="AV87" i="28" s="1"/>
  <c r="AV80" i="28" s="1"/>
  <c r="G46" i="47" s="1"/>
  <c r="AV93" i="28"/>
  <c r="CE32" i="25"/>
  <c r="CE41" i="25" s="1"/>
  <c r="CE45" i="25" s="1"/>
  <c r="CE28" i="25"/>
  <c r="CE43" i="25" s="1"/>
  <c r="BG32" i="25"/>
  <c r="BG41" i="25" s="1"/>
  <c r="BG45" i="25" s="1"/>
  <c r="BG28" i="25"/>
  <c r="BG43" i="25" s="1"/>
  <c r="BF28" i="25"/>
  <c r="BF43" i="25" s="1"/>
  <c r="BF32" i="25"/>
  <c r="BF41" i="25" s="1"/>
  <c r="BF45" i="25" s="1"/>
  <c r="BZ28" i="25"/>
  <c r="BZ43" i="25" s="1"/>
  <c r="BZ32" i="25"/>
  <c r="BZ41" i="25" s="1"/>
  <c r="BZ45" i="25" s="1"/>
  <c r="AV32" i="25"/>
  <c r="AV41" i="25" s="1"/>
  <c r="AV45" i="25" s="1"/>
  <c r="BD32" i="25"/>
  <c r="BD41" i="25" s="1"/>
  <c r="BD45" i="25" s="1"/>
  <c r="CD28" i="25"/>
  <c r="CD43" i="25" s="1"/>
  <c r="BH32" i="25"/>
  <c r="BH41" i="25" s="1"/>
  <c r="BH45" i="25" s="1"/>
  <c r="BV28" i="25"/>
  <c r="BV43" i="25" s="1"/>
  <c r="AY28" i="25"/>
  <c r="AY43" i="25" s="1"/>
  <c r="AY32" i="25"/>
  <c r="AY41" i="25" s="1"/>
  <c r="AY45" i="25" s="1"/>
  <c r="BW32" i="25"/>
  <c r="BW41" i="25" s="1"/>
  <c r="BW45" i="25" s="1"/>
  <c r="BW28" i="25"/>
  <c r="BW43" i="25" s="1"/>
  <c r="BQ28" i="25"/>
  <c r="BQ43" i="25" s="1"/>
  <c r="BQ32" i="25"/>
  <c r="BQ41" i="25" s="1"/>
  <c r="BQ45" i="25" s="1"/>
  <c r="BH15" i="26" l="1"/>
  <c r="BH94" i="28" s="1"/>
  <c r="BH87" i="28" s="1"/>
  <c r="BH80" i="28" s="1"/>
  <c r="S47" i="52" s="1"/>
  <c r="BM115" i="28"/>
  <c r="AU93" i="28"/>
  <c r="AU90" i="28" s="1"/>
  <c r="AW15" i="26"/>
  <c r="AW94" i="28" s="1"/>
  <c r="AW87" i="28" s="1"/>
  <c r="AW80" i="28" s="1"/>
  <c r="G48" i="47" s="1"/>
  <c r="AW115" i="28"/>
  <c r="AW112" i="28" s="1"/>
  <c r="BU93" i="28"/>
  <c r="BU86" i="28" s="1"/>
  <c r="BV17" i="26"/>
  <c r="BV116" i="28" s="1"/>
  <c r="BV109" i="28" s="1"/>
  <c r="BV102" i="28" s="1"/>
  <c r="BM90" i="28"/>
  <c r="BA45" i="25"/>
  <c r="BA115" i="28" s="1"/>
  <c r="BC115" i="28"/>
  <c r="AX17" i="26"/>
  <c r="AX116" i="28" s="1"/>
  <c r="AX109" i="28" s="1"/>
  <c r="Q58" i="38" s="1"/>
  <c r="BS15" i="26"/>
  <c r="BS94" i="28" s="1"/>
  <c r="BS87" i="28" s="1"/>
  <c r="BS80" i="28" s="1"/>
  <c r="BA43" i="25"/>
  <c r="BA15" i="26" s="1"/>
  <c r="BA94" i="28" s="1"/>
  <c r="BA87" i="28" s="1"/>
  <c r="BA80" i="28" s="1"/>
  <c r="G54" i="47" s="1"/>
  <c r="CD17" i="26"/>
  <c r="CD116" i="28" s="1"/>
  <c r="CD109" i="28" s="1"/>
  <c r="CD102" i="28" s="1"/>
  <c r="S53" i="48" s="1"/>
  <c r="BE93" i="28"/>
  <c r="BE86" i="28" s="1"/>
  <c r="BG15" i="26"/>
  <c r="BG94" i="28" s="1"/>
  <c r="BG87" i="28" s="1"/>
  <c r="BG80" i="28" s="1"/>
  <c r="S46" i="52" s="1"/>
  <c r="BG93" i="28"/>
  <c r="AZ108" i="28"/>
  <c r="BU17" i="26"/>
  <c r="BU116" i="28" s="1"/>
  <c r="BU109" i="28" s="1"/>
  <c r="BU102" i="28" s="1"/>
  <c r="BU115" i="28"/>
  <c r="BG115" i="28"/>
  <c r="BG17" i="26"/>
  <c r="BG116" i="28" s="1"/>
  <c r="BG109" i="28" s="1"/>
  <c r="BG102" i="28" s="1"/>
  <c r="S46" i="50" s="1"/>
  <c r="BN17" i="26"/>
  <c r="BN116" i="28" s="1"/>
  <c r="BN109" i="28" s="1"/>
  <c r="BN102" i="28" s="1"/>
  <c r="BN115" i="28"/>
  <c r="CB17" i="26"/>
  <c r="CB116" i="28" s="1"/>
  <c r="CB109" i="28" s="1"/>
  <c r="CB102" i="28" s="1"/>
  <c r="S48" i="48" s="1"/>
  <c r="CB115" i="28"/>
  <c r="BC93" i="28"/>
  <c r="BC15" i="26"/>
  <c r="BC94" i="28" s="1"/>
  <c r="BC87" i="28" s="1"/>
  <c r="BC80" i="28" s="1"/>
  <c r="S45" i="52" s="1"/>
  <c r="CD108" i="28"/>
  <c r="CD15" i="26"/>
  <c r="CD94" i="28" s="1"/>
  <c r="CD87" i="28" s="1"/>
  <c r="CD80" i="28" s="1"/>
  <c r="S53" i="51" s="1"/>
  <c r="CD93" i="28"/>
  <c r="AY17" i="26"/>
  <c r="AY116" i="28" s="1"/>
  <c r="AY109" i="28" s="1"/>
  <c r="AY102" i="28" s="1"/>
  <c r="G53" i="43" s="1"/>
  <c r="AY115" i="28"/>
  <c r="AZ17" i="26"/>
  <c r="AZ116" i="28" s="1"/>
  <c r="AZ109" i="28" s="1"/>
  <c r="AZ102" i="28" s="1"/>
  <c r="G51" i="43" s="1"/>
  <c r="BV108" i="28"/>
  <c r="BQ15" i="26"/>
  <c r="BQ94" i="28" s="1"/>
  <c r="BQ87" i="28" s="1"/>
  <c r="BQ80" i="28" s="1"/>
  <c r="BQ93" i="28"/>
  <c r="CE15" i="26"/>
  <c r="CE94" i="28" s="1"/>
  <c r="CE87" i="28" s="1"/>
  <c r="CE80" i="28" s="1"/>
  <c r="S51" i="51" s="1"/>
  <c r="CE93" i="28"/>
  <c r="BL90" i="28"/>
  <c r="BL86" i="28"/>
  <c r="BH86" i="28"/>
  <c r="BS17" i="26"/>
  <c r="BS116" i="28" s="1"/>
  <c r="BS109" i="28" s="1"/>
  <c r="BS102" i="28" s="1"/>
  <c r="BS115" i="28"/>
  <c r="CA115" i="28"/>
  <c r="CA17" i="26"/>
  <c r="CA116" i="28" s="1"/>
  <c r="CA109" i="28" s="1"/>
  <c r="CA102" i="28" s="1"/>
  <c r="S46" i="48" s="1"/>
  <c r="BL17" i="26"/>
  <c r="BL116" i="28" s="1"/>
  <c r="BL109" i="28" s="1"/>
  <c r="BL102" i="28" s="1"/>
  <c r="BL115" i="28"/>
  <c r="AY15" i="26"/>
  <c r="AY94" i="28" s="1"/>
  <c r="AY87" i="28" s="1"/>
  <c r="AY80" i="28" s="1"/>
  <c r="G53" i="47" s="1"/>
  <c r="AZ15" i="26"/>
  <c r="AZ94" i="28" s="1"/>
  <c r="AZ87" i="28" s="1"/>
  <c r="AZ80" i="28" s="1"/>
  <c r="G51" i="47" s="1"/>
  <c r="AY93" i="28"/>
  <c r="BZ17" i="26"/>
  <c r="BZ116" i="28" s="1"/>
  <c r="BZ109" i="28" s="1"/>
  <c r="BZ102" i="28" s="1"/>
  <c r="S47" i="48" s="1"/>
  <c r="BZ115" i="28"/>
  <c r="AV90" i="28"/>
  <c r="AV86" i="28"/>
  <c r="AX15" i="26"/>
  <c r="AX94" i="28" s="1"/>
  <c r="AX87" i="28" s="1"/>
  <c r="AX93" i="28"/>
  <c r="CA15" i="26"/>
  <c r="CA94" i="28" s="1"/>
  <c r="CA87" i="28" s="1"/>
  <c r="CA80" i="28" s="1"/>
  <c r="S46" i="51" s="1"/>
  <c r="CA93" i="28"/>
  <c r="BE17" i="26"/>
  <c r="BE116" i="28" s="1"/>
  <c r="BE109" i="28" s="1"/>
  <c r="BE102" i="28" s="1"/>
  <c r="S48" i="50" s="1"/>
  <c r="BE115" i="28"/>
  <c r="BC112" i="28"/>
  <c r="BC108" i="28"/>
  <c r="BS86" i="28"/>
  <c r="BH17" i="26"/>
  <c r="BH116" i="28" s="1"/>
  <c r="BH109" i="28" s="1"/>
  <c r="BH102" i="28" s="1"/>
  <c r="S47" i="50" s="1"/>
  <c r="BH115" i="28"/>
  <c r="BD17" i="26"/>
  <c r="BD116" i="28" s="1"/>
  <c r="BD109" i="28" s="1"/>
  <c r="BD102" i="28" s="1"/>
  <c r="S49" i="50" s="1"/>
  <c r="BD115" i="28"/>
  <c r="CB15" i="26"/>
  <c r="CB94" i="28" s="1"/>
  <c r="CB87" i="28" s="1"/>
  <c r="CB80" i="28" s="1"/>
  <c r="S48" i="51" s="1"/>
  <c r="CB93" i="28"/>
  <c r="AV115" i="28"/>
  <c r="AV17" i="26"/>
  <c r="AV116" i="28" s="1"/>
  <c r="AV109" i="28" s="1"/>
  <c r="AV102" i="28" s="1"/>
  <c r="G46" i="43" s="1"/>
  <c r="BZ93" i="28"/>
  <c r="BZ15" i="26"/>
  <c r="BZ94" i="28" s="1"/>
  <c r="BZ87" i="28" s="1"/>
  <c r="BZ80" i="28" s="1"/>
  <c r="S47" i="51" s="1"/>
  <c r="CF45" i="25"/>
  <c r="BD93" i="28"/>
  <c r="BD15" i="26"/>
  <c r="BD94" i="28" s="1"/>
  <c r="BD87" i="28" s="1"/>
  <c r="BD80" i="28" s="1"/>
  <c r="S49" i="52" s="1"/>
  <c r="BM112" i="28"/>
  <c r="BM108" i="28"/>
  <c r="BW17" i="26"/>
  <c r="BW116" i="28" s="1"/>
  <c r="BW109" i="28" s="1"/>
  <c r="BW102" i="28" s="1"/>
  <c r="BW115" i="28"/>
  <c r="BN90" i="28"/>
  <c r="BN86" i="28"/>
  <c r="AX108" i="28"/>
  <c r="CE115" i="28"/>
  <c r="CE17" i="26"/>
  <c r="CE116" i="28" s="1"/>
  <c r="CE109" i="28" s="1"/>
  <c r="CE102" i="28" s="1"/>
  <c r="S51" i="48" s="1"/>
  <c r="BV15" i="26"/>
  <c r="BV94" i="28" s="1"/>
  <c r="BV87" i="28" s="1"/>
  <c r="BV80" i="28" s="1"/>
  <c r="BV93" i="28"/>
  <c r="AW90" i="28"/>
  <c r="AW86" i="28"/>
  <c r="BF17" i="26"/>
  <c r="BF116" i="28" s="1"/>
  <c r="BF109" i="28" s="1"/>
  <c r="BF102" i="28" s="1"/>
  <c r="S50" i="50" s="1"/>
  <c r="BF115" i="28"/>
  <c r="AU17" i="26"/>
  <c r="AU116" i="28" s="1"/>
  <c r="AU109" i="28" s="1"/>
  <c r="AU102" i="28" s="1"/>
  <c r="G47" i="43" s="1"/>
  <c r="AU115" i="28"/>
  <c r="CF43" i="25"/>
  <c r="BR93" i="28"/>
  <c r="BR15" i="26"/>
  <c r="BR94" i="28" s="1"/>
  <c r="BR87" i="28" s="1"/>
  <c r="BR80" i="28" s="1"/>
  <c r="AU86" i="28"/>
  <c r="BM83" i="28"/>
  <c r="BM79" i="28"/>
  <c r="BM76" i="28" s="1"/>
  <c r="BW15" i="26"/>
  <c r="BW94" i="28" s="1"/>
  <c r="BW87" i="28" s="1"/>
  <c r="BW80" i="28" s="1"/>
  <c r="BW93" i="28"/>
  <c r="BQ17" i="26"/>
  <c r="BQ116" i="28" s="1"/>
  <c r="BQ109" i="28" s="1"/>
  <c r="BQ102" i="28" s="1"/>
  <c r="BQ115" i="28"/>
  <c r="BF15" i="26"/>
  <c r="BF94" i="28" s="1"/>
  <c r="BF87" i="28" s="1"/>
  <c r="BF80" i="28" s="1"/>
  <c r="S50" i="52" s="1"/>
  <c r="BF93" i="28"/>
  <c r="AZ86" i="28"/>
  <c r="BR17" i="26"/>
  <c r="BR116" i="28" s="1"/>
  <c r="BR109" i="28" s="1"/>
  <c r="BR102" i="28" s="1"/>
  <c r="BR115" i="28"/>
  <c r="AX112" i="28" l="1"/>
  <c r="AW108" i="28"/>
  <c r="CD112" i="28"/>
  <c r="BU90" i="28"/>
  <c r="BV112" i="28"/>
  <c r="BE90" i="28"/>
  <c r="BH90" i="28"/>
  <c r="BA17" i="26"/>
  <c r="BA116" i="28" s="1"/>
  <c r="BA109" i="28" s="1"/>
  <c r="BA102" i="28" s="1"/>
  <c r="G54" i="43" s="1"/>
  <c r="AZ90" i="28"/>
  <c r="AX102" i="28"/>
  <c r="Q58" i="32" s="1"/>
  <c r="BS90" i="28"/>
  <c r="BA93" i="28"/>
  <c r="BA86" i="28" s="1"/>
  <c r="BS112" i="28"/>
  <c r="BS108" i="28"/>
  <c r="BQ90" i="28"/>
  <c r="BQ86" i="28"/>
  <c r="CD86" i="28"/>
  <c r="CD90" i="28"/>
  <c r="BM101" i="28"/>
  <c r="BM98" i="28" s="1"/>
  <c r="BM105" i="28"/>
  <c r="BS79" i="28"/>
  <c r="BS76" i="28" s="1"/>
  <c r="BS83" i="28"/>
  <c r="AX90" i="28"/>
  <c r="AX86" i="28"/>
  <c r="Q84" i="32" s="1"/>
  <c r="BN112" i="28"/>
  <c r="BN108" i="28"/>
  <c r="BU83" i="28"/>
  <c r="BU79" i="28"/>
  <c r="BU76" i="28" s="1"/>
  <c r="BF90" i="28"/>
  <c r="BF86" i="28"/>
  <c r="AU79" i="28"/>
  <c r="AU83" i="28"/>
  <c r="BZ86" i="28"/>
  <c r="BZ90" i="28"/>
  <c r="AU112" i="28"/>
  <c r="AU108" i="28"/>
  <c r="BR108" i="28"/>
  <c r="BR112" i="28"/>
  <c r="BQ112" i="28"/>
  <c r="BQ108" i="28"/>
  <c r="CE112" i="28"/>
  <c r="CE108" i="28"/>
  <c r="AV108" i="28"/>
  <c r="AV112" i="28"/>
  <c r="BH79" i="28"/>
  <c r="BH83" i="28"/>
  <c r="BV105" i="28"/>
  <c r="BV101" i="28"/>
  <c r="BV98" i="28" s="1"/>
  <c r="BU112" i="28"/>
  <c r="BU108" i="28"/>
  <c r="AW105" i="28"/>
  <c r="AW101" i="28"/>
  <c r="BF112" i="28"/>
  <c r="BF108" i="28"/>
  <c r="Q57" i="38"/>
  <c r="Q46" i="38" s="1"/>
  <c r="AX105" i="28"/>
  <c r="AX101" i="28"/>
  <c r="CB86" i="28"/>
  <c r="CB90" i="28"/>
  <c r="BC101" i="28"/>
  <c r="BC105" i="28"/>
  <c r="AV79" i="28"/>
  <c r="AV83" i="28"/>
  <c r="CD101" i="28"/>
  <c r="CD105" i="28"/>
  <c r="AZ79" i="28"/>
  <c r="AZ83" i="28"/>
  <c r="BL108" i="28"/>
  <c r="BL112" i="28"/>
  <c r="BL83" i="28"/>
  <c r="BL79" i="28"/>
  <c r="BL76" i="28" s="1"/>
  <c r="BG112" i="28"/>
  <c r="BG108" i="28"/>
  <c r="AZ101" i="28"/>
  <c r="AZ105" i="28"/>
  <c r="CF15" i="26"/>
  <c r="CF94" i="28" s="1"/>
  <c r="CF87" i="28" s="1"/>
  <c r="CF80" i="28" s="1"/>
  <c r="S54" i="51" s="1"/>
  <c r="CF93" i="28"/>
  <c r="Q58" i="39"/>
  <c r="AX80" i="28"/>
  <c r="Q58" i="36" s="1"/>
  <c r="BA112" i="28"/>
  <c r="BA108" i="28"/>
  <c r="BW90" i="28"/>
  <c r="BW86" i="28"/>
  <c r="BR86" i="28"/>
  <c r="BR90" i="28"/>
  <c r="AW83" i="28"/>
  <c r="AW79" i="28"/>
  <c r="BN83" i="28"/>
  <c r="BN79" i="28"/>
  <c r="BN76" i="28" s="1"/>
  <c r="BD90" i="28"/>
  <c r="BD86" i="28"/>
  <c r="BD112" i="28"/>
  <c r="BD108" i="28"/>
  <c r="BE112" i="28"/>
  <c r="BE108" i="28"/>
  <c r="BZ112" i="28"/>
  <c r="BZ108" i="28"/>
  <c r="BE83" i="28"/>
  <c r="BE79" i="28"/>
  <c r="AZ112" i="28"/>
  <c r="CF17" i="26"/>
  <c r="CF116" i="28" s="1"/>
  <c r="CF109" i="28" s="1"/>
  <c r="CF102" i="28" s="1"/>
  <c r="S54" i="48" s="1"/>
  <c r="CF115" i="28"/>
  <c r="CE90" i="28"/>
  <c r="CE86" i="28"/>
  <c r="AY112" i="28"/>
  <c r="AY108" i="28"/>
  <c r="BC90" i="28"/>
  <c r="BC86" i="28"/>
  <c r="BG90" i="28"/>
  <c r="BG86" i="28"/>
  <c r="BV86" i="28"/>
  <c r="BV90" i="28"/>
  <c r="BW112" i="28"/>
  <c r="BW108" i="28"/>
  <c r="BH112" i="28"/>
  <c r="BH108" i="28"/>
  <c r="CA90" i="28"/>
  <c r="CA86" i="28"/>
  <c r="AY90" i="28"/>
  <c r="AY86" i="28"/>
  <c r="CA112" i="28"/>
  <c r="CA108" i="28"/>
  <c r="CB112" i="28"/>
  <c r="CB108" i="28"/>
  <c r="BA90" i="28" l="1"/>
  <c r="AY101" i="28"/>
  <c r="AY105" i="28"/>
  <c r="R45" i="50"/>
  <c r="BC98" i="28"/>
  <c r="BR105" i="28"/>
  <c r="BR101" i="28"/>
  <c r="BR98" i="28" s="1"/>
  <c r="CF90" i="28"/>
  <c r="CF86" i="28"/>
  <c r="AU105" i="28"/>
  <c r="AU101" i="28"/>
  <c r="CD83" i="28"/>
  <c r="CD79" i="28"/>
  <c r="E48" i="43"/>
  <c r="AW98" i="28"/>
  <c r="E51" i="47"/>
  <c r="AZ76" i="28"/>
  <c r="BD105" i="28"/>
  <c r="BD101" i="28"/>
  <c r="BV79" i="28"/>
  <c r="BV76" i="28" s="1"/>
  <c r="BV83" i="28"/>
  <c r="BR83" i="28"/>
  <c r="BR79" i="28"/>
  <c r="BR76" i="28" s="1"/>
  <c r="BL101" i="28"/>
  <c r="BL98" i="28" s="1"/>
  <c r="BL105" i="28"/>
  <c r="CB83" i="28"/>
  <c r="CB79" i="28"/>
  <c r="BU101" i="28"/>
  <c r="BU98" i="28" s="1"/>
  <c r="BU105" i="28"/>
  <c r="BA79" i="28"/>
  <c r="BA83" i="28"/>
  <c r="BQ83" i="28"/>
  <c r="BQ79" i="28"/>
  <c r="BQ76" i="28" s="1"/>
  <c r="CB101" i="28"/>
  <c r="CB105" i="28"/>
  <c r="BD79" i="28"/>
  <c r="BD83" i="28"/>
  <c r="BW83" i="28"/>
  <c r="BW79" i="28"/>
  <c r="BW76" i="28" s="1"/>
  <c r="CD98" i="28"/>
  <c r="R53" i="48"/>
  <c r="Q57" i="32"/>
  <c r="AX98" i="28"/>
  <c r="CE101" i="28"/>
  <c r="CE105" i="28"/>
  <c r="BH105" i="28"/>
  <c r="BH101" i="28"/>
  <c r="BG79" i="28"/>
  <c r="BG83" i="28"/>
  <c r="E51" i="43"/>
  <c r="AZ98" i="28"/>
  <c r="Q48" i="38"/>
  <c r="P72" i="60"/>
  <c r="Q71" i="61"/>
  <c r="BZ79" i="28"/>
  <c r="BZ83" i="28"/>
  <c r="BS105" i="28"/>
  <c r="BS101" i="28"/>
  <c r="BS98" i="28" s="1"/>
  <c r="AY83" i="28"/>
  <c r="AY79" i="28"/>
  <c r="AX83" i="28"/>
  <c r="Q57" i="39"/>
  <c r="Q46" i="39" s="1"/>
  <c r="AX79" i="28"/>
  <c r="CA83" i="28"/>
  <c r="CA79" i="28"/>
  <c r="CE79" i="28"/>
  <c r="CE83" i="28"/>
  <c r="BQ105" i="28"/>
  <c r="BQ101" i="28"/>
  <c r="BQ98" i="28" s="1"/>
  <c r="BN105" i="28"/>
  <c r="BN101" i="28"/>
  <c r="BN98" i="28" s="1"/>
  <c r="BE76" i="28"/>
  <c r="R48" i="52"/>
  <c r="AV105" i="28"/>
  <c r="AV101" i="28"/>
  <c r="BZ105" i="28"/>
  <c r="BZ101" i="28"/>
  <c r="BA105" i="28"/>
  <c r="BA101" i="28"/>
  <c r="BG105" i="28"/>
  <c r="BG101" i="28"/>
  <c r="CA105" i="28"/>
  <c r="CA101" i="28"/>
  <c r="BC83" i="28"/>
  <c r="BC79" i="28"/>
  <c r="E46" i="47"/>
  <c r="AV76" i="28"/>
  <c r="BF105" i="28"/>
  <c r="BF101" i="28"/>
  <c r="AU76" i="28"/>
  <c r="E47" i="47"/>
  <c r="BW105" i="28"/>
  <c r="BW101" i="28"/>
  <c r="BW98" i="28" s="1"/>
  <c r="CF112" i="28"/>
  <c r="CF108" i="28"/>
  <c r="BE105" i="28"/>
  <c r="BE101" i="28"/>
  <c r="AW76" i="28"/>
  <c r="E48" i="47"/>
  <c r="BH76" i="28"/>
  <c r="R47" i="52"/>
  <c r="BF83" i="28"/>
  <c r="BF79" i="28"/>
  <c r="CF83" i="28" l="1"/>
  <c r="CF79" i="28"/>
  <c r="BC76" i="28"/>
  <c r="R45" i="52"/>
  <c r="BZ98" i="28"/>
  <c r="R47" i="48"/>
  <c r="Q57" i="36"/>
  <c r="AX76" i="28"/>
  <c r="J60" i="47" s="1"/>
  <c r="R47" i="51"/>
  <c r="BZ76" i="28"/>
  <c r="BH98" i="28"/>
  <c r="R47" i="50"/>
  <c r="P48" i="60"/>
  <c r="P45" i="60"/>
  <c r="P47" i="60"/>
  <c r="P55" i="60"/>
  <c r="P46" i="60"/>
  <c r="AY76" i="28"/>
  <c r="E53" i="47"/>
  <c r="CE98" i="28"/>
  <c r="R51" i="48"/>
  <c r="R49" i="52"/>
  <c r="BD76" i="28"/>
  <c r="CD76" i="28"/>
  <c r="R53" i="51"/>
  <c r="E54" i="47"/>
  <c r="BA76" i="28"/>
  <c r="R48" i="50"/>
  <c r="BE98" i="28"/>
  <c r="E48" i="52"/>
  <c r="G48" i="52"/>
  <c r="Q72" i="61"/>
  <c r="P73" i="60"/>
  <c r="J60" i="43"/>
  <c r="CB76" i="28"/>
  <c r="R48" i="51"/>
  <c r="BD98" i="28"/>
  <c r="R49" i="50"/>
  <c r="E45" i="50"/>
  <c r="G45" i="50"/>
  <c r="R46" i="48"/>
  <c r="CA98" i="28"/>
  <c r="E46" i="43"/>
  <c r="AV98" i="28"/>
  <c r="BF98" i="28"/>
  <c r="R50" i="50"/>
  <c r="BG98" i="28"/>
  <c r="R46" i="50"/>
  <c r="BF76" i="28"/>
  <c r="R50" i="52"/>
  <c r="CE76" i="28"/>
  <c r="R51" i="51"/>
  <c r="Q46" i="32"/>
  <c r="Q48" i="32"/>
  <c r="CB98" i="28"/>
  <c r="R48" i="48"/>
  <c r="E47" i="43"/>
  <c r="AU98" i="28"/>
  <c r="E47" i="52"/>
  <c r="G47" i="52"/>
  <c r="BG76" i="28"/>
  <c r="R46" i="52"/>
  <c r="CF105" i="28"/>
  <c r="CF101" i="28"/>
  <c r="E54" i="43"/>
  <c r="BA98" i="28"/>
  <c r="Q48" i="39"/>
  <c r="CA76" i="28"/>
  <c r="R46" i="51"/>
  <c r="E53" i="48"/>
  <c r="G53" i="48"/>
  <c r="AY98" i="28"/>
  <c r="E53" i="43"/>
  <c r="E48" i="48" l="1"/>
  <c r="G48" i="48"/>
  <c r="J50" i="47"/>
  <c r="J48" i="47"/>
  <c r="J45" i="47"/>
  <c r="J46" i="47"/>
  <c r="J47" i="47"/>
  <c r="J49" i="47"/>
  <c r="E50" i="50"/>
  <c r="G50" i="50"/>
  <c r="R54" i="48"/>
  <c r="CF98" i="28"/>
  <c r="E46" i="50"/>
  <c r="G46" i="50"/>
  <c r="Q46" i="36"/>
  <c r="Q48" i="36"/>
  <c r="E47" i="48"/>
  <c r="G47" i="48"/>
  <c r="E46" i="51"/>
  <c r="G46" i="51"/>
  <c r="P61" i="64"/>
  <c r="P61" i="69"/>
  <c r="P46" i="64"/>
  <c r="P46" i="69"/>
  <c r="E51" i="48"/>
  <c r="G51" i="48"/>
  <c r="P48" i="64"/>
  <c r="P48" i="69"/>
  <c r="P63" i="69"/>
  <c r="P63" i="64"/>
  <c r="E49" i="52"/>
  <c r="G49" i="52"/>
  <c r="E48" i="51"/>
  <c r="G48" i="51"/>
  <c r="E48" i="50"/>
  <c r="G48" i="50"/>
  <c r="E47" i="50"/>
  <c r="G47" i="50"/>
  <c r="E45" i="52"/>
  <c r="G45" i="52"/>
  <c r="E51" i="51"/>
  <c r="G51" i="51"/>
  <c r="E46" i="52"/>
  <c r="G46" i="52"/>
  <c r="E49" i="50"/>
  <c r="G49" i="50"/>
  <c r="E50" i="52"/>
  <c r="G50" i="52"/>
  <c r="J47" i="43"/>
  <c r="J48" i="43"/>
  <c r="J49" i="43"/>
  <c r="J46" i="43"/>
  <c r="J50" i="43"/>
  <c r="J45" i="43"/>
  <c r="CF76" i="28"/>
  <c r="R54" i="51"/>
  <c r="E46" i="48"/>
  <c r="G46" i="48"/>
  <c r="E53" i="51"/>
  <c r="G53" i="51"/>
  <c r="E47" i="51"/>
  <c r="G47" i="51"/>
  <c r="P55" i="69" l="1"/>
  <c r="P55" i="64"/>
  <c r="E54" i="51"/>
  <c r="G54" i="51"/>
  <c r="E54" i="48"/>
  <c r="G5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CAZZOLA Pierpaolo</author>
    <author>CAZZOLA Pierpaolo, ITF/QPA</author>
  </authors>
  <commentList>
    <comment ref="AF4" authorId="0" shapeId="0" xr:uid="{00000000-0006-0000-0100-000001000000}">
      <text>
        <r>
          <rPr>
            <b/>
            <sz val="9"/>
            <color indexed="81"/>
            <rFont val="Tahoma"/>
            <family val="2"/>
          </rPr>
          <t>CAZZOLA Pierpaolo:</t>
        </r>
        <r>
          <rPr>
            <sz val="9"/>
            <color indexed="81"/>
            <rFont val="Tahoma"/>
            <family val="2"/>
          </rPr>
          <t xml:space="preserve">
Value assumed to get to totals and relative percentages of manufacturing and servicing emissions consistent with Holligsworth et al. (2019) results.
Value is reasonably within the range given in the paper.</t>
        </r>
      </text>
    </comment>
    <comment ref="AM4" authorId="0" shapeId="0" xr:uid="{00000000-0006-0000-0100-000002000000}">
      <text>
        <r>
          <rPr>
            <b/>
            <sz val="9"/>
            <color indexed="81"/>
            <rFont val="Tahoma"/>
            <charset val="1"/>
          </rPr>
          <t>CAZZOLA Pierpaolo:</t>
        </r>
        <r>
          <rPr>
            <sz val="9"/>
            <color indexed="81"/>
            <rFont val="Tahoma"/>
            <charset val="1"/>
          </rPr>
          <t xml:space="preserve">
Assumption. This is consistent with a 55% degradation factor (tampering, valdalisation etc.) that applied to the same lifetime mileage of commuter mopeds would lead to 6 years.</t>
        </r>
      </text>
    </comment>
    <comment ref="BI4" authorId="0" shapeId="0" xr:uid="{00000000-0006-0000-0100-000003000000}">
      <text>
        <r>
          <rPr>
            <b/>
            <sz val="9"/>
            <color indexed="81"/>
            <rFont val="Tahoma"/>
            <family val="2"/>
          </rPr>
          <t>CAZZOLA Pierpaolo:</t>
        </r>
        <r>
          <rPr>
            <sz val="9"/>
            <color indexed="81"/>
            <rFont val="Tahoma"/>
            <family val="2"/>
          </rPr>
          <t xml:space="preserve">
400000 km lifetime (assumed) divided by annual km, including in them commute from/to urban area.</t>
        </r>
      </text>
    </comment>
    <comment ref="ED4" authorId="1" shapeId="0" xr:uid="{00000000-0006-0000-0100-000004000000}">
      <text>
        <r>
          <rPr>
            <b/>
            <sz val="9"/>
            <color indexed="81"/>
            <rFont val="Tahoma"/>
            <charset val="1"/>
          </rPr>
          <t>CAZZOLA Pierpaolo, ITF/QPA:</t>
        </r>
        <r>
          <rPr>
            <sz val="9"/>
            <color indexed="81"/>
            <rFont val="Tahoma"/>
            <charset val="1"/>
          </rPr>
          <t xml:space="preserve">
Accounting for information from UITP report, suggesting 50 year lifetime with extensions, and roughly 25% lifetiome extension with major refurbishment.</t>
        </r>
      </text>
    </comment>
    <comment ref="D5" authorId="0" shapeId="0" xr:uid="{00000000-0006-0000-0100-000005000000}">
      <text>
        <r>
          <rPr>
            <b/>
            <sz val="9"/>
            <color indexed="81"/>
            <rFont val="Tahoma"/>
            <charset val="1"/>
          </rPr>
          <t>CAZZOLA Pierpaolo:</t>
        </r>
        <r>
          <rPr>
            <sz val="9"/>
            <color indexed="81"/>
            <rFont val="Tahoma"/>
            <charset val="1"/>
          </rPr>
          <t xml:space="preserve">
Two trips a day on weekdays. One on weekends.</t>
        </r>
      </text>
    </comment>
    <comment ref="AF5" authorId="0" shapeId="0" xr:uid="{00000000-0006-0000-0100-000006000000}">
      <text>
        <r>
          <rPr>
            <b/>
            <sz val="9"/>
            <color indexed="81"/>
            <rFont val="Tahoma"/>
            <family val="2"/>
          </rPr>
          <t>CAZZOLA Pierpaolo:</t>
        </r>
        <r>
          <rPr>
            <sz val="9"/>
            <color indexed="81"/>
            <rFont val="Tahoma"/>
            <family val="2"/>
          </rPr>
          <t xml:space="preserve">
Resulting from daily value in Hollingsworth et al (2019).</t>
        </r>
      </text>
    </comment>
    <comment ref="AK5" authorId="0" shapeId="0" xr:uid="{00000000-0006-0000-0100-000007000000}">
      <text>
        <r>
          <rPr>
            <b/>
            <sz val="9"/>
            <color indexed="81"/>
            <rFont val="Tahoma"/>
            <family val="2"/>
          </rPr>
          <t>CAZZOLA Pierpaolo:</t>
        </r>
        <r>
          <rPr>
            <sz val="9"/>
            <color indexed="81"/>
            <rFont val="Tahoma"/>
            <family val="2"/>
          </rPr>
          <t xml:space="preserve">
18.5 km/h
1 h/day
5 days/week
48 weeks/year</t>
        </r>
      </text>
    </comment>
    <comment ref="AO5" authorId="0" shapeId="0" xr:uid="{00000000-0006-0000-0100-000008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
INCLUDES PARKING AND DROP OFF</t>
        </r>
      </text>
    </comment>
    <comment ref="AP5" authorId="0" shapeId="0" xr:uid="{00000000-0006-0000-0100-000009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AQ5" authorId="0" shapeId="0" xr:uid="{00000000-0006-0000-0100-00000A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AX5" authorId="0" shapeId="0" xr:uid="{00000000-0006-0000-0100-00000B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BB5" authorId="0" shapeId="0" xr:uid="{00000000-0006-0000-0100-00000C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BI5" authorId="0" shapeId="0" xr:uid="{00000000-0006-0000-0100-00000D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
Note that this includes part of the trip with passengers, cruising and overheading (so the total of all urban deadheading), but excludes commuting from/to the urban are (accounted under operational services). </t>
        </r>
      </text>
    </comment>
    <comment ref="BJ5" authorId="0" shapeId="0" xr:uid="{00000000-0006-0000-0100-00000E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BK5" authorId="0" shapeId="0" xr:uid="{00000000-0006-0000-0100-00000F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BT5" authorId="0" shapeId="0" xr:uid="{00000000-0006-0000-0100-000010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C5" authorId="0" shapeId="0" xr:uid="{00000000-0006-0000-0100-000011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G5" authorId="0" shapeId="0" xr:uid="{00000000-0006-0000-0100-000012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N5" authorId="0" shapeId="0" xr:uid="{00000000-0006-0000-0100-000013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CO5" authorId="0" shapeId="0" xr:uid="{00000000-0006-0000-0100-000014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CP5" authorId="0" shapeId="0" xr:uid="{00000000-0006-0000-0100-000015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CQ5" authorId="0" shapeId="0" xr:uid="{00000000-0006-0000-0100-000016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CR5" authorId="0" shapeId="0" xr:uid="{00000000-0006-0000-0100-000017000000}">
      <text>
        <r>
          <rPr>
            <b/>
            <sz val="9"/>
            <color indexed="81"/>
            <rFont val="Tahoma"/>
            <family val="2"/>
          </rPr>
          <t>CAZZOLA Pierpaolo:</t>
        </r>
        <r>
          <rPr>
            <sz val="9"/>
            <color indexed="81"/>
            <rFont val="Tahoma"/>
            <family val="2"/>
          </rPr>
          <t xml:space="preserve">
URBAN TRAVEL
20 km/h
1.5 h/day
5.5 days/week
50 weeks/year
NON-URBAN
4 trips of 500 km/year
1 trips of 50 km/week</t>
        </r>
      </text>
    </comment>
    <comment ref="CS5" authorId="0" shapeId="0" xr:uid="{00000000-0006-0000-0100-000018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T5" authorId="0" shapeId="0" xr:uid="{00000000-0006-0000-0100-000019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U5" authorId="0" shapeId="0" xr:uid="{00000000-0006-0000-0100-00001A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V5" authorId="0" shapeId="0" xr:uid="{00000000-0006-0000-0100-00001B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W5" authorId="0" shapeId="0" xr:uid="{00000000-0006-0000-0100-00001C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X5" authorId="0" shapeId="0" xr:uid="{00000000-0006-0000-0100-00001D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Y5" authorId="0" shapeId="0" xr:uid="{00000000-0006-0000-0100-00001E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CZ5" authorId="0" shapeId="0" xr:uid="{00000000-0006-0000-0100-00001F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A5" authorId="0" shapeId="0" xr:uid="{00000000-0006-0000-0100-000020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B5" authorId="0" shapeId="0" xr:uid="{00000000-0006-0000-0100-000021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C5" authorId="0" shapeId="0" xr:uid="{00000000-0006-0000-0100-000022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D5" authorId="0" shapeId="0" xr:uid="{00000000-0006-0000-0100-000023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E5" authorId="0" shapeId="0" xr:uid="{00000000-0006-0000-0100-000024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F5" authorId="0" shapeId="0" xr:uid="{00000000-0006-0000-0100-000025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G5" authorId="0" shapeId="0" xr:uid="{00000000-0006-0000-0100-000026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H5" authorId="0" shapeId="0" xr:uid="{00000000-0006-0000-0100-000027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I5" authorId="0" shapeId="0" xr:uid="{00000000-0006-0000-0100-000028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J5" authorId="0" shapeId="0" xr:uid="{00000000-0006-0000-0100-000029000000}">
      <text>
        <r>
          <rPr>
            <b/>
            <sz val="9"/>
            <color indexed="81"/>
            <rFont val="Tahoma"/>
            <family val="2"/>
          </rPr>
          <t>CAZZOLA Pierpaolo:</t>
        </r>
        <r>
          <rPr>
            <sz val="9"/>
            <color indexed="81"/>
            <rFont val="Tahoma"/>
            <family val="2"/>
          </rPr>
          <t xml:space="preserve">
URBAN TRAVEL
20 km/h, 8 h/day, 6 days/week, 50 weeks/year
Compares quite well with
Shaller Consulting (2017) [http://www.schallerconsult.com/rideservices/unsustainable.pdf]: "TNC vehicles drove an average of 34 000 miles [54 400 km] per vehicle in 2016".</t>
        </r>
      </text>
    </comment>
    <comment ref="DQ5" authorId="0" shapeId="0" xr:uid="{00000000-0006-0000-0100-00002A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R5" authorId="0" shapeId="0" xr:uid="{00000000-0006-0000-0100-00002B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S5" authorId="0" shapeId="0" xr:uid="{00000000-0006-0000-0100-00002C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T5" authorId="0" shapeId="0" xr:uid="{00000000-0006-0000-0100-00002D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U5" authorId="0" shapeId="0" xr:uid="{00000000-0006-0000-0100-00002E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V5" authorId="0" shapeId="0" xr:uid="{00000000-0006-0000-0100-00002F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DW5" authorId="0" shapeId="0" xr:uid="{00000000-0006-0000-0100-000030000000}">
      <text>
        <r>
          <rPr>
            <b/>
            <sz val="9"/>
            <color indexed="81"/>
            <rFont val="Tahoma"/>
            <family val="2"/>
          </rPr>
          <t>CAZZOLA Pierpaolo:</t>
        </r>
        <r>
          <rPr>
            <sz val="9"/>
            <color indexed="81"/>
            <rFont val="Tahoma"/>
            <family val="2"/>
          </rPr>
          <t xml:space="preserve">
18.5 km/h
8 h/day
6 days/week (lower weekend traffic)
50 weeks/year (maintenance 2 weeks)</t>
        </r>
      </text>
    </comment>
    <comment ref="ED5" authorId="0" shapeId="0" xr:uid="{00000000-0006-0000-0100-000031000000}">
      <text>
        <r>
          <rPr>
            <b/>
            <sz val="9"/>
            <color indexed="81"/>
            <rFont val="Tahoma"/>
            <family val="2"/>
          </rPr>
          <t>CAZZOLA Pierpaolo:</t>
        </r>
        <r>
          <rPr>
            <sz val="9"/>
            <color indexed="81"/>
            <rFont val="Tahoma"/>
            <family val="2"/>
          </rPr>
          <t xml:space="preserve">
27.5 km/h
8 h/day
6 days/week (lower weekend traffic)
50 weeks/year (maintenance 2 weeks)</t>
        </r>
      </text>
    </comment>
    <comment ref="CY10" authorId="1" shapeId="0" xr:uid="{00000000-0006-0000-0100-000032000000}">
      <text>
        <r>
          <rPr>
            <b/>
            <sz val="9"/>
            <color indexed="81"/>
            <rFont val="Tahoma"/>
            <charset val="1"/>
          </rPr>
          <t>CAZZOLA Pierpaolo, ITF/QPA:</t>
        </r>
        <r>
          <rPr>
            <sz val="9"/>
            <color indexed="81"/>
            <rFont val="Tahoma"/>
            <charset val="1"/>
          </rPr>
          <t xml:space="preserve">
Mercedes Vito has a kerb weight of 1.75 t. See 
https://www.mercedes-benz-mena.com/vans/en/vito/tourer/technical-data</t>
        </r>
      </text>
    </comment>
    <comment ref="DE10" authorId="1" shapeId="0" xr:uid="{00000000-0006-0000-0100-000033000000}">
      <text>
        <r>
          <rPr>
            <b/>
            <sz val="9"/>
            <color indexed="81"/>
            <rFont val="Tahoma"/>
            <charset val="1"/>
          </rPr>
          <t>CAZZOLA Pierpaolo, ITF/QPA:</t>
        </r>
        <r>
          <rPr>
            <sz val="9"/>
            <color indexed="81"/>
            <rFont val="Tahoma"/>
            <charset val="1"/>
          </rPr>
          <t xml:space="preserve">
linear interpolation between van and bus, based on seating capacity (assuming 8 seats for van and 50 seats for bus)</t>
        </r>
      </text>
    </comment>
    <comment ref="DF10" authorId="1" shapeId="0" xr:uid="{00000000-0006-0000-0100-000034000000}">
      <text>
        <r>
          <rPr>
            <b/>
            <sz val="9"/>
            <color indexed="81"/>
            <rFont val="Tahoma"/>
            <charset val="1"/>
          </rPr>
          <t>CAZZOLA Pierpaolo, ITF/QPA:</t>
        </r>
        <r>
          <rPr>
            <sz val="9"/>
            <color indexed="81"/>
            <rFont val="Tahoma"/>
            <charset val="1"/>
          </rPr>
          <t xml:space="preserve">
linear interpolation between van and bus, based on seating capacity (assuming 8 seats for van and 50 seats for bus)</t>
        </r>
      </text>
    </comment>
    <comment ref="DH10" authorId="1" shapeId="0" xr:uid="{00000000-0006-0000-0100-000035000000}">
      <text>
        <r>
          <rPr>
            <b/>
            <sz val="9"/>
            <color indexed="81"/>
            <rFont val="Tahoma"/>
            <charset val="1"/>
          </rPr>
          <t>CAZZOLA Pierpaolo, ITF/QPA:</t>
        </r>
        <r>
          <rPr>
            <sz val="9"/>
            <color indexed="81"/>
            <rFont val="Tahoma"/>
            <charset val="1"/>
          </rPr>
          <t xml:space="preserve">
linear interpolation between van and bus, based on seating capacity (assuming 8 seats for van and 50 seats for bus)</t>
        </r>
      </text>
    </comment>
    <comment ref="DI10" authorId="1" shapeId="0" xr:uid="{00000000-0006-0000-0100-000036000000}">
      <text>
        <r>
          <rPr>
            <b/>
            <sz val="9"/>
            <color indexed="81"/>
            <rFont val="Tahoma"/>
            <charset val="1"/>
          </rPr>
          <t>CAZZOLA Pierpaolo, ITF/QPA:</t>
        </r>
        <r>
          <rPr>
            <sz val="9"/>
            <color indexed="81"/>
            <rFont val="Tahoma"/>
            <charset val="1"/>
          </rPr>
          <t xml:space="preserve">
linear interpolation between van and bus, based on seating capacity (assuming 8 seats for van and 50 seats for bus)</t>
        </r>
      </text>
    </comment>
    <comment ref="DJ10" authorId="1" shapeId="0" xr:uid="{00000000-0006-0000-0100-000037000000}">
      <text>
        <r>
          <rPr>
            <b/>
            <sz val="9"/>
            <color indexed="81"/>
            <rFont val="Tahoma"/>
            <charset val="1"/>
          </rPr>
          <t>CAZZOLA Pierpaolo, ITF/QPA:</t>
        </r>
        <r>
          <rPr>
            <sz val="9"/>
            <color indexed="81"/>
            <rFont val="Tahoma"/>
            <charset val="1"/>
          </rPr>
          <t xml:space="preserve">
linear interpolation between van and bus, based on seating capacity (assuming 8 seats for van and 50 seats for bus)</t>
        </r>
      </text>
    </comment>
    <comment ref="AJ11" authorId="0" shapeId="0" xr:uid="{00000000-0006-0000-0100-000038000000}">
      <text>
        <r>
          <rPr>
            <b/>
            <sz val="9"/>
            <color indexed="81"/>
            <rFont val="Tahoma"/>
            <family val="2"/>
          </rPr>
          <t>CAZZOLA Pierpaolo:</t>
        </r>
        <r>
          <rPr>
            <sz val="9"/>
            <color indexed="81"/>
            <rFont val="Tahoma"/>
            <family val="2"/>
          </rPr>
          <t xml:space="preserve">
Assumes 2 batteries/moped (need to recharge and swap)</t>
        </r>
      </text>
    </comment>
    <comment ref="AN11" authorId="0" shapeId="0" xr:uid="{00000000-0006-0000-0100-000039000000}">
      <text>
        <r>
          <rPr>
            <b/>
            <sz val="9"/>
            <color indexed="81"/>
            <rFont val="Tahoma"/>
            <family val="2"/>
          </rPr>
          <t>CAZZOLA Pierpaolo:</t>
        </r>
        <r>
          <rPr>
            <sz val="9"/>
            <color indexed="81"/>
            <rFont val="Tahoma"/>
            <family val="2"/>
          </rPr>
          <t xml:space="preserve">
Assumes 2 batteries/moped (need to recharge and swap)</t>
        </r>
      </text>
    </comment>
    <comment ref="AX11" authorId="0" shapeId="0" xr:uid="{00000000-0006-0000-0100-00003A000000}">
      <text>
        <r>
          <rPr>
            <b/>
            <sz val="9"/>
            <color indexed="81"/>
            <rFont val="Tahoma"/>
            <charset val="1"/>
          </rPr>
          <t>CAZZOLA Pierpaolo:</t>
        </r>
        <r>
          <rPr>
            <sz val="9"/>
            <color indexed="81"/>
            <rFont val="Tahoma"/>
            <charset val="1"/>
          </rPr>
          <t xml:space="preserve">
300 km/day capacity, taking into account of kWh/km and a 20% buffer.</t>
        </r>
      </text>
    </comment>
    <comment ref="BT11" authorId="0" shapeId="0" xr:uid="{00000000-0006-0000-0100-00003B000000}">
      <text>
        <r>
          <rPr>
            <b/>
            <sz val="9"/>
            <color indexed="81"/>
            <rFont val="Tahoma"/>
            <charset val="1"/>
          </rPr>
          <t>CAZZOLA Pierpaolo:</t>
        </r>
        <r>
          <rPr>
            <sz val="9"/>
            <color indexed="81"/>
            <rFont val="Tahoma"/>
            <charset val="1"/>
          </rPr>
          <t xml:space="preserve">
300 km/day capacity, taking into accounto of kWh/km and a 20% buffer.</t>
        </r>
      </text>
    </comment>
    <comment ref="CK11" authorId="0" shapeId="0" xr:uid="{00000000-0006-0000-0100-00003C000000}">
      <text>
        <r>
          <rPr>
            <b/>
            <sz val="9"/>
            <color indexed="81"/>
            <rFont val="Tahoma"/>
            <charset val="1"/>
          </rPr>
          <t>CAZZOLA Pierpaolo:</t>
        </r>
        <r>
          <rPr>
            <sz val="9"/>
            <color indexed="81"/>
            <rFont val="Tahoma"/>
            <charset val="1"/>
          </rPr>
          <t xml:space="preserve">
300 km/day capacity, taking into accounto of kWh/km and a 20% buffer.</t>
        </r>
      </text>
    </comment>
    <comment ref="CQ11" authorId="0" shapeId="0" xr:uid="{00000000-0006-0000-0100-00003D000000}">
      <text>
        <r>
          <rPr>
            <b/>
            <sz val="9"/>
            <color indexed="81"/>
            <rFont val="Tahoma"/>
            <charset val="1"/>
          </rPr>
          <t>CAZZOLA Pierpaolo:</t>
        </r>
        <r>
          <rPr>
            <sz val="9"/>
            <color indexed="81"/>
            <rFont val="Tahoma"/>
            <charset val="1"/>
          </rPr>
          <t xml:space="preserve">
300 km/day capacity, taking into account of kWh/km and a 20% buffer.</t>
        </r>
      </text>
    </comment>
    <comment ref="CV11" authorId="0" shapeId="0" xr:uid="{00000000-0006-0000-0100-00003E000000}">
      <text>
        <r>
          <rPr>
            <b/>
            <sz val="9"/>
            <color indexed="81"/>
            <rFont val="Tahoma"/>
            <charset val="1"/>
          </rPr>
          <t>CAZZOLA Pierpaolo:</t>
        </r>
        <r>
          <rPr>
            <sz val="9"/>
            <color indexed="81"/>
            <rFont val="Tahoma"/>
            <charset val="1"/>
          </rPr>
          <t xml:space="preserve">
300 km/day capacity, taking into accounto of kWh/km and a 20% buffer.</t>
        </r>
      </text>
    </comment>
    <comment ref="DB11" authorId="0" shapeId="0" xr:uid="{00000000-0006-0000-0100-00003F000000}">
      <text>
        <r>
          <rPr>
            <b/>
            <sz val="9"/>
            <color indexed="81"/>
            <rFont val="Tahoma"/>
            <charset val="1"/>
          </rPr>
          <t>CAZZOLA Pierpaolo:</t>
        </r>
        <r>
          <rPr>
            <sz val="9"/>
            <color indexed="81"/>
            <rFont val="Tahoma"/>
            <charset val="1"/>
          </rPr>
          <t xml:space="preserve">
300 km/day capacity, taking into accounto of kWh/km and a 20% buffer.</t>
        </r>
      </text>
    </comment>
    <comment ref="DH11" authorId="0" shapeId="0" xr:uid="{00000000-0006-0000-0100-000040000000}">
      <text>
        <r>
          <rPr>
            <b/>
            <sz val="9"/>
            <color indexed="81"/>
            <rFont val="Tahoma"/>
            <charset val="1"/>
          </rPr>
          <t>CAZZOLA Pierpaolo:</t>
        </r>
        <r>
          <rPr>
            <sz val="9"/>
            <color indexed="81"/>
            <rFont val="Tahoma"/>
            <charset val="1"/>
          </rPr>
          <t xml:space="preserve">
300 km/day capacity, taking into accounto of kWh/km and a 20% buffer.</t>
        </r>
      </text>
    </comment>
    <comment ref="DU11" authorId="0" shapeId="0" xr:uid="{00000000-0006-0000-0100-000041000000}">
      <text>
        <r>
          <rPr>
            <b/>
            <sz val="9"/>
            <color indexed="81"/>
            <rFont val="Tahoma"/>
            <family val="2"/>
          </rPr>
          <t>CAZZOLA Pierpaolo:</t>
        </r>
        <r>
          <rPr>
            <sz val="9"/>
            <color indexed="81"/>
            <rFont val="Tahoma"/>
            <family val="2"/>
          </rPr>
          <t xml:space="preserve">
324 kWh for BYD K9</t>
        </r>
      </text>
    </comment>
    <comment ref="AO16" authorId="1" shapeId="0" xr:uid="{00000000-0006-0000-0100-000042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P16" authorId="1" shapeId="0" xr:uid="{00000000-0006-0000-0100-000043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Q16" authorId="1" shapeId="0" xr:uid="{00000000-0006-0000-0100-000044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R16" authorId="1" shapeId="0" xr:uid="{00000000-0006-0000-0100-000045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S16" authorId="1" shapeId="0" xr:uid="{00000000-0006-0000-0100-000046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T16" authorId="1" shapeId="0" xr:uid="{00000000-0006-0000-0100-000047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U16" authorId="1" shapeId="0" xr:uid="{00000000-0006-0000-0100-000048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V16" authorId="1" shapeId="0" xr:uid="{00000000-0006-0000-0100-000049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W16" authorId="1" shapeId="0" xr:uid="{00000000-0006-0000-0100-00004A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X16" authorId="1" shapeId="0" xr:uid="{00000000-0006-0000-0100-00004B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Y16" authorId="1" shapeId="0" xr:uid="{00000000-0006-0000-0100-00004C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AZ16" authorId="1" shapeId="0" xr:uid="{00000000-0006-0000-0100-00004D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BA16" authorId="1" shapeId="0" xr:uid="{00000000-0006-0000-0100-00004E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BB16" authorId="1" shapeId="0" xr:uid="{00000000-0006-0000-0100-00004F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CN16" authorId="1" shapeId="0" xr:uid="{00000000-0006-0000-0100-000050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CO16" authorId="1" shapeId="0" xr:uid="{00000000-0006-0000-0100-000051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CP16" authorId="1" shapeId="0" xr:uid="{00000000-0006-0000-0100-000052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CQ16" authorId="1" shapeId="0" xr:uid="{00000000-0006-0000-0100-000053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CR16" authorId="1" shapeId="0" xr:uid="{00000000-0006-0000-0100-000054000000}">
      <text>
        <r>
          <rPr>
            <b/>
            <sz val="9"/>
            <color indexed="81"/>
            <rFont val="Tahoma"/>
            <charset val="1"/>
          </rPr>
          <t>CAZZOLA Pierpaolo, ITF/QPA:</t>
        </r>
        <r>
          <rPr>
            <sz val="9"/>
            <color indexed="81"/>
            <rFont val="Tahoma"/>
            <charset val="1"/>
          </rPr>
          <t xml:space="preserve">
1.45 in Europe (https://www.eea.europa.eu/data-and-maps/indicators/occupancy-rates-of-passenger-vehicles/occupancy-rates-of-passenger-vehicles), 1.67 in US (https://www.energy.gov/eere/vehicles/articles/fotw-1040-july-30-2018-average-vehicle-occupancy-remains-unchanged-2009-2017).</t>
        </r>
      </text>
    </comment>
    <comment ref="DQ16" authorId="0" shapeId="0" xr:uid="{00000000-0006-0000-0100-000055000000}">
      <text>
        <r>
          <rPr>
            <b/>
            <sz val="9"/>
            <color indexed="81"/>
            <rFont val="Tahoma"/>
            <charset val="1"/>
          </rPr>
          <t>CAZZOLA Pierpaolo:</t>
        </r>
        <r>
          <rPr>
            <sz val="9"/>
            <color indexed="81"/>
            <rFont val="Tahoma"/>
            <charset val="1"/>
          </rPr>
          <t xml:space="preserve">
Considering values available from TFL to be only referring to operations while in service (excluding deadheading).</t>
        </r>
      </text>
    </comment>
    <comment ref="AF20" authorId="0" shapeId="0" xr:uid="{00000000-0006-0000-0100-000056000000}">
      <text>
        <r>
          <rPr>
            <b/>
            <sz val="9"/>
            <color indexed="81"/>
            <rFont val="Tahoma"/>
            <family val="2"/>
          </rPr>
          <t>CAZZOLA Pierpaolo:</t>
        </r>
        <r>
          <rPr>
            <sz val="9"/>
            <color indexed="81"/>
            <rFont val="Tahoma"/>
            <family val="2"/>
          </rPr>
          <t xml:space="preserve">
Value assumed to get to an amount of km of car travel per day similar to what is implicitly used by Hollingsworth et al. (2019), given 200 gco2/mile in total and 43% for servicing. Value is reasonably within the range given in the paper.</t>
        </r>
      </text>
    </comment>
    <comment ref="AI20" authorId="0" shapeId="0" xr:uid="{00000000-0006-0000-0100-000057000000}">
      <text>
        <r>
          <rPr>
            <b/>
            <sz val="9"/>
            <color indexed="81"/>
            <rFont val="Tahoma"/>
            <charset val="1"/>
          </rPr>
          <t>CAZZOLA Pierpaolo:</t>
        </r>
        <r>
          <rPr>
            <sz val="9"/>
            <color indexed="81"/>
            <rFont val="Tahoma"/>
            <charset val="1"/>
          </rPr>
          <t xml:space="preserve">
Repositioning: assuming half of e-bikes.</t>
        </r>
      </text>
    </comment>
    <comment ref="AJ20" authorId="0" shapeId="0" xr:uid="{00000000-0006-0000-0100-000058000000}">
      <text>
        <r>
          <rPr>
            <b/>
            <sz val="9"/>
            <color indexed="81"/>
            <rFont val="Tahoma"/>
            <family val="2"/>
          </rPr>
          <t>CAZZOLA Pierpaolo:</t>
        </r>
        <r>
          <rPr>
            <sz val="9"/>
            <color indexed="81"/>
            <rFont val="Tahoma"/>
            <family val="2"/>
          </rPr>
          <t xml:space="preserve">
Assuming the same as mopeds (battery swappig only).
May be underestimating repositioning.</t>
        </r>
      </text>
    </comment>
    <comment ref="AN20" authorId="0" shapeId="0" xr:uid="{00000000-0006-0000-0100-000059000000}">
      <text>
        <r>
          <rPr>
            <b/>
            <sz val="9"/>
            <color indexed="81"/>
            <rFont val="Tahoma"/>
            <family val="2"/>
          </rPr>
          <t>CAZZOLA Pierpaolo:</t>
        </r>
        <r>
          <rPr>
            <sz val="9"/>
            <color indexed="81"/>
            <rFont val="Tahoma"/>
            <family val="2"/>
          </rPr>
          <t xml:space="preserve">
Assuming similar to e-scooter with battery swapping</t>
        </r>
      </text>
    </comment>
    <comment ref="BI20" authorId="0" shapeId="0" xr:uid="{00000000-0006-0000-0100-00005A000000}">
      <text>
        <r>
          <rPr>
            <b/>
            <sz val="9"/>
            <color indexed="81"/>
            <rFont val="Tahoma"/>
            <family val="2"/>
          </rPr>
          <t>CAZZOLA Pierpaolo:</t>
        </r>
        <r>
          <rPr>
            <sz val="9"/>
            <color indexed="81"/>
            <rFont val="Tahoma"/>
            <family val="2"/>
          </rPr>
          <t xml:space="preserve">
Using 0.3 km of commute/km driven in cities while in service (URBAN TRAVEL) (from Henao and Marshall, 2019).</t>
        </r>
      </text>
    </comment>
    <comment ref="AI21" authorId="0" shapeId="0" xr:uid="{00000000-0006-0000-0100-00005B000000}">
      <text>
        <r>
          <rPr>
            <b/>
            <sz val="9"/>
            <color indexed="81"/>
            <rFont val="Tahoma"/>
            <charset val="1"/>
          </rPr>
          <t>CAZZOLA Pierpaolo:</t>
        </r>
        <r>
          <rPr>
            <sz val="9"/>
            <color indexed="81"/>
            <rFont val="Tahoma"/>
            <charset val="1"/>
          </rPr>
          <t xml:space="preserve">
Assuming half of e-bikes (no battery swap, so less capacity available).</t>
        </r>
      </text>
    </comment>
    <comment ref="AJ21" authorId="0" shapeId="0" xr:uid="{00000000-0006-0000-0100-00005C000000}">
      <text>
        <r>
          <rPr>
            <b/>
            <sz val="9"/>
            <color indexed="81"/>
            <rFont val="Tahoma"/>
            <family val="2"/>
          </rPr>
          <t>CAZZOLA Pierpaolo:</t>
        </r>
        <r>
          <rPr>
            <sz val="9"/>
            <color indexed="81"/>
            <rFont val="Tahoma"/>
            <family val="2"/>
          </rPr>
          <t xml:space="preserve">
Assuming the same as mopeds (battery swappig only).
May be underestimating repositioning.</t>
        </r>
      </text>
    </comment>
    <comment ref="AN21" authorId="0" shapeId="0" xr:uid="{00000000-0006-0000-0100-00005D000000}">
      <text>
        <r>
          <rPr>
            <b/>
            <sz val="9"/>
            <color indexed="81"/>
            <rFont val="Tahoma"/>
            <family val="2"/>
          </rPr>
          <t>CAZZOLA Pierpaolo:</t>
        </r>
        <r>
          <rPr>
            <sz val="9"/>
            <color indexed="81"/>
            <rFont val="Tahoma"/>
            <family val="2"/>
          </rPr>
          <t xml:space="preserve">
Assuming similar to e-scooter with battery swapping</t>
        </r>
      </text>
    </comment>
    <comment ref="AF91" authorId="0" shapeId="0" xr:uid="{00000000-0006-0000-0100-00005E000000}">
      <text>
        <r>
          <rPr>
            <b/>
            <sz val="9"/>
            <color indexed="81"/>
            <rFont val="Tahoma"/>
            <family val="2"/>
          </rPr>
          <t xml:space="preserve">CAZZOLA Pierpaolo:
</t>
        </r>
        <r>
          <rPr>
            <sz val="9"/>
            <color indexed="81"/>
            <rFont val="Tahoma"/>
            <family val="2"/>
          </rPr>
          <t>Estimate based on same gCO2/MJ of central assumption.</t>
        </r>
      </text>
    </comment>
    <comment ref="AF113" authorId="0" shapeId="0" xr:uid="{00000000-0006-0000-0100-00005F000000}">
      <text>
        <r>
          <rPr>
            <b/>
            <sz val="9"/>
            <color indexed="81"/>
            <rFont val="Tahoma"/>
            <family val="2"/>
          </rPr>
          <t>CAZZOLA Pierpaolo:</t>
        </r>
        <r>
          <rPr>
            <sz val="9"/>
            <color indexed="81"/>
            <rFont val="Tahoma"/>
            <family val="2"/>
          </rPr>
          <t xml:space="preserve">
Value assumed infomed by Table 1, first line in Holligsworth et al. (2019). Achieving this needs greater gCO2/kWh for battery production than in GREET2.</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GORNER Marine, IEA/SPT/ETP/EDT</author>
  </authors>
  <commentList>
    <comment ref="B8" authorId="0" shapeId="0" xr:uid="{00000000-0006-0000-0D00-000001000000}">
      <text>
        <r>
          <rPr>
            <b/>
            <sz val="9"/>
            <color indexed="81"/>
            <rFont val="Tahoma"/>
            <family val="2"/>
          </rPr>
          <t>GORNER Marine, IEA/SPT/ETP/EDT:</t>
        </r>
        <r>
          <rPr>
            <sz val="9"/>
            <color indexed="81"/>
            <rFont val="Tahoma"/>
            <family val="2"/>
          </rPr>
          <t xml:space="preserve">
Based on GFEI Fuel Economy of BEVs per unit weight with assumption 200 and 400km range (GFEI WP 19). In line with line below.</t>
        </r>
      </text>
    </comment>
    <comment ref="B13" authorId="0" shapeId="0" xr:uid="{00000000-0006-0000-0D00-000002000000}">
      <text>
        <r>
          <rPr>
            <b/>
            <sz val="9"/>
            <color indexed="81"/>
            <rFont val="Tahoma"/>
            <family val="2"/>
          </rPr>
          <t>GORNER Marine, IEA/SPT/ETP/EDT:</t>
        </r>
        <r>
          <rPr>
            <sz val="9"/>
            <color indexed="81"/>
            <rFont val="Tahoma"/>
            <family val="2"/>
          </rPr>
          <t xml:space="preserve">
Based on GFEI Fuel Economy of PHEVs per unit weight with assumption 55 km range (GFEI WP 19). In line with line below.</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CAZZOLA Pierpaolo</author>
  </authors>
  <commentList>
    <comment ref="B230" authorId="0" shapeId="0" xr:uid="{00000000-0006-0000-0E00-000001000000}">
      <text>
        <r>
          <rPr>
            <b/>
            <sz val="9"/>
            <color indexed="81"/>
            <rFont val="Tahoma"/>
            <family val="2"/>
          </rPr>
          <t>CAZZOLA Pierpaolo:</t>
        </r>
        <r>
          <rPr>
            <sz val="9"/>
            <color indexed="81"/>
            <rFont val="Tahoma"/>
            <family val="2"/>
          </rPr>
          <t xml:space="preserve">
Assumes same as dedicated bus anes, but with much lower network sharing (1.25 lines per km rather than 4)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CAZZOLA Pierpaolo</author>
  </authors>
  <commentList>
    <comment ref="P14" authorId="0" shapeId="0" xr:uid="{00000000-0006-0000-0F00-000001000000}">
      <text>
        <r>
          <rPr>
            <b/>
            <sz val="9"/>
            <color indexed="81"/>
            <rFont val="Tahoma"/>
            <family val="2"/>
          </rPr>
          <t>CAZZOLA Pierpaolo, ITF/QPA:</t>
        </r>
        <r>
          <rPr>
            <sz val="9"/>
            <color indexed="81"/>
            <rFont val="Tahoma"/>
            <family val="2"/>
          </rPr>
          <t xml:space="preserve">
Based on comments from Uber to the report:
Fehr and Peer report (based on actual trip data submitted by Uber and Lyft) reports that 40-45% of TNC vehicle distances are deadhead distance. This number does not consider the overlapping distance between Uber and Lyft. 
CARB report (based on actual trip data submitted by all TNC companies in California) reports that 38.5% of TNC vehicle distances are deadhead distance, and this report considers the overlapping distance among multiple TNC platform. 
We chose CARB.</t>
        </r>
      </text>
    </comment>
    <comment ref="F32" authorId="1" shapeId="0" xr:uid="{00000000-0006-0000-0F00-000002000000}">
      <text>
        <r>
          <rPr>
            <b/>
            <sz val="9"/>
            <color indexed="81"/>
            <rFont val="Tahoma"/>
            <family val="2"/>
          </rPr>
          <t xml:space="preserve">CAZZOLA Pierpaolo:
</t>
        </r>
        <r>
          <rPr>
            <sz val="9"/>
            <color indexed="81"/>
            <rFont val="Tahoma"/>
            <family val="2"/>
          </rPr>
          <t>8 minutes, based on Shoup, 2007</t>
        </r>
      </text>
    </comment>
    <comment ref="I32" authorId="1" shapeId="0" xr:uid="{00000000-0006-0000-0F00-000003000000}">
      <text>
        <r>
          <rPr>
            <b/>
            <sz val="9"/>
            <color indexed="81"/>
            <rFont val="Tahoma"/>
            <family val="2"/>
          </rPr>
          <t>CAZZOLA Pierpaolo:</t>
        </r>
        <r>
          <rPr>
            <sz val="9"/>
            <color indexed="81"/>
            <rFont val="Tahoma"/>
            <family val="2"/>
          </rPr>
          <t xml:space="preserve">
5 days/week, 48 weeks/year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CAZZOLA Pierpaolo</author>
  </authors>
  <commentList>
    <comment ref="D55" authorId="0" shapeId="0" xr:uid="{00000000-0006-0000-1000-000001000000}">
      <text>
        <r>
          <rPr>
            <b/>
            <sz val="9"/>
            <color indexed="81"/>
            <rFont val="Tahoma"/>
            <charset val="1"/>
          </rPr>
          <t>CAZZOLA Pierpaolo:</t>
        </r>
        <r>
          <rPr>
            <sz val="9"/>
            <color indexed="81"/>
            <rFont val="Tahoma"/>
            <charset val="1"/>
          </rPr>
          <t xml:space="preserve">
Natural gas upstream for steam methane reforming.
Primary energy to electricity for electrolysis.</t>
        </r>
      </text>
    </comment>
    <comment ref="F55" authorId="0" shapeId="0" xr:uid="{00000000-0006-0000-1000-000002000000}">
      <text>
        <r>
          <rPr>
            <b/>
            <sz val="9"/>
            <color indexed="81"/>
            <rFont val="Tahoma"/>
            <charset val="1"/>
          </rPr>
          <t>CAZZOLA Pierpaolo:</t>
        </r>
        <r>
          <rPr>
            <sz val="9"/>
            <color indexed="81"/>
            <rFont val="Tahoma"/>
            <charset val="1"/>
          </rPr>
          <t xml:space="preserve">
Natural gas to hydrogen for steam methane reforming.
Electricity to hydrogen for electrolysis.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s>
  <commentList>
    <comment ref="AE2" authorId="0" shapeId="0" xr:uid="{00000000-0006-0000-0200-000001000000}">
      <text>
        <r>
          <rPr>
            <b/>
            <sz val="9"/>
            <color indexed="81"/>
            <rFont val="Tahoma"/>
            <charset val="1"/>
          </rPr>
          <t>CAZZOLA Pierpaolo, ITF/QPA:</t>
        </r>
        <r>
          <rPr>
            <sz val="9"/>
            <color indexed="81"/>
            <rFont val="Tahoma"/>
            <charset val="1"/>
          </rPr>
          <t xml:space="preserve">
heavier vehicle, longer life, battery swap, 1.3 batteries/e-scooter</t>
        </r>
      </text>
    </comment>
    <comment ref="X34" authorId="0" shapeId="0" xr:uid="{00000000-0006-0000-0200-000002000000}">
      <text>
        <r>
          <rPr>
            <b/>
            <sz val="9"/>
            <color indexed="81"/>
            <rFont val="Tahoma"/>
            <family val="2"/>
          </rPr>
          <t>CAZZOLA Pierpaolo, ITF/QPA:</t>
        </r>
        <r>
          <rPr>
            <sz val="9"/>
            <color indexed="81"/>
            <rFont val="Tahoma"/>
            <family val="2"/>
          </rPr>
          <t xml:space="preserve">
Assuming 1.25 swappable batteries/scooter</t>
        </r>
      </text>
    </comment>
    <comment ref="Y34" authorId="0" shapeId="0" xr:uid="{00000000-0006-0000-0200-000003000000}">
      <text>
        <r>
          <rPr>
            <b/>
            <sz val="9"/>
            <color indexed="81"/>
            <rFont val="Tahoma"/>
            <family val="2"/>
          </rPr>
          <t>CAZZOLA Pierpaolo, ITF/QPA:</t>
        </r>
        <r>
          <rPr>
            <sz val="9"/>
            <color indexed="81"/>
            <rFont val="Tahoma"/>
            <family val="2"/>
          </rPr>
          <t xml:space="preserve">
Assuming 1.25 swappable batteries/scooter</t>
        </r>
      </text>
    </comment>
    <comment ref="Z34" authorId="0" shapeId="0" xr:uid="{00000000-0006-0000-0200-000004000000}">
      <text>
        <r>
          <rPr>
            <b/>
            <sz val="9"/>
            <color indexed="81"/>
            <rFont val="Tahoma"/>
            <family val="2"/>
          </rPr>
          <t>CAZZOLA Pierpaolo, ITF/QPA:</t>
        </r>
        <r>
          <rPr>
            <sz val="9"/>
            <color indexed="81"/>
            <rFont val="Tahoma"/>
            <family val="2"/>
          </rPr>
          <t xml:space="preserve">
Assuming 1.25 swappable batteries/scooter</t>
        </r>
      </text>
    </comment>
    <comment ref="AA34" authorId="0" shapeId="0" xr:uid="{00000000-0006-0000-0200-000005000000}">
      <text>
        <r>
          <rPr>
            <b/>
            <sz val="9"/>
            <color indexed="81"/>
            <rFont val="Tahoma"/>
            <family val="2"/>
          </rPr>
          <t>CAZZOLA Pierpaolo, ITF/QPA:</t>
        </r>
        <r>
          <rPr>
            <sz val="9"/>
            <color indexed="81"/>
            <rFont val="Tahoma"/>
            <family val="2"/>
          </rPr>
          <t xml:space="preserve">
Assuming 1.25 swappable batteries/scooter</t>
        </r>
      </text>
    </comment>
    <comment ref="AB34" authorId="0" shapeId="0" xr:uid="{00000000-0006-0000-0200-000006000000}">
      <text>
        <r>
          <rPr>
            <b/>
            <sz val="9"/>
            <color indexed="81"/>
            <rFont val="Tahoma"/>
            <family val="2"/>
          </rPr>
          <t>CAZZOLA Pierpaolo, ITF/QPA:</t>
        </r>
        <r>
          <rPr>
            <sz val="9"/>
            <color indexed="81"/>
            <rFont val="Tahoma"/>
            <family val="2"/>
          </rPr>
          <t xml:space="preserve">
Assuming 1.25 swappable batteries/scooter</t>
        </r>
      </text>
    </comment>
    <comment ref="AC34" authorId="0" shapeId="0" xr:uid="{00000000-0006-0000-0200-000007000000}">
      <text>
        <r>
          <rPr>
            <b/>
            <sz val="9"/>
            <color indexed="81"/>
            <rFont val="Tahoma"/>
            <family val="2"/>
          </rPr>
          <t>CAZZOLA Pierpaolo, ITF/QPA:</t>
        </r>
        <r>
          <rPr>
            <sz val="9"/>
            <color indexed="81"/>
            <rFont val="Tahoma"/>
            <family val="2"/>
          </rPr>
          <t xml:space="preserve">
Assuming 1.25 swappable batteries/scooter</t>
        </r>
      </text>
    </comment>
    <comment ref="AD34" authorId="0" shapeId="0" xr:uid="{00000000-0006-0000-0200-000008000000}">
      <text>
        <r>
          <rPr>
            <b/>
            <sz val="9"/>
            <color indexed="81"/>
            <rFont val="Tahoma"/>
            <family val="2"/>
          </rPr>
          <t>CAZZOLA Pierpaolo, ITF/QPA:</t>
        </r>
        <r>
          <rPr>
            <sz val="9"/>
            <color indexed="81"/>
            <rFont val="Tahoma"/>
            <family val="2"/>
          </rPr>
          <t xml:space="preserve">
Assuming 1.25 swappable batteries/scooter</t>
        </r>
      </text>
    </comment>
    <comment ref="AE34" authorId="0" shapeId="0" xr:uid="{00000000-0006-0000-0200-000009000000}">
      <text>
        <r>
          <rPr>
            <b/>
            <sz val="9"/>
            <color indexed="81"/>
            <rFont val="Tahoma"/>
            <family val="2"/>
          </rPr>
          <t>CAZZOLA Pierpaolo, ITF/QPA:</t>
        </r>
        <r>
          <rPr>
            <sz val="9"/>
            <color indexed="81"/>
            <rFont val="Tahoma"/>
            <family val="2"/>
          </rPr>
          <t xml:space="preserve">
Assuming 1.25 swappable batteries/scooter</t>
        </r>
      </text>
    </comment>
    <comment ref="AJ34" authorId="0" shapeId="0" xr:uid="{00000000-0006-0000-0200-00000A000000}">
      <text>
        <r>
          <rPr>
            <b/>
            <sz val="9"/>
            <color indexed="81"/>
            <rFont val="Tahoma"/>
            <family val="2"/>
          </rPr>
          <t>CAZZOLA Pierpaolo, ITF/QPA:</t>
        </r>
        <r>
          <rPr>
            <sz val="9"/>
            <color indexed="81"/>
            <rFont val="Tahoma"/>
            <family val="2"/>
          </rPr>
          <t xml:space="preserve">
Assuming 1.25 swappable batteries/scooter</t>
        </r>
      </text>
    </comment>
    <comment ref="AN34" authorId="0" shapeId="0" xr:uid="{00000000-0006-0000-0200-00000B000000}">
      <text>
        <r>
          <rPr>
            <b/>
            <sz val="9"/>
            <color indexed="81"/>
            <rFont val="Tahoma"/>
            <family val="2"/>
          </rPr>
          <t>CAZZOLA Pierpaolo, ITF/QPA:</t>
        </r>
        <r>
          <rPr>
            <sz val="9"/>
            <color indexed="81"/>
            <rFont val="Tahoma"/>
            <family val="2"/>
          </rPr>
          <t xml:space="preserve">
Assuming 1.25 swappable batteries/scooter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CAZZOLA Pierpaolo</author>
  </authors>
  <commentList>
    <comment ref="DM3" authorId="0" shapeId="0" xr:uid="{00000000-0006-0000-0400-000001000000}">
      <text>
        <r>
          <rPr>
            <b/>
            <sz val="9"/>
            <color indexed="81"/>
            <rFont val="Tahoma"/>
            <family val="2"/>
          </rPr>
          <t>CAZZOLA Pierpaolo, ITF/QPA:</t>
        </r>
        <r>
          <rPr>
            <sz val="9"/>
            <color indexed="81"/>
            <rFont val="Tahoma"/>
            <family val="2"/>
          </rPr>
          <t xml:space="preserve">
Assuming 10% lower energy use per km due to smoother traffic.</t>
        </r>
      </text>
    </comment>
    <comment ref="BK6" authorId="1" shapeId="0" xr:uid="{00000000-0006-0000-0400-000002000000}">
      <text>
        <r>
          <rPr>
            <b/>
            <sz val="9"/>
            <color indexed="81"/>
            <rFont val="Tahoma"/>
            <family val="2"/>
          </rPr>
          <t>CAZZOLA Pierpaolo:</t>
        </r>
        <r>
          <rPr>
            <sz val="9"/>
            <color indexed="81"/>
            <rFont val="Tahoma"/>
            <family val="2"/>
          </rPr>
          <t xml:space="preserve">
Maximum daily range alloowed by battery capacity
5 --&gt; days/week
48 --&gt; weeks/year</t>
        </r>
      </text>
    </comment>
    <comment ref="CJ6" authorId="1" shapeId="0" xr:uid="{00000000-0006-0000-0400-000003000000}">
      <text>
        <r>
          <rPr>
            <b/>
            <sz val="9"/>
            <color indexed="81"/>
            <rFont val="Tahoma"/>
            <family val="2"/>
          </rPr>
          <t>CAZZOLA Pierpaolo:</t>
        </r>
        <r>
          <rPr>
            <sz val="9"/>
            <color indexed="81"/>
            <rFont val="Tahoma"/>
            <family val="2"/>
          </rPr>
          <t xml:space="preserve">
Maximum daily range alloowed by battery capacity
5 --&gt; days/week
48 --&gt; weeks/year</t>
        </r>
      </text>
    </comment>
    <comment ref="CU6" authorId="1" shapeId="0" xr:uid="{00000000-0006-0000-0400-000004000000}">
      <text>
        <r>
          <rPr>
            <b/>
            <sz val="9"/>
            <color indexed="81"/>
            <rFont val="Tahoma"/>
            <family val="2"/>
          </rPr>
          <t>CAZZOLA Pierpaolo:</t>
        </r>
        <r>
          <rPr>
            <sz val="9"/>
            <color indexed="81"/>
            <rFont val="Tahoma"/>
            <family val="2"/>
          </rPr>
          <t xml:space="preserve">
Maximum daily range alloowed by battery capacity
5 --&gt; days/week
48 --&gt; weeks/year</t>
        </r>
      </text>
    </comment>
    <comment ref="DA6" authorId="1" shapeId="0" xr:uid="{00000000-0006-0000-0400-000005000000}">
      <text>
        <r>
          <rPr>
            <b/>
            <sz val="9"/>
            <color indexed="81"/>
            <rFont val="Tahoma"/>
            <family val="2"/>
          </rPr>
          <t>CAZZOLA Pierpaolo:</t>
        </r>
        <r>
          <rPr>
            <sz val="9"/>
            <color indexed="81"/>
            <rFont val="Tahoma"/>
            <family val="2"/>
          </rPr>
          <t xml:space="preserve">
Maximum daily range alloowed by battery capacity
5 --&gt; days/week
48 --&gt; weeks/year</t>
        </r>
      </text>
    </comment>
    <comment ref="DG6" authorId="1" shapeId="0" xr:uid="{00000000-0006-0000-0400-000006000000}">
      <text>
        <r>
          <rPr>
            <b/>
            <sz val="9"/>
            <color indexed="81"/>
            <rFont val="Tahoma"/>
            <family val="2"/>
          </rPr>
          <t>CAZZOLA Pierpaolo:</t>
        </r>
        <r>
          <rPr>
            <sz val="9"/>
            <color indexed="81"/>
            <rFont val="Tahoma"/>
            <family val="2"/>
          </rPr>
          <t xml:space="preserve">
Maximum daily range alloowed by battery capacity
6 --&gt; days/week
50 --&gt; weeks/year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s>
  <commentList>
    <comment ref="D69" authorId="0" shapeId="0" xr:uid="{00000000-0006-0000-0600-00000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E69" authorId="0" shapeId="0" xr:uid="{00000000-0006-0000-0600-00000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F69" authorId="0" shapeId="0" xr:uid="{00000000-0006-0000-0600-00000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G69" authorId="0" shapeId="0" xr:uid="{00000000-0006-0000-0600-00000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H69" authorId="0" shapeId="0" xr:uid="{00000000-0006-0000-0600-00000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I69" authorId="0" shapeId="0" xr:uid="{00000000-0006-0000-0600-00000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J69" authorId="0" shapeId="0" xr:uid="{00000000-0006-0000-0600-00000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K69" authorId="0" shapeId="0" xr:uid="{00000000-0006-0000-0600-00000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L69" authorId="0" shapeId="0" xr:uid="{00000000-0006-0000-0600-00000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M69" authorId="0" shapeId="0" xr:uid="{00000000-0006-0000-0600-00000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N69" authorId="0" shapeId="0" xr:uid="{00000000-0006-0000-0600-00000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O69" authorId="0" shapeId="0" xr:uid="{00000000-0006-0000-0600-00000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P69" authorId="0" shapeId="0" xr:uid="{00000000-0006-0000-0600-00000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Q69" authorId="0" shapeId="0" xr:uid="{00000000-0006-0000-0600-00000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R69" authorId="0" shapeId="0" xr:uid="{00000000-0006-0000-0600-00000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S69" authorId="0" shapeId="0" xr:uid="{00000000-0006-0000-0600-00001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T69" authorId="0" shapeId="0" xr:uid="{00000000-0006-0000-0600-00001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U69" authorId="0" shapeId="0" xr:uid="{00000000-0006-0000-0600-00001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V69" authorId="0" shapeId="0" xr:uid="{00000000-0006-0000-0600-00001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W69" authorId="0" shapeId="0" xr:uid="{00000000-0006-0000-0600-00001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X69" authorId="0" shapeId="0" xr:uid="{00000000-0006-0000-0600-00001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Y69" authorId="0" shapeId="0" xr:uid="{00000000-0006-0000-0600-00001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Z69" authorId="0" shapeId="0" xr:uid="{00000000-0006-0000-0600-00001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A69" authorId="0" shapeId="0" xr:uid="{00000000-0006-0000-0600-00001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B69" authorId="0" shapeId="0" xr:uid="{00000000-0006-0000-0600-00001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C69" authorId="0" shapeId="0" xr:uid="{00000000-0006-0000-0600-00001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D69" authorId="0" shapeId="0" xr:uid="{00000000-0006-0000-0600-00001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E69" authorId="0" shapeId="0" xr:uid="{00000000-0006-0000-0600-00001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F69" authorId="0" shapeId="0" xr:uid="{00000000-0006-0000-0600-00001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G69" authorId="0" shapeId="0" xr:uid="{00000000-0006-0000-0600-00001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H69" authorId="0" shapeId="0" xr:uid="{00000000-0006-0000-0600-00001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I69" authorId="0" shapeId="0" xr:uid="{00000000-0006-0000-0600-00002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J69" authorId="0" shapeId="0" xr:uid="{00000000-0006-0000-0600-00002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K69" authorId="0" shapeId="0" xr:uid="{00000000-0006-0000-0600-00002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L69" authorId="0" shapeId="0" xr:uid="{00000000-0006-0000-0600-00002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M69" authorId="0" shapeId="0" xr:uid="{00000000-0006-0000-0600-00002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N69" authorId="0" shapeId="0" xr:uid="{00000000-0006-0000-0600-00002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O69" authorId="0" shapeId="0" xr:uid="{00000000-0006-0000-0600-00002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P69" authorId="0" shapeId="0" xr:uid="{00000000-0006-0000-0600-00002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Q69" authorId="0" shapeId="0" xr:uid="{00000000-0006-0000-0600-00002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R69" authorId="0" shapeId="0" xr:uid="{00000000-0006-0000-0600-00002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S69" authorId="0" shapeId="0" xr:uid="{00000000-0006-0000-0600-00002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T69" authorId="0" shapeId="0" xr:uid="{00000000-0006-0000-0600-00002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U69" authorId="0" shapeId="0" xr:uid="{00000000-0006-0000-0600-00002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V69" authorId="0" shapeId="0" xr:uid="{00000000-0006-0000-0600-00002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W69" authorId="0" shapeId="0" xr:uid="{00000000-0006-0000-0600-00002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X69" authorId="0" shapeId="0" xr:uid="{00000000-0006-0000-0600-00002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Y69" authorId="0" shapeId="0" xr:uid="{00000000-0006-0000-0600-00003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Z69" authorId="0" shapeId="0" xr:uid="{00000000-0006-0000-0600-00003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A69" authorId="0" shapeId="0" xr:uid="{00000000-0006-0000-0600-00003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B69" authorId="0" shapeId="0" xr:uid="{00000000-0006-0000-0600-00003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C69" authorId="0" shapeId="0" xr:uid="{00000000-0006-0000-0600-00003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D69" authorId="0" shapeId="0" xr:uid="{00000000-0006-0000-0600-00003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E69" authorId="0" shapeId="0" xr:uid="{00000000-0006-0000-0600-00003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F69" authorId="0" shapeId="0" xr:uid="{00000000-0006-0000-0600-00003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G69" authorId="0" shapeId="0" xr:uid="{00000000-0006-0000-0600-00003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H69" authorId="0" shapeId="0" xr:uid="{00000000-0006-0000-0600-00003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I69" authorId="0" shapeId="0" xr:uid="{00000000-0006-0000-0600-00003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J69" authorId="0" shapeId="0" xr:uid="{00000000-0006-0000-0600-00003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K69" authorId="0" shapeId="0" xr:uid="{00000000-0006-0000-0600-00003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L69" authorId="0" shapeId="0" xr:uid="{00000000-0006-0000-0600-00003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M69" authorId="0" shapeId="0" xr:uid="{00000000-0006-0000-0600-00003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N69" authorId="0" shapeId="0" xr:uid="{00000000-0006-0000-0600-00003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O69" authorId="0" shapeId="0" xr:uid="{00000000-0006-0000-0600-00004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P69" authorId="0" shapeId="0" xr:uid="{00000000-0006-0000-0600-00004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Q69" authorId="0" shapeId="0" xr:uid="{00000000-0006-0000-0600-00004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R69" authorId="0" shapeId="0" xr:uid="{00000000-0006-0000-0600-00004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S69" authorId="0" shapeId="0" xr:uid="{00000000-0006-0000-0600-00004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T69" authorId="0" shapeId="0" xr:uid="{00000000-0006-0000-0600-00004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U69" authorId="0" shapeId="0" xr:uid="{00000000-0006-0000-0600-00004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V69" authorId="0" shapeId="0" xr:uid="{00000000-0006-0000-0600-00004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W69" authorId="0" shapeId="0" xr:uid="{00000000-0006-0000-0600-00004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X69" authorId="0" shapeId="0" xr:uid="{00000000-0006-0000-0600-00004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Y69" authorId="0" shapeId="0" xr:uid="{00000000-0006-0000-0600-00004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Z69" authorId="0" shapeId="0" xr:uid="{00000000-0006-0000-0600-00004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A69" authorId="0" shapeId="0" xr:uid="{00000000-0006-0000-0600-00004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B69" authorId="0" shapeId="0" xr:uid="{00000000-0006-0000-0600-00004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C69" authorId="0" shapeId="0" xr:uid="{00000000-0006-0000-0600-00004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D69" authorId="0" shapeId="0" xr:uid="{00000000-0006-0000-0600-00004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E69" authorId="0" shapeId="0" xr:uid="{00000000-0006-0000-0600-00005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F69" authorId="0" shapeId="0" xr:uid="{00000000-0006-0000-0600-00005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G69" authorId="0" shapeId="0" xr:uid="{00000000-0006-0000-0600-00005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H69" authorId="0" shapeId="0" xr:uid="{00000000-0006-0000-0600-00005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I69" authorId="0" shapeId="0" xr:uid="{00000000-0006-0000-0600-00005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J69" authorId="0" shapeId="0" xr:uid="{00000000-0006-0000-0600-00005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K69" authorId="0" shapeId="0" xr:uid="{00000000-0006-0000-0600-00005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L69" authorId="0" shapeId="0" xr:uid="{00000000-0006-0000-0600-00005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M69" authorId="0" shapeId="0" xr:uid="{00000000-0006-0000-0600-00005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N69" authorId="0" shapeId="0" xr:uid="{00000000-0006-0000-0600-00005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O69" authorId="0" shapeId="0" xr:uid="{00000000-0006-0000-0600-00005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P69" authorId="0" shapeId="0" xr:uid="{00000000-0006-0000-0600-00005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Q69" authorId="0" shapeId="0" xr:uid="{00000000-0006-0000-0600-00005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R69" authorId="0" shapeId="0" xr:uid="{00000000-0006-0000-0600-00005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S69" authorId="0" shapeId="0" xr:uid="{00000000-0006-0000-0600-00005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T69" authorId="0" shapeId="0" xr:uid="{00000000-0006-0000-0600-00005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U69" authorId="0" shapeId="0" xr:uid="{00000000-0006-0000-0600-00006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V69" authorId="0" shapeId="0" xr:uid="{00000000-0006-0000-0600-00006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W69" authorId="0" shapeId="0" xr:uid="{00000000-0006-0000-0600-00006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X69" authorId="0" shapeId="0" xr:uid="{00000000-0006-0000-0600-00006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Y69" authorId="0" shapeId="0" xr:uid="{00000000-0006-0000-0600-00006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Z69" authorId="0" shapeId="0" xr:uid="{00000000-0006-0000-0600-00006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A69" authorId="0" shapeId="0" xr:uid="{00000000-0006-0000-0600-00006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B69" authorId="0" shapeId="0" xr:uid="{00000000-0006-0000-0600-00006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C69" authorId="0" shapeId="0" xr:uid="{00000000-0006-0000-0600-00006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D69" authorId="0" shapeId="0" xr:uid="{00000000-0006-0000-0600-00006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E69" authorId="0" shapeId="0" xr:uid="{00000000-0006-0000-0600-00006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F69" authorId="0" shapeId="0" xr:uid="{00000000-0006-0000-0600-00006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H69" authorId="0" shapeId="0" xr:uid="{00000000-0006-0000-0600-00006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I69" authorId="0" shapeId="0" xr:uid="{00000000-0006-0000-0600-00006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J69" authorId="0" shapeId="0" xr:uid="{00000000-0006-0000-0600-00006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K69" authorId="0" shapeId="0" xr:uid="{00000000-0006-0000-0600-00006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L69" authorId="0" shapeId="0" xr:uid="{00000000-0006-0000-0600-00007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M69" authorId="0" shapeId="0" xr:uid="{00000000-0006-0000-0600-00007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N69" authorId="0" shapeId="0" xr:uid="{00000000-0006-0000-0600-00007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O69" authorId="0" shapeId="0" xr:uid="{00000000-0006-0000-0600-00007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P69" authorId="0" shapeId="0" xr:uid="{00000000-0006-0000-0600-00007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Q69" authorId="0" shapeId="0" xr:uid="{00000000-0006-0000-0600-00007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R69" authorId="0" shapeId="0" xr:uid="{00000000-0006-0000-0600-00007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S69" authorId="0" shapeId="0" xr:uid="{00000000-0006-0000-0600-00007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T69" authorId="0" shapeId="0" xr:uid="{00000000-0006-0000-0600-00007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U69" authorId="0" shapeId="0" xr:uid="{00000000-0006-0000-0600-00007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V69" authorId="0" shapeId="0" xr:uid="{00000000-0006-0000-0600-00007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W69" authorId="0" shapeId="0" xr:uid="{00000000-0006-0000-0600-00007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70" authorId="0" shapeId="0" xr:uid="{00000000-0006-0000-0600-00007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E70" authorId="0" shapeId="0" xr:uid="{00000000-0006-0000-0600-00007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F70" authorId="0" shapeId="0" xr:uid="{00000000-0006-0000-0600-00007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G70" authorId="0" shapeId="0" xr:uid="{00000000-0006-0000-0600-00007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H70" authorId="0" shapeId="0" xr:uid="{00000000-0006-0000-0600-00008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I70" authorId="0" shapeId="0" xr:uid="{00000000-0006-0000-0600-00008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J70" authorId="0" shapeId="0" xr:uid="{00000000-0006-0000-0600-00008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K70" authorId="0" shapeId="0" xr:uid="{00000000-0006-0000-0600-00008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L70" authorId="0" shapeId="0" xr:uid="{00000000-0006-0000-0600-00008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M70" authorId="0" shapeId="0" xr:uid="{00000000-0006-0000-0600-00008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N70" authorId="0" shapeId="0" xr:uid="{00000000-0006-0000-0600-00008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O70" authorId="0" shapeId="0" xr:uid="{00000000-0006-0000-0600-00008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P70" authorId="0" shapeId="0" xr:uid="{00000000-0006-0000-0600-00008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Q70" authorId="0" shapeId="0" xr:uid="{00000000-0006-0000-0600-00008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R70" authorId="0" shapeId="0" xr:uid="{00000000-0006-0000-0600-00008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S70" authorId="0" shapeId="0" xr:uid="{00000000-0006-0000-0600-00008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T70" authorId="0" shapeId="0" xr:uid="{00000000-0006-0000-0600-00008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U70" authorId="0" shapeId="0" xr:uid="{00000000-0006-0000-0600-00008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V70" authorId="0" shapeId="0" xr:uid="{00000000-0006-0000-0600-00008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W70" authorId="0" shapeId="0" xr:uid="{00000000-0006-0000-0600-00008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X70" authorId="0" shapeId="0" xr:uid="{00000000-0006-0000-0600-00009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Y70" authorId="0" shapeId="0" xr:uid="{00000000-0006-0000-0600-00009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Z70" authorId="0" shapeId="0" xr:uid="{00000000-0006-0000-0600-00009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A70" authorId="0" shapeId="0" xr:uid="{00000000-0006-0000-0600-00009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B70" authorId="0" shapeId="0" xr:uid="{00000000-0006-0000-0600-00009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C70" authorId="0" shapeId="0" xr:uid="{00000000-0006-0000-0600-00009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D70" authorId="0" shapeId="0" xr:uid="{00000000-0006-0000-0600-00009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E70" authorId="0" shapeId="0" xr:uid="{00000000-0006-0000-0600-00009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F70" authorId="0" shapeId="0" xr:uid="{00000000-0006-0000-0600-00009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G70" authorId="0" shapeId="0" xr:uid="{00000000-0006-0000-0600-00009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H70" authorId="0" shapeId="0" xr:uid="{00000000-0006-0000-0600-00009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I70" authorId="0" shapeId="0" xr:uid="{00000000-0006-0000-0600-00009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J70" authorId="0" shapeId="0" xr:uid="{00000000-0006-0000-0600-00009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K70" authorId="0" shapeId="0" xr:uid="{00000000-0006-0000-0600-00009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L70" authorId="0" shapeId="0" xr:uid="{00000000-0006-0000-0600-00009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M70" authorId="0" shapeId="0" xr:uid="{00000000-0006-0000-0600-00009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N70" authorId="0" shapeId="0" xr:uid="{00000000-0006-0000-0600-0000A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O70" authorId="0" shapeId="0" xr:uid="{00000000-0006-0000-0600-0000A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P70" authorId="0" shapeId="0" xr:uid="{00000000-0006-0000-0600-0000A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Q70" authorId="0" shapeId="0" xr:uid="{00000000-0006-0000-0600-0000A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R70" authorId="0" shapeId="0" xr:uid="{00000000-0006-0000-0600-0000A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S70" authorId="0" shapeId="0" xr:uid="{00000000-0006-0000-0600-0000A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T70" authorId="0" shapeId="0" xr:uid="{00000000-0006-0000-0600-0000A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U70" authorId="0" shapeId="0" xr:uid="{00000000-0006-0000-0600-0000A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V70" authorId="0" shapeId="0" xr:uid="{00000000-0006-0000-0600-0000A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W70" authorId="0" shapeId="0" xr:uid="{00000000-0006-0000-0600-0000A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X70" authorId="0" shapeId="0" xr:uid="{00000000-0006-0000-0600-0000A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Y70" authorId="0" shapeId="0" xr:uid="{00000000-0006-0000-0600-0000A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AZ70" authorId="0" shapeId="0" xr:uid="{00000000-0006-0000-0600-0000A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A70" authorId="0" shapeId="0" xr:uid="{00000000-0006-0000-0600-0000A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B70" authorId="0" shapeId="0" xr:uid="{00000000-0006-0000-0600-0000A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C70" authorId="0" shapeId="0" xr:uid="{00000000-0006-0000-0600-0000A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D70" authorId="0" shapeId="0" xr:uid="{00000000-0006-0000-0600-0000B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E70" authorId="0" shapeId="0" xr:uid="{00000000-0006-0000-0600-0000B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F70" authorId="0" shapeId="0" xr:uid="{00000000-0006-0000-0600-0000B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G70" authorId="0" shapeId="0" xr:uid="{00000000-0006-0000-0600-0000B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H70" authorId="0" shapeId="0" xr:uid="{00000000-0006-0000-0600-0000B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I70" authorId="0" shapeId="0" xr:uid="{00000000-0006-0000-0600-0000B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J70" authorId="0" shapeId="0" xr:uid="{00000000-0006-0000-0600-0000B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K70" authorId="0" shapeId="0" xr:uid="{00000000-0006-0000-0600-0000B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L70" authorId="0" shapeId="0" xr:uid="{00000000-0006-0000-0600-0000B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M70" authorId="0" shapeId="0" xr:uid="{00000000-0006-0000-0600-0000B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N70" authorId="0" shapeId="0" xr:uid="{00000000-0006-0000-0600-0000B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O70" authorId="0" shapeId="0" xr:uid="{00000000-0006-0000-0600-0000B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P70" authorId="0" shapeId="0" xr:uid="{00000000-0006-0000-0600-0000B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Q70" authorId="0" shapeId="0" xr:uid="{00000000-0006-0000-0600-0000B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R70" authorId="0" shapeId="0" xr:uid="{00000000-0006-0000-0600-0000B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S70" authorId="0" shapeId="0" xr:uid="{00000000-0006-0000-0600-0000B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T70" authorId="0" shapeId="0" xr:uid="{00000000-0006-0000-0600-0000C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U70" authorId="0" shapeId="0" xr:uid="{00000000-0006-0000-0600-0000C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V70" authorId="0" shapeId="0" xr:uid="{00000000-0006-0000-0600-0000C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W70" authorId="0" shapeId="0" xr:uid="{00000000-0006-0000-0600-0000C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X70" authorId="0" shapeId="0" xr:uid="{00000000-0006-0000-0600-0000C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Y70" authorId="0" shapeId="0" xr:uid="{00000000-0006-0000-0600-0000C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BZ70" authorId="0" shapeId="0" xr:uid="{00000000-0006-0000-0600-0000C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A70" authorId="0" shapeId="0" xr:uid="{00000000-0006-0000-0600-0000C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B70" authorId="0" shapeId="0" xr:uid="{00000000-0006-0000-0600-0000C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C70" authorId="0" shapeId="0" xr:uid="{00000000-0006-0000-0600-0000C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D70" authorId="0" shapeId="0" xr:uid="{00000000-0006-0000-0600-0000C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E70" authorId="0" shapeId="0" xr:uid="{00000000-0006-0000-0600-0000C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F70" authorId="0" shapeId="0" xr:uid="{00000000-0006-0000-0600-0000C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G70" authorId="0" shapeId="0" xr:uid="{00000000-0006-0000-0600-0000C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H70" authorId="0" shapeId="0" xr:uid="{00000000-0006-0000-0600-0000C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I70" authorId="0" shapeId="0" xr:uid="{00000000-0006-0000-0600-0000C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J70" authorId="0" shapeId="0" xr:uid="{00000000-0006-0000-0600-0000D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K70" authorId="0" shapeId="0" xr:uid="{00000000-0006-0000-0600-0000D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L70" authorId="0" shapeId="0" xr:uid="{00000000-0006-0000-0600-0000D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M70" authorId="0" shapeId="0" xr:uid="{00000000-0006-0000-0600-0000D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N70" authorId="0" shapeId="0" xr:uid="{00000000-0006-0000-0600-0000D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O70" authorId="0" shapeId="0" xr:uid="{00000000-0006-0000-0600-0000D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P70" authorId="0" shapeId="0" xr:uid="{00000000-0006-0000-0600-0000D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Q70" authorId="0" shapeId="0" xr:uid="{00000000-0006-0000-0600-0000D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R70" authorId="0" shapeId="0" xr:uid="{00000000-0006-0000-0600-0000D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S70" authorId="0" shapeId="0" xr:uid="{00000000-0006-0000-0600-0000D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T70" authorId="0" shapeId="0" xr:uid="{00000000-0006-0000-0600-0000D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U70" authorId="0" shapeId="0" xr:uid="{00000000-0006-0000-0600-0000D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V70" authorId="0" shapeId="0" xr:uid="{00000000-0006-0000-0600-0000D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W70" authorId="0" shapeId="0" xr:uid="{00000000-0006-0000-0600-0000D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X70" authorId="0" shapeId="0" xr:uid="{00000000-0006-0000-0600-0000D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Y70" authorId="0" shapeId="0" xr:uid="{00000000-0006-0000-0600-0000D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CZ70" authorId="0" shapeId="0" xr:uid="{00000000-0006-0000-0600-0000E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A70" authorId="0" shapeId="0" xr:uid="{00000000-0006-0000-0600-0000E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B70" authorId="0" shapeId="0" xr:uid="{00000000-0006-0000-0600-0000E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C70" authorId="0" shapeId="0" xr:uid="{00000000-0006-0000-0600-0000E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D70" authorId="0" shapeId="0" xr:uid="{00000000-0006-0000-0600-0000E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E70" authorId="0" shapeId="0" xr:uid="{00000000-0006-0000-0600-0000E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F70" authorId="0" shapeId="0" xr:uid="{00000000-0006-0000-0600-0000E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H70" authorId="0" shapeId="0" xr:uid="{00000000-0006-0000-0600-0000E7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I70" authorId="0" shapeId="0" xr:uid="{00000000-0006-0000-0600-0000E8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J70" authorId="0" shapeId="0" xr:uid="{00000000-0006-0000-0600-0000E9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K70" authorId="0" shapeId="0" xr:uid="{00000000-0006-0000-0600-0000EA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L70" authorId="0" shapeId="0" xr:uid="{00000000-0006-0000-0600-0000EB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M70" authorId="0" shapeId="0" xr:uid="{00000000-0006-0000-0600-0000EC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N70" authorId="0" shapeId="0" xr:uid="{00000000-0006-0000-0600-0000ED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O70" authorId="0" shapeId="0" xr:uid="{00000000-0006-0000-0600-0000EE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P70" authorId="0" shapeId="0" xr:uid="{00000000-0006-0000-0600-0000EF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Q70" authorId="0" shapeId="0" xr:uid="{00000000-0006-0000-0600-0000F0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R70" authorId="0" shapeId="0" xr:uid="{00000000-0006-0000-0600-0000F1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S70" authorId="0" shapeId="0" xr:uid="{00000000-0006-0000-0600-0000F2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T70" authorId="0" shapeId="0" xr:uid="{00000000-0006-0000-0600-0000F3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U70" authorId="0" shapeId="0" xr:uid="{00000000-0006-0000-0600-0000F4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V70" authorId="0" shapeId="0" xr:uid="{00000000-0006-0000-0600-0000F5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 ref="DW70" authorId="0" shapeId="0" xr:uid="{00000000-0006-0000-0600-0000F6000000}">
      <text>
        <r>
          <rPr>
            <b/>
            <sz val="9"/>
            <color indexed="81"/>
            <rFont val="Tahoma"/>
            <family val="2"/>
          </rPr>
          <t>CAZZOLA Pierpaolo, ITF/QPA:</t>
        </r>
        <r>
          <rPr>
            <sz val="9"/>
            <color indexed="81"/>
            <rFont val="Tahoma"/>
            <family val="2"/>
          </rPr>
          <t xml:space="preserve">
Corrected to give greater relevance ot maintenance for heavy vehicles (see recommendations from Anne De Bortoli).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CAZZOLA Pierpaolo</author>
  </authors>
  <commentList>
    <comment ref="C35" authorId="0" shapeId="0" xr:uid="{00000000-0006-0000-0700-000001000000}">
      <text>
        <r>
          <rPr>
            <b/>
            <sz val="9"/>
            <color indexed="81"/>
            <rFont val="Tahoma"/>
            <family val="2"/>
          </rPr>
          <t>CAZZOLA Pierpaolo, ITF/QPA:</t>
        </r>
        <r>
          <rPr>
            <sz val="9"/>
            <color indexed="81"/>
            <rFont val="Tahoma"/>
            <family val="2"/>
          </rPr>
          <t xml:space="preserve">
.66 residual battery charge end of day</t>
        </r>
      </text>
    </comment>
    <comment ref="D65" authorId="1" shapeId="0" xr:uid="{00000000-0006-0000-0700-000002000000}">
      <text>
        <r>
          <rPr>
            <b/>
            <sz val="9"/>
            <color indexed="81"/>
            <rFont val="Tahoma"/>
            <charset val="1"/>
          </rPr>
          <t>CAZZOLA Pierpaolo:</t>
        </r>
        <r>
          <rPr>
            <sz val="9"/>
            <color indexed="81"/>
            <rFont val="Tahoma"/>
            <charset val="1"/>
          </rPr>
          <t xml:space="preserve">
Compares fairly well with average above.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s>
  <commentList>
    <comment ref="B29" authorId="0" shapeId="0" xr:uid="{00000000-0006-0000-0800-000001000000}">
      <text>
        <r>
          <rPr>
            <b/>
            <sz val="9"/>
            <color indexed="81"/>
            <rFont val="Tahoma"/>
            <charset val="1"/>
          </rPr>
          <t>CAZZOLA Pierpaolo, ITF/QPA:</t>
        </r>
        <r>
          <rPr>
            <sz val="9"/>
            <color indexed="81"/>
            <rFont val="Tahoma"/>
            <charset val="1"/>
          </rPr>
          <t xml:space="preserve">
Or 80</t>
        </r>
      </text>
    </comment>
    <comment ref="B50" authorId="0" shapeId="0" xr:uid="{00000000-0006-0000-0800-000002000000}">
      <text>
        <r>
          <rPr>
            <b/>
            <sz val="9"/>
            <color indexed="81"/>
            <rFont val="Tahoma"/>
            <charset val="1"/>
          </rPr>
          <t>CAZZOLA Pierpaolo, ITF/QPA:</t>
        </r>
        <r>
          <rPr>
            <sz val="9"/>
            <color indexed="81"/>
            <rFont val="Tahoma"/>
            <charset val="1"/>
          </rPr>
          <t xml:space="preserve">
+1 due to transport (0.5 days) and charge (0.5 days).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CAZZOLA Pierpaolo, ITF/QPA</author>
  </authors>
  <commentList>
    <comment ref="N27" authorId="0" shapeId="0" xr:uid="{00000000-0006-0000-0900-000001000000}">
      <text>
        <r>
          <rPr>
            <b/>
            <sz val="9"/>
            <color indexed="81"/>
            <rFont val="Tahoma"/>
            <family val="2"/>
          </rPr>
          <t>CAZZOLA Pierpaolo, ITF/QPA:</t>
        </r>
        <r>
          <rPr>
            <sz val="9"/>
            <color indexed="81"/>
            <rFont val="Tahoma"/>
            <family val="2"/>
          </rPr>
          <t xml:space="preserve">
CAZZOLA Pierpaolo, ITF/QPA:
JUMP bikes weight 32 kg (https://www.sfchronicle.com/business/networth/article/Electric-bike-share-rides-into-SF-jumping-ahead-11250951.php). This value matches it (and includes replacement tyres).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CAZZOLA Pierpaolo</author>
  </authors>
  <commentList>
    <comment ref="C11" authorId="0" shapeId="0" xr:uid="{00000000-0006-0000-0A00-000001000000}">
      <text>
        <r>
          <rPr>
            <b/>
            <sz val="9"/>
            <color indexed="81"/>
            <rFont val="Tahoma"/>
            <family val="2"/>
          </rPr>
          <t>CAZZOLA Pierpaolo:</t>
        </r>
        <r>
          <rPr>
            <sz val="9"/>
            <color indexed="81"/>
            <rFont val="Tahoma"/>
            <family val="2"/>
          </rPr>
          <t xml:space="preserve">
Zeroed (no lead acid battery).</t>
        </r>
      </text>
    </comment>
    <comment ref="C13" authorId="0" shapeId="0" xr:uid="{00000000-0006-0000-0A00-000002000000}">
      <text>
        <r>
          <rPr>
            <b/>
            <sz val="9"/>
            <color indexed="81"/>
            <rFont val="Tahoma"/>
            <family val="2"/>
          </rPr>
          <t>CAZZOLA Pierpaolo:</t>
        </r>
        <r>
          <rPr>
            <sz val="9"/>
            <color indexed="81"/>
            <rFont val="Tahoma"/>
            <family val="2"/>
          </rPr>
          <t xml:space="preserve">
Zeroed (no lead acid battery).</t>
        </r>
      </text>
    </comment>
    <comment ref="D30" authorId="0" shapeId="0" xr:uid="{00000000-0006-0000-0A00-000003000000}">
      <text>
        <r>
          <rPr>
            <b/>
            <sz val="9"/>
            <color indexed="81"/>
            <rFont val="Tahoma"/>
            <family val="2"/>
          </rPr>
          <t>CAZZOLA Pierpaolo:</t>
        </r>
        <r>
          <rPr>
            <sz val="9"/>
            <color indexed="81"/>
            <rFont val="Tahoma"/>
            <family val="2"/>
          </rPr>
          <t xml:space="preserve">
GEVO 2019: 0.03  to 0.04; Gogoro claims less (1.3 kWh battery, 100 km range, but this is in test conditions)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CAZZOLA Pierpaolo</author>
  </authors>
  <commentList>
    <comment ref="C8" authorId="0" shapeId="0" xr:uid="{00000000-0006-0000-0B00-000001000000}">
      <text>
        <r>
          <rPr>
            <b/>
            <sz val="9"/>
            <color indexed="81"/>
            <rFont val="Tahoma"/>
            <family val="2"/>
          </rPr>
          <t>CAZZOLA Pierpaolo:</t>
        </r>
        <r>
          <rPr>
            <sz val="9"/>
            <color indexed="81"/>
            <rFont val="Tahoma"/>
            <family val="2"/>
          </rPr>
          <t xml:space="preserve">
50% load factro, includes auxiliary system loads</t>
        </r>
      </text>
    </comment>
    <comment ref="C10" authorId="0" shapeId="0" xr:uid="{00000000-0006-0000-0B00-000002000000}">
      <text>
        <r>
          <rPr>
            <b/>
            <sz val="9"/>
            <color indexed="81"/>
            <rFont val="Tahoma"/>
            <family val="2"/>
          </rPr>
          <t>CAZZOLA Pierpaolo:</t>
        </r>
        <r>
          <rPr>
            <sz val="9"/>
            <color indexed="81"/>
            <rFont val="Tahoma"/>
            <family val="2"/>
          </rPr>
          <t xml:space="preserve">
Includes auxuilary loads and high occupancy (including 4 standing passengers/m2).</t>
        </r>
      </text>
    </comment>
    <comment ref="C11" authorId="0" shapeId="0" xr:uid="{00000000-0006-0000-0B00-000003000000}">
      <text>
        <r>
          <rPr>
            <b/>
            <sz val="9"/>
            <color indexed="81"/>
            <rFont val="Tahoma"/>
            <family val="2"/>
          </rPr>
          <t>CAZZOLA Pierpaolo:</t>
        </r>
        <r>
          <rPr>
            <sz val="9"/>
            <color indexed="81"/>
            <rFont val="Tahoma"/>
            <family val="2"/>
          </rPr>
          <t xml:space="preserve">
Includes auxuilary loads and high occupancy (including 4 standing passengers/m2).</t>
        </r>
      </text>
    </comment>
    <comment ref="C12" authorId="0" shapeId="0" xr:uid="{00000000-0006-0000-0B00-000004000000}">
      <text>
        <r>
          <rPr>
            <b/>
            <sz val="9"/>
            <color indexed="81"/>
            <rFont val="Tahoma"/>
            <family val="2"/>
          </rPr>
          <t xml:space="preserve">CAZZOLA Pierpaolo:
</t>
        </r>
        <r>
          <rPr>
            <sz val="9"/>
            <color indexed="81"/>
            <rFont val="Tahoma"/>
            <family val="2"/>
          </rPr>
          <t>Includes 208 passengers (81.25% capacity), excludes auxiliary loads (heating).</t>
        </r>
      </text>
    </comment>
    <comment ref="C14" authorId="0" shapeId="0" xr:uid="{00000000-0006-0000-0B00-000005000000}">
      <text>
        <r>
          <rPr>
            <b/>
            <sz val="9"/>
            <color indexed="81"/>
            <rFont val="Tahoma"/>
            <family val="2"/>
          </rPr>
          <t>CAZZOLA Pierpaolo:</t>
        </r>
        <r>
          <rPr>
            <sz val="9"/>
            <color indexed="81"/>
            <rFont val="Tahoma"/>
            <family val="2"/>
          </rPr>
          <t xml:space="preserve">
57% load factor</t>
        </r>
      </text>
    </comment>
    <comment ref="C15" authorId="0" shapeId="0" xr:uid="{00000000-0006-0000-0B00-000006000000}">
      <text>
        <r>
          <rPr>
            <b/>
            <sz val="9"/>
            <color indexed="81"/>
            <rFont val="Tahoma"/>
            <family val="2"/>
          </rPr>
          <t>CAZZOLA Pierpaolo:</t>
        </r>
        <r>
          <rPr>
            <sz val="9"/>
            <color indexed="81"/>
            <rFont val="Tahoma"/>
            <family val="2"/>
          </rPr>
          <t xml:space="preserve">
564 passengers
4 railcars</t>
        </r>
      </text>
    </comment>
  </commentList>
</comments>
</file>

<file path=xl/sharedStrings.xml><?xml version="1.0" encoding="utf-8"?>
<sst xmlns="http://schemas.openxmlformats.org/spreadsheetml/2006/main" count="3876" uniqueCount="1489">
  <si>
    <t>km</t>
  </si>
  <si>
    <t>km/mile</t>
  </si>
  <si>
    <t>kWh/km</t>
  </si>
  <si>
    <t>%</t>
  </si>
  <si>
    <t>Daily distance</t>
  </si>
  <si>
    <t>Assumption</t>
  </si>
  <si>
    <t>Range</t>
  </si>
  <si>
    <t>Min</t>
  </si>
  <si>
    <t>Max</t>
  </si>
  <si>
    <t>miles/day/e-scooter</t>
  </si>
  <si>
    <t>mile car travel/day/e-scooter</t>
  </si>
  <si>
    <t>km car travel/day/e-scooter</t>
  </si>
  <si>
    <t>Lifetime</t>
  </si>
  <si>
    <t>years</t>
  </si>
  <si>
    <t>Total</t>
  </si>
  <si>
    <t>Aluminium</t>
  </si>
  <si>
    <t>Steel</t>
  </si>
  <si>
    <t>kg</t>
  </si>
  <si>
    <t>Lithium battery (NMC 111)</t>
  </si>
  <si>
    <t>Tyres</t>
  </si>
  <si>
    <t>Other</t>
  </si>
  <si>
    <t>Electric motor</t>
  </si>
  <si>
    <t>Copper</t>
  </si>
  <si>
    <t>Distance</t>
  </si>
  <si>
    <t xml:space="preserve">   Ship</t>
  </si>
  <si>
    <t xml:space="preserve">   Total</t>
  </si>
  <si>
    <t>kWh/kg</t>
  </si>
  <si>
    <t>Battery characteristics</t>
  </si>
  <si>
    <t>Capacity</t>
  </si>
  <si>
    <t>Weight</t>
  </si>
  <si>
    <t>kWh</t>
  </si>
  <si>
    <t>Chester quoting Bird</t>
  </si>
  <si>
    <t>miles/trip</t>
  </si>
  <si>
    <t>trips/day/e-scooter</t>
  </si>
  <si>
    <t>e-scooters/car</t>
  </si>
  <si>
    <t>miles/day/car (round trip)</t>
  </si>
  <si>
    <t>&lt;&lt; 20: Bird's cap; 5 min due to competition</t>
  </si>
  <si>
    <t>&lt;&lt; Assumptions (no data)</t>
  </si>
  <si>
    <t>Energy consumption per km</t>
  </si>
  <si>
    <t>EPD (INNOVIA APM 300)</t>
  </si>
  <si>
    <t>EPD</t>
  </si>
  <si>
    <t>Environmental Product Declaration</t>
  </si>
  <si>
    <t>See</t>
  </si>
  <si>
    <t>https://www.environdec.com</t>
  </si>
  <si>
    <t>EPD (Regina Intercity X55 train)</t>
  </si>
  <si>
    <t>EPD (Metro Rome Line C)</t>
  </si>
  <si>
    <t>EPD (SPACIUM)</t>
  </si>
  <si>
    <t>Electricity consumption</t>
  </si>
  <si>
    <t>Empty weight</t>
  </si>
  <si>
    <t>Type of vehicle</t>
  </si>
  <si>
    <t>Intercity train</t>
  </si>
  <si>
    <t>Urban/suburban train</t>
  </si>
  <si>
    <t>Metro/Urbanm train</t>
  </si>
  <si>
    <t>Passengers</t>
  </si>
  <si>
    <t>EPD (Alstom DT5)</t>
  </si>
  <si>
    <t>Notes:</t>
  </si>
  <si>
    <t>Rail: per single wagon/railcar</t>
  </si>
  <si>
    <t>kWh/km/wagon</t>
  </si>
  <si>
    <t>Metro Oslo</t>
  </si>
  <si>
    <t>MJ/km/wagon</t>
  </si>
  <si>
    <t>wagons/train</t>
  </si>
  <si>
    <t>Vehicle weight</t>
  </si>
  <si>
    <t>Notes</t>
  </si>
  <si>
    <t>Includes packaging if relevant</t>
  </si>
  <si>
    <t>Vehicle</t>
  </si>
  <si>
    <t>E-scooter</t>
  </si>
  <si>
    <t>Bicycle</t>
  </si>
  <si>
    <t>Bus</t>
  </si>
  <si>
    <t xml:space="preserve">   Air</t>
  </si>
  <si>
    <t xml:space="preserve">   Train</t>
  </si>
  <si>
    <t>Electric</t>
  </si>
  <si>
    <t>Combustion</t>
  </si>
  <si>
    <t xml:space="preserve">   Medium truck</t>
  </si>
  <si>
    <t xml:space="preserve">   Heavy truck</t>
  </si>
  <si>
    <t xml:space="preserve">   Delivery van</t>
  </si>
  <si>
    <t>Delivery distance (by mode)</t>
  </si>
  <si>
    <t>Tkm for delivery</t>
  </si>
  <si>
    <t>Average load of delivery vehicle(s) (by mode)</t>
  </si>
  <si>
    <t>CO2 intensity of fuels</t>
  </si>
  <si>
    <t>[kg]</t>
  </si>
  <si>
    <t>[MJ/vkm]</t>
  </si>
  <si>
    <t>[tkm/vkm]</t>
  </si>
  <si>
    <t>Default:</t>
  </si>
  <si>
    <t>Global average</t>
  </si>
  <si>
    <t>Diesel properties</t>
  </si>
  <si>
    <t>[km/vehicle delivered]</t>
  </si>
  <si>
    <t>[tkm/vehicle delivered]</t>
  </si>
  <si>
    <t>Energy intensity of vehicle delivery</t>
  </si>
  <si>
    <t>Energy consumption for vehicle delivery</t>
  </si>
  <si>
    <t>CO2 emissons for vehicle delivery</t>
  </si>
  <si>
    <t>HFO properties</t>
  </si>
  <si>
    <t>Kerosene properties</t>
  </si>
  <si>
    <t>Note:</t>
  </si>
  <si>
    <t>WTW values because use of these vehicles for delivery is not the determinant for their production, but it does require fuel manufacturing (WTT) and use (TTW)</t>
  </si>
  <si>
    <t>Lge/100 km</t>
  </si>
  <si>
    <t>Use-phase values because use of these vehicles for delivery is not the determinant for their purchase, nor for the construction of transport network infrastructure.</t>
  </si>
  <si>
    <t>Canada</t>
  </si>
  <si>
    <t>Europe</t>
  </si>
  <si>
    <t>[MJ/tkm]</t>
  </si>
  <si>
    <t>IEA TCEP</t>
  </si>
  <si>
    <t>Hollingsworth et al., 2019</t>
  </si>
  <si>
    <t>kWh/100 km</t>
  </si>
  <si>
    <t>https://www.mi.com/global/mi-electric-scooter/specs/</t>
  </si>
  <si>
    <t>kWh/kg (GREET default, car)</t>
  </si>
  <si>
    <t>kg (approx)</t>
  </si>
  <si>
    <t>https://www.mi.com/global/mi-electric-scooter-pro/specs/</t>
  </si>
  <si>
    <t>lb</t>
  </si>
  <si>
    <t>Body, tyres and other</t>
  </si>
  <si>
    <t>Body</t>
  </si>
  <si>
    <t>litres/gallon</t>
  </si>
  <si>
    <t>MJ/Litre (gasoline)</t>
  </si>
  <si>
    <t>MJ/kWh</t>
  </si>
  <si>
    <t>Battery capacity</t>
  </si>
  <si>
    <t>miles</t>
  </si>
  <si>
    <t>Year</t>
  </si>
  <si>
    <t>km/year</t>
  </si>
  <si>
    <t>kg/lb</t>
  </si>
  <si>
    <t>Matt Chester</t>
  </si>
  <si>
    <t>[%]</t>
  </si>
  <si>
    <t>Weight % by material type (excluding batteries)</t>
  </si>
  <si>
    <t xml:space="preserve">   Plastics (polycarbonate)</t>
  </si>
  <si>
    <t xml:space="preserve">   Carbon fiber</t>
  </si>
  <si>
    <t>Excludes batteries for Evs</t>
  </si>
  <si>
    <t>Battery weight</t>
  </si>
  <si>
    <t>NMC111</t>
  </si>
  <si>
    <t>Energy intensity of material production</t>
  </si>
  <si>
    <t>[MJ/kg]</t>
  </si>
  <si>
    <t xml:space="preserve">   Virgin steel</t>
  </si>
  <si>
    <t xml:space="preserve">   Recycled steel</t>
  </si>
  <si>
    <t>Energy intensity of battery manufacturing</t>
  </si>
  <si>
    <t>[MJ/kWh of battery capacity]</t>
  </si>
  <si>
    <t>Battery technology (Li-ion)</t>
  </si>
  <si>
    <t xml:space="preserve">   Assembly</t>
  </si>
  <si>
    <t xml:space="preserve">   Disposal</t>
  </si>
  <si>
    <t xml:space="preserve">   Manufacturing</t>
  </si>
  <si>
    <t xml:space="preserve">   Stainless Steel</t>
  </si>
  <si>
    <t xml:space="preserve">   Cast Iron</t>
  </si>
  <si>
    <t xml:space="preserve">   Virgin Wrought Aluminum</t>
  </si>
  <si>
    <t xml:space="preserve">   Recycled Wrought Aluminum</t>
  </si>
  <si>
    <t xml:space="preserve">   Virgin Cast Aluminum</t>
  </si>
  <si>
    <t xml:space="preserve">   Recycled Cast Aluminum</t>
  </si>
  <si>
    <t xml:space="preserve">   Copper/Brass</t>
  </si>
  <si>
    <t xml:space="preserve">   Glass</t>
  </si>
  <si>
    <t xml:space="preserve">   Rubber</t>
  </si>
  <si>
    <t xml:space="preserve">   Others</t>
  </si>
  <si>
    <t>GHG emission intensity of material production</t>
  </si>
  <si>
    <t>GHG emission intensity of battery manufacturing</t>
  </si>
  <si>
    <t>E-bicycle</t>
  </si>
  <si>
    <t>GREET2</t>
  </si>
  <si>
    <t>Cast aluminium</t>
  </si>
  <si>
    <t>Total excluding battery</t>
  </si>
  <si>
    <t>Check</t>
  </si>
  <si>
    <t>Recycled material %</t>
  </si>
  <si>
    <t>MJ/Mbtu</t>
  </si>
  <si>
    <t>LMO</t>
  </si>
  <si>
    <t>LFP: hydrothermal</t>
  </si>
  <si>
    <t>LFP: solid state</t>
  </si>
  <si>
    <t>NMC622</t>
  </si>
  <si>
    <t>NMC811</t>
  </si>
  <si>
    <t>LMR-NMC:Gr</t>
  </si>
  <si>
    <t>LMR-NMC:Gr-SI</t>
  </si>
  <si>
    <t>NCA</t>
  </si>
  <si>
    <t>Battery replacement during vehicle life</t>
  </si>
  <si>
    <t xml:space="preserve">  Number of replacements</t>
  </si>
  <si>
    <t>[1]</t>
  </si>
  <si>
    <t>Chemistry</t>
  </si>
  <si>
    <t>[kWh/kg]</t>
  </si>
  <si>
    <t xml:space="preserve">   Selected chemistry</t>
  </si>
  <si>
    <t>Battery specifc energy</t>
  </si>
  <si>
    <t>[MJ/vehicle]</t>
  </si>
  <si>
    <t>Energy consumption for vehicle manufacturing, assembly and disposal</t>
  </si>
  <si>
    <t>[kWh]</t>
  </si>
  <si>
    <t>GHG emission consumption for battery manufacturing, assembly and disposal</t>
  </si>
  <si>
    <t>GHG emission consumption for vehicle manufacturing, assembly and disposal</t>
  </si>
  <si>
    <t>GHG emission consumption for vehicle and battery manufacturing, assembly and disposal</t>
  </si>
  <si>
    <t>Energy consumption for battery manufacturing, assembly and disposal</t>
  </si>
  <si>
    <t>Energy consumption for vehicle and battery manufacturing, assembly and disposal</t>
  </si>
  <si>
    <t>Weight of materials</t>
  </si>
  <si>
    <t>Plastic</t>
  </si>
  <si>
    <t>Lead</t>
  </si>
  <si>
    <t>Nickel</t>
  </si>
  <si>
    <t>Fluid</t>
  </si>
  <si>
    <t>Rubber</t>
  </si>
  <si>
    <t>Zinc</t>
  </si>
  <si>
    <t>Glass</t>
  </si>
  <si>
    <t>Wood</t>
  </si>
  <si>
    <t>Cherry et al., 2009</t>
  </si>
  <si>
    <t>Battery</t>
  </si>
  <si>
    <t>Motor</t>
  </si>
  <si>
    <t>ECF, 2011 - Quoting TNO</t>
  </si>
  <si>
    <t>km/day</t>
  </si>
  <si>
    <t>Al</t>
  </si>
  <si>
    <t>Tire replacement</t>
  </si>
  <si>
    <t>Period</t>
  </si>
  <si>
    <t>Frequency</t>
  </si>
  <si>
    <t>Usage</t>
  </si>
  <si>
    <t>Bike</t>
  </si>
  <si>
    <t>Commuter</t>
  </si>
  <si>
    <t>Shared</t>
  </si>
  <si>
    <t>E-bike</t>
  </si>
  <si>
    <t>Total without battery</t>
  </si>
  <si>
    <t>Energy consumption</t>
  </si>
  <si>
    <t>Electricity</t>
  </si>
  <si>
    <t>Days of commuter use</t>
  </si>
  <si>
    <t>Specific energy</t>
  </si>
  <si>
    <t>&lt;&lt; NMC111</t>
  </si>
  <si>
    <t>Mass</t>
  </si>
  <si>
    <t>Distance per trip</t>
  </si>
  <si>
    <t>Fishman et al., 2014</t>
  </si>
  <si>
    <t>Trips/day/bike</t>
  </si>
  <si>
    <t>Melbourne</t>
  </si>
  <si>
    <t>Brisbane</t>
  </si>
  <si>
    <t>Washington DC</t>
  </si>
  <si>
    <t>Minnesota</t>
  </si>
  <si>
    <t>London</t>
  </si>
  <si>
    <t>Lifetime distance</t>
  </si>
  <si>
    <t>Number of trips</t>
  </si>
  <si>
    <t>Battery replacement</t>
  </si>
  <si>
    <t>replacements/lifetime</t>
  </si>
  <si>
    <t>&lt;&lt; Charger</t>
  </si>
  <si>
    <t>Cherry et al., 2009 + assumptions</t>
  </si>
  <si>
    <t>Shared bike</t>
  </si>
  <si>
    <t>Shared e-bike</t>
  </si>
  <si>
    <t>Energy intensity of vehicle assembly and disposal</t>
  </si>
  <si>
    <t>Car manufacturing</t>
  </si>
  <si>
    <t>GHG emission intensity of vehicle assembly and disposal</t>
  </si>
  <si>
    <t>&lt;&lt; Assumption of energy and GHG intesity per kg (based on cars) may be an issue for large vehicles</t>
  </si>
  <si>
    <t xml:space="preserve">   Steel</t>
  </si>
  <si>
    <t xml:space="preserve">   Wrought Aluminum</t>
  </si>
  <si>
    <t xml:space="preserve">   Cast Aluminum</t>
  </si>
  <si>
    <t>ICE</t>
  </si>
  <si>
    <t>EV</t>
  </si>
  <si>
    <t>Car - ICE</t>
  </si>
  <si>
    <t>Car - HEV</t>
  </si>
  <si>
    <t>Car - BEV</t>
  </si>
  <si>
    <t>Car - PHEV</t>
  </si>
  <si>
    <t>Fluids technology</t>
  </si>
  <si>
    <t>Energy intensity of fluids</t>
  </si>
  <si>
    <t>GHG emission intensity of fluids</t>
  </si>
  <si>
    <t>Scooter</t>
  </si>
  <si>
    <t>Motorcycle</t>
  </si>
  <si>
    <t>Service life</t>
  </si>
  <si>
    <t>Years</t>
  </si>
  <si>
    <t>Chester, 2008</t>
  </si>
  <si>
    <t>Irizar, 2019 (coach)</t>
  </si>
  <si>
    <t>metals</t>
  </si>
  <si>
    <t>polymers</t>
  </si>
  <si>
    <t>elastomers</t>
  </si>
  <si>
    <t>glass</t>
  </si>
  <si>
    <t>fluids</t>
  </si>
  <si>
    <t>Coach</t>
  </si>
  <si>
    <t>Mileage</t>
  </si>
  <si>
    <t>powertrain</t>
  </si>
  <si>
    <t>ICE bus</t>
  </si>
  <si>
    <t>HEV bus</t>
  </si>
  <si>
    <t>BEV bus</t>
  </si>
  <si>
    <t>Bus without engine &amp; battery</t>
  </si>
  <si>
    <t>ICE powertrain</t>
  </si>
  <si>
    <t>The curb weight of the Solaris Urbino 12 LE lite hybrid is under 9 tonnes and its weight with passengers is 15 tonnes. </t>
  </si>
  <si>
    <t>Solaris, 2019</t>
  </si>
  <si>
    <t>UQM, 2019</t>
  </si>
  <si>
    <t>kW</t>
  </si>
  <si>
    <t>Bus - ICE</t>
  </si>
  <si>
    <t>Wrought aluminium</t>
  </si>
  <si>
    <t>Bus - HEV</t>
  </si>
  <si>
    <t>Bus - BEV</t>
  </si>
  <si>
    <t>BYD, 2019</t>
  </si>
  <si>
    <t>units</t>
  </si>
  <si>
    <t>Battery characteristics and energy consumtion</t>
  </si>
  <si>
    <t>Battery pack</t>
  </si>
  <si>
    <t>NordicEnergy</t>
  </si>
  <si>
    <t>light city traffic</t>
  </si>
  <si>
    <t>heavy city traffic</t>
  </si>
  <si>
    <t>heating (peak)</t>
  </si>
  <si>
    <t>Volvo</t>
  </si>
  <si>
    <t>Energy use/km</t>
  </si>
  <si>
    <t>L/100 km</t>
  </si>
  <si>
    <t>L diesel/100 km</t>
  </si>
  <si>
    <t>MJ/Litre (diesel)</t>
  </si>
  <si>
    <t>MJ/km</t>
  </si>
  <si>
    <t>Nylund</t>
  </si>
  <si>
    <t>(Braunschweig cycle, optimistic)</t>
  </si>
  <si>
    <t>Energy use (heating &amp; aircon)/km</t>
  </si>
  <si>
    <t>Energy use/km (incl. auxiliaries)</t>
  </si>
  <si>
    <t>&lt; Assumes 50% direct heat recovery at no incremental consumption and 50% aircon wiyh 20% engine effciency</t>
  </si>
  <si>
    <t>Metro/urban train</t>
  </si>
  <si>
    <t>EPD (Bombardier Azur)</t>
  </si>
  <si>
    <t>Metals</t>
  </si>
  <si>
    <t>Polymers</t>
  </si>
  <si>
    <t>Elastomers</t>
  </si>
  <si>
    <t>Fluids</t>
  </si>
  <si>
    <t>Modified organic natural materials</t>
  </si>
  <si>
    <t>Others</t>
  </si>
  <si>
    <t>Manufacturing</t>
  </si>
  <si>
    <t>Maintenance</t>
  </si>
  <si>
    <t>Materials</t>
  </si>
  <si>
    <t>Iron alloys</t>
  </si>
  <si>
    <t>Non ferrous metals</t>
  </si>
  <si>
    <t>Inorganic materials</t>
  </si>
  <si>
    <t>Plastics</t>
  </si>
  <si>
    <t>Other materials</t>
  </si>
  <si>
    <t>Organic substances</t>
  </si>
  <si>
    <t>Electronics</t>
  </si>
  <si>
    <t>Carbody</t>
  </si>
  <si>
    <t>Interior, windows and doord</t>
  </si>
  <si>
    <t>Bogies and running gears</t>
  </si>
  <si>
    <t>Propulsion and electric equipment</t>
  </si>
  <si>
    <t>Comfort systems</t>
  </si>
  <si>
    <t>Hitachi Caravaggio Train</t>
  </si>
  <si>
    <t>CAF Metro Helsinki</t>
  </si>
  <si>
    <t>BART</t>
  </si>
  <si>
    <t>Aluminium share in train materials</t>
  </si>
  <si>
    <t>Total, %</t>
  </si>
  <si>
    <t>GHG emissions of fluids</t>
  </si>
  <si>
    <t>Energy consumption for fluids</t>
  </si>
  <si>
    <t>[MJ/kg of vehicle]</t>
  </si>
  <si>
    <t>Total, % (no fluids)</t>
  </si>
  <si>
    <t>2W - ICE</t>
  </si>
  <si>
    <t>2W - EV</t>
  </si>
  <si>
    <t>Fuel consumption</t>
  </si>
  <si>
    <t>Honda scooter (50 cc</t>
  </si>
  <si>
    <t>Engine/motor weight</t>
  </si>
  <si>
    <t>g CO2/km</t>
  </si>
  <si>
    <t>&lt;&lt; small class (100-125 cc, from Honda)</t>
  </si>
  <si>
    <t>Engine effciency</t>
  </si>
  <si>
    <t>Gogoro</t>
  </si>
  <si>
    <t>Fuel use/km</t>
  </si>
  <si>
    <t>Electricty use/km</t>
  </si>
  <si>
    <t>Share of electric driving</t>
  </si>
  <si>
    <t>[Lge/100 km]</t>
  </si>
  <si>
    <t>[kWh/km]</t>
  </si>
  <si>
    <t>Well-to-tank</t>
  </si>
  <si>
    <t>[years]</t>
  </si>
  <si>
    <t>[km/year]</t>
  </si>
  <si>
    <t>Includes distribution and charging losses</t>
  </si>
  <si>
    <t>Energy consumption for vehicle use</t>
  </si>
  <si>
    <t>[g CO2 eq/kWh]</t>
  </si>
  <si>
    <t>[kg CO2 eq/Lge]</t>
  </si>
  <si>
    <t>GHG emission intensity of fuel</t>
  </si>
  <si>
    <t>GHG emission intensity of electricity</t>
  </si>
  <si>
    <t>GHG emissions for vehicle use</t>
  </si>
  <si>
    <t>[g CO2 eq/kg]</t>
  </si>
  <si>
    <t>[g CO2 eq/kWh of battery capacity]</t>
  </si>
  <si>
    <t>[g CO2 eq/vehicle]</t>
  </si>
  <si>
    <t>[g CO2 eq/MJ]</t>
  </si>
  <si>
    <t>Fuel type</t>
  </si>
  <si>
    <t>WTW</t>
  </si>
  <si>
    <t>TTW</t>
  </si>
  <si>
    <t>WTT</t>
  </si>
  <si>
    <t>Ethanol - Grain</t>
  </si>
  <si>
    <t>Ethanol - Sugar beet conventional process EU</t>
  </si>
  <si>
    <t>Ethanol - Sugar cane</t>
  </si>
  <si>
    <t>Ethanol - Enzymatic conversion of cellulose</t>
  </si>
  <si>
    <t>LPG</t>
  </si>
  <si>
    <t>Electrolyzer efficiency:</t>
  </si>
  <si>
    <t>Source: JRC, same as below</t>
  </si>
  <si>
    <t>g CO2/kWh</t>
  </si>
  <si>
    <t>EU average</t>
  </si>
  <si>
    <t>Source: IEA</t>
  </si>
  <si>
    <t>WTT emission factors calculated with JRC estimates</t>
  </si>
  <si>
    <t>Oil</t>
  </si>
  <si>
    <t>NG</t>
  </si>
  <si>
    <t>NG (CCS)</t>
  </si>
  <si>
    <t>coal</t>
  </si>
  <si>
    <t>coal (CCS)</t>
  </si>
  <si>
    <t>sugar beet</t>
  </si>
  <si>
    <t>sugar cane</t>
  </si>
  <si>
    <t>wheat</t>
  </si>
  <si>
    <t>rapeseed/sunflower</t>
  </si>
  <si>
    <t>palm</t>
  </si>
  <si>
    <t>soybean</t>
  </si>
  <si>
    <t>woody biomass</t>
  </si>
  <si>
    <t>Brazil (ktoe)</t>
  </si>
  <si>
    <t>MJ/Lge</t>
  </si>
  <si>
    <t>Road</t>
  </si>
  <si>
    <t>Bio-gasoline</t>
  </si>
  <si>
    <t>Gasoline</t>
  </si>
  <si>
    <t>Bio-diesel</t>
  </si>
  <si>
    <t>Diesel</t>
  </si>
  <si>
    <t>Diesel (CTL Fischer-Tropsch)</t>
  </si>
  <si>
    <t>Gasoline (GTL Fischer-Tropsch)</t>
  </si>
  <si>
    <t>Diesel (Oil)</t>
  </si>
  <si>
    <t>Gasoline (Oil)</t>
  </si>
  <si>
    <t>Diesel (GTL Fischer-Tropsch)</t>
  </si>
  <si>
    <t>Natural Gas (fossil, EU mix)</t>
  </si>
  <si>
    <t>Hydrogen (NG central plant)</t>
  </si>
  <si>
    <t>Hydrogen (electrolysis, renewable electricity)</t>
  </si>
  <si>
    <t>Hydrigen (gasification of wood)</t>
  </si>
  <si>
    <t>Biodiesel (rapeseed)</t>
  </si>
  <si>
    <t>Biodiesel (wood)</t>
  </si>
  <si>
    <t>[MJ/km]</t>
  </si>
  <si>
    <t>FCEV Fuel economy (lge/100km)</t>
  </si>
  <si>
    <t>Gasoline Hybrid Fuel economy (lge/100km)</t>
  </si>
  <si>
    <t>Gasoline ICE Fuel economy (lge/100km)</t>
  </si>
  <si>
    <t>PHEV Electric Fuel economy (kWh/100km)</t>
  </si>
  <si>
    <t>PHEV Electric Fuel economy (lge/100km)</t>
  </si>
  <si>
    <t>PHEV Battery capacity (kWh)</t>
  </si>
  <si>
    <t>PHEV Battery capacity - final assumption (kWh)</t>
  </si>
  <si>
    <t>PHEV Range (km)</t>
  </si>
  <si>
    <t>BEV Fuel economy (kWh/100km)</t>
  </si>
  <si>
    <t>BEV Fuel economy (lge/100km)</t>
  </si>
  <si>
    <t>BEV Battery capacity (kWh)</t>
  </si>
  <si>
    <t>BEV Battery capacity - final assumption (kWh)</t>
  </si>
  <si>
    <t>BEV Range (km)</t>
  </si>
  <si>
    <t>Weight - all powertrains (without battery) (kg)</t>
  </si>
  <si>
    <t>Power - all powertrains (kW)</t>
  </si>
  <si>
    <t>Large</t>
  </si>
  <si>
    <t>Medium</t>
  </si>
  <si>
    <t>Small</t>
  </si>
  <si>
    <t>Vehicle types</t>
  </si>
  <si>
    <t>rentals/day</t>
  </si>
  <si>
    <t>https://www.motoservices.com/media/attachments/global-scootersharing-market-report-2018.pdf</t>
  </si>
  <si>
    <t>mileage</t>
  </si>
  <si>
    <t>Shared moped - ICE</t>
  </si>
  <si>
    <t>[km/vehicle]</t>
  </si>
  <si>
    <t>[km/day]</t>
  </si>
  <si>
    <t>[type]</t>
  </si>
  <si>
    <t>Energy required by the service vehicle</t>
  </si>
  <si>
    <t>Energy needed for operational services</t>
  </si>
  <si>
    <t>Vehicle required to provide operational services</t>
  </si>
  <si>
    <t>Travel requirement for vehicle providing operational services</t>
  </si>
  <si>
    <t>GHG emissions needed for operational services</t>
  </si>
  <si>
    <t>[MJ/km of service vehicle use]</t>
  </si>
  <si>
    <t>[g CO2 eq/km of service vehicle use]</t>
  </si>
  <si>
    <t>Travel requirement ratio for vehicle providing operational services</t>
  </si>
  <si>
    <t>Vehicle travel</t>
  </si>
  <si>
    <t>[vehicles/service vehicle]</t>
  </si>
  <si>
    <t>Van - ICE</t>
  </si>
  <si>
    <t>Van - HEV</t>
  </si>
  <si>
    <t>Van - BEV</t>
  </si>
  <si>
    <t>Large car - ICE</t>
  </si>
  <si>
    <t>Large car - HEV</t>
  </si>
  <si>
    <t>Large car - BEV</t>
  </si>
  <si>
    <t>None</t>
  </si>
  <si>
    <t>Large car - PHEV</t>
  </si>
  <si>
    <t>Well-to-wheel because the use of the vehicle is not a determinant for its purchase</t>
  </si>
  <si>
    <t>GHG emissions of the service vehicle</t>
  </si>
  <si>
    <t>Fuel used</t>
  </si>
  <si>
    <t>Van - PHEV</t>
  </si>
  <si>
    <t>Electricty used</t>
  </si>
  <si>
    <t>YES</t>
  </si>
  <si>
    <t>[g CO2/km of service vehicle use]</t>
  </si>
  <si>
    <t>km/trip</t>
  </si>
  <si>
    <t>Item</t>
  </si>
  <si>
    <t>Concrete</t>
  </si>
  <si>
    <t>Metro</t>
  </si>
  <si>
    <t>Light</t>
  </si>
  <si>
    <t>Rail</t>
  </si>
  <si>
    <t>Parking</t>
  </si>
  <si>
    <t>Roads</t>
  </si>
  <si>
    <t>Switzerland</t>
  </si>
  <si>
    <t>Roads (general)</t>
  </si>
  <si>
    <t>USA</t>
  </si>
  <si>
    <t>Source</t>
  </si>
  <si>
    <t>Units</t>
  </si>
  <si>
    <t>Country</t>
  </si>
  <si>
    <t>India</t>
  </si>
  <si>
    <t>High Speed Rail</t>
  </si>
  <si>
    <t>kg/km</t>
  </si>
  <si>
    <t>tonnes per km CEMENT (assuming two way)</t>
  </si>
  <si>
    <t>t/km CEMENT</t>
  </si>
  <si>
    <t>China</t>
  </si>
  <si>
    <t>10^6 ft 3 per mile Concrete</t>
  </si>
  <si>
    <t>Light Rail</t>
  </si>
  <si>
    <t>cubic m</t>
  </si>
  <si>
    <t>ft3</t>
  </si>
  <si>
    <t>m3</t>
  </si>
  <si>
    <t>yd3</t>
  </si>
  <si>
    <t>t CEMENT per km two-lane highway (presumably two-lanes total)</t>
  </si>
  <si>
    <t>tonne concrete</t>
  </si>
  <si>
    <t>m3 concrete</t>
  </si>
  <si>
    <t>Ecoinvent, pg. 76, Table 5-93</t>
  </si>
  <si>
    <t>tonne per km concrete</t>
  </si>
  <si>
    <t>Pg. 5 of pdf, Table 1</t>
  </si>
  <si>
    <t>tonnes per km CEMENT *number of lanes unclear, assuming 4 lanes based on width of 12 m</t>
  </si>
  <si>
    <t>tonnes per km (one-way) CONCRETE</t>
  </si>
  <si>
    <t>mile</t>
  </si>
  <si>
    <t>Mg per Lane-km CEMENT (one way)</t>
  </si>
  <si>
    <t>Includes road, median, footpath, and service road; plus 6 (? Based on 10.5 m width) lanes of road</t>
  </si>
  <si>
    <t>Secondary Road</t>
  </si>
  <si>
    <t>Average for Quebec and Ontario Municipal Collectors (see Athena Outputs comarison, road type comparison tab). **Note: includes maintenance</t>
  </si>
  <si>
    <t>tonne</t>
  </si>
  <si>
    <t>ton</t>
  </si>
  <si>
    <t>Intensity-Average</t>
  </si>
  <si>
    <t>Average</t>
  </si>
  <si>
    <t>tonnes per km (one-way)</t>
  </si>
  <si>
    <t>t/km</t>
  </si>
  <si>
    <t>m</t>
  </si>
  <si>
    <t>10^6 lbs per mile</t>
  </si>
  <si>
    <t>tonnes per km (assuming two way)</t>
  </si>
  <si>
    <t>10^6 lbs per mile (assuming one way)</t>
  </si>
  <si>
    <t>ton per lane-mile</t>
  </si>
  <si>
    <t>Average for urban interstates in California and Illinois (see Athena Outputs comarison, road type comparison tab). **Note: includes maintenance</t>
  </si>
  <si>
    <t>Mg per Lane-km</t>
  </si>
  <si>
    <t>Asphalt</t>
  </si>
  <si>
    <t>Median</t>
  </si>
  <si>
    <t>Urban Light Rail Tramways</t>
  </si>
  <si>
    <t>Urban Metro and Automatic Metro</t>
  </si>
  <si>
    <t>Regional Metro and Suburban Trains</t>
  </si>
  <si>
    <t>Underground</t>
  </si>
  <si>
    <t>Elevated</t>
  </si>
  <si>
    <t>At grade</t>
  </si>
  <si>
    <t>Table 5, Pg. 22</t>
  </si>
  <si>
    <t>Survey of 30 cities from regions around the world. Estimate of % of transit systems at-grade, elevated, and underground</t>
  </si>
  <si>
    <t>http://tunnel.ita-aites.org/media/k2/attachments/public/Tust_Vol_19_1_3-28.pdf</t>
  </si>
  <si>
    <t>Metro At-grade, elevated, vs. Underground</t>
  </si>
  <si>
    <t>Private</t>
  </si>
  <si>
    <t>Structures (public parking garages/parkades/ramps)</t>
  </si>
  <si>
    <t>Surface (parking lots)</t>
  </si>
  <si>
    <t>On-street</t>
  </si>
  <si>
    <t>Average Scenarios 2 to 4</t>
  </si>
  <si>
    <t>Scenario 5</t>
  </si>
  <si>
    <t>Scenario 4</t>
  </si>
  <si>
    <t>Scenario 3</t>
  </si>
  <si>
    <t>Scenario 2</t>
  </si>
  <si>
    <t>Scenario 1</t>
  </si>
  <si>
    <t>Type</t>
  </si>
  <si>
    <t>Proportion</t>
  </si>
  <si>
    <t>Private (household driveways, etc.)</t>
  </si>
  <si>
    <t>m2/space</t>
  </si>
  <si>
    <t>#</t>
  </si>
  <si>
    <t>Size of Parking Spaces</t>
  </si>
  <si>
    <t>Spaces per Vehicle</t>
  </si>
  <si>
    <t>Number of Parking Spaces</t>
  </si>
  <si>
    <t>http://www.asphaltpavement.org/index.php?option=com_content&amp;view=article&amp;id=891&amp;Itemid=1068</t>
  </si>
  <si>
    <t>https://doi.org/10.1016/j.resconrec.2012.12.014</t>
  </si>
  <si>
    <t>http://www.athenasmi.org/wp-content/uploads/2012/01/Athena_Update_Report_LCA_PCCP_vs_HMA_Final_Document_Sept_2006.pdf</t>
  </si>
  <si>
    <t>https://doi.org/10.1111/jiec.12053</t>
  </si>
  <si>
    <t>https://doi.org/10.1016/j.resconrec.2017.08.024</t>
  </si>
  <si>
    <t>https://doi.org/10.1061/(ASCE)1076-0342(2005)11:1(9)</t>
  </si>
  <si>
    <t>http://dx.doi.org/10.3141/2170-03</t>
  </si>
  <si>
    <t>Average for urban interstates in California and Illinois and generaly US interstate and rural highways. Note: includes maintenance.</t>
  </si>
  <si>
    <t>Average for Quebec and Ontario Municipal Minor and Major Arterial roads. Note: includes maintenance</t>
  </si>
  <si>
    <t>https://escholarship.org/uc/item/7n29n303</t>
  </si>
  <si>
    <t>Inter-City</t>
  </si>
  <si>
    <t>Chicago Commuter Rail</t>
  </si>
  <si>
    <t>NYC Commuter Rail</t>
  </si>
  <si>
    <t>SF Caltrain</t>
  </si>
  <si>
    <t>LA Gold Light Rail</t>
  </si>
  <si>
    <t>SF Muni Light Rail</t>
  </si>
  <si>
    <t>SF BART</t>
  </si>
  <si>
    <t>Boston Green Line Light Rail</t>
  </si>
  <si>
    <t>NYC Subway</t>
  </si>
  <si>
    <t>Chicago Metro</t>
  </si>
  <si>
    <t>Category</t>
  </si>
  <si>
    <t>System Steel Intensity (kg/km)</t>
  </si>
  <si>
    <t>System Concrete Intensity (kg/km)</t>
  </si>
  <si>
    <t>Includes stations</t>
  </si>
  <si>
    <t>https://doi.org/10.1016/j.trd.2017.01.007</t>
  </si>
  <si>
    <t>https://doi.org/10.1016/j.resconrec.2016.03.007</t>
  </si>
  <si>
    <t>All surface level</t>
  </si>
  <si>
    <t>High speed heavy rail</t>
  </si>
  <si>
    <t>CAHSR</t>
  </si>
  <si>
    <t>Similar to Muni station profile, with many at-grad stations and some underground stations; also are 2 elevated stations</t>
  </si>
  <si>
    <t>Green Line</t>
  </si>
  <si>
    <t>Tracks are treated at-grade; ballast subbase on 50% of segments</t>
  </si>
  <si>
    <t>47 stations at grade, 9 underground</t>
  </si>
  <si>
    <t>Muni</t>
  </si>
  <si>
    <t>Heavy Rail</t>
  </si>
  <si>
    <t>Caltrain</t>
  </si>
  <si>
    <t>Steel (10^6 lbs)</t>
  </si>
  <si>
    <t>Concrete (10^6 ft 3)</t>
  </si>
  <si>
    <t>Steel (10^3 lbs)</t>
  </si>
  <si>
    <t>Miles of Track</t>
  </si>
  <si>
    <t>Total (per mile)</t>
  </si>
  <si>
    <t>For Track (includes track itself, power system, and substations</t>
  </si>
  <si>
    <t>For Stations</t>
  </si>
  <si>
    <t>pg. 135</t>
  </si>
  <si>
    <t>pg. 122</t>
  </si>
  <si>
    <t>Total Material Requirements</t>
  </si>
  <si>
    <t>Chester (2008)</t>
  </si>
  <si>
    <t>Chester, Horvath (various)</t>
  </si>
  <si>
    <t>http://planningcommission.gov.in/sectors/NTDPC/Study%20Reports/TERI/Study_Life%20Cycle%20Analysis%20of%20Transport%20Modes_Submitted%20to%20the%20Govt%20on%20Jan%204,%202013/LCA_Final%20Report%20Vol%20I.pdf</t>
  </si>
  <si>
    <t>Tunnel, includes stations</t>
  </si>
  <si>
    <t>https://pubs.usgs.gov/fs/2006/3127/2006-3127.pdf</t>
  </si>
  <si>
    <t>% cement in concrete</t>
  </si>
  <si>
    <t>Includes steel for construction of culverts, small bridges, kerb channels (steel reinforcement and structural steel)</t>
  </si>
  <si>
    <t>https://eapa.org/asphalt/</t>
  </si>
  <si>
    <t>% Asphalt</t>
  </si>
  <si>
    <t>https://doi.org/10.1016/j.landusepol.2009.03.002</t>
  </si>
  <si>
    <t>Gruen (1973) estimated that for every car there must be at least one parking space at the place of residence and three to four spaces elsewhere.</t>
  </si>
  <si>
    <t>https://doi.org/10.1016/S0965-8564(99)00007-5</t>
  </si>
  <si>
    <t>m2</t>
  </si>
  <si>
    <t>https://iopscience.iop.org/article/10.1088/1748-9326/5/3/034001/meta</t>
  </si>
  <si>
    <t>Back of the envelope thinking of European standards</t>
  </si>
  <si>
    <t>t/km of one-way lane or track</t>
  </si>
  <si>
    <t>On street</t>
  </si>
  <si>
    <t>Highway/Motorway</t>
  </si>
  <si>
    <t>% of asphalt vs. concrete roads &amp; parkings</t>
  </si>
  <si>
    <t>Parkings</t>
  </si>
  <si>
    <t xml:space="preserve"> </t>
  </si>
  <si>
    <t>https://www.sciencedirect.com/science/article/pii/S135223100901036X</t>
  </si>
  <si>
    <t>https://iopscience.iop.org/article/10.1088/1748-9326/4/2/024008/meta</t>
  </si>
  <si>
    <t>https://iopscience.iop.org/article/10.1088/1748-9326/5/1/014003/meta</t>
  </si>
  <si>
    <t>https://iopscience.iop.org/article/10.1088/1748-9326/8/1/015041/meta</t>
  </si>
  <si>
    <t>California HSR, paper has some specifications in the supplementary information</t>
  </si>
  <si>
    <t>https://escholarship.org/content/qt7n29n303/qt7n29n303.pdf</t>
  </si>
  <si>
    <t>Upper bound, includes stations</t>
  </si>
  <si>
    <t>Lowe\r bound, includes stations</t>
  </si>
  <si>
    <t>tonnes per km</t>
  </si>
  <si>
    <t>Pg. 5 of pdf, Table 1 - Number of lanes unclear, assuming 4 lanes based on width of 12 m</t>
  </si>
  <si>
    <t>2009-2013</t>
  </si>
  <si>
    <t>Parking structures</t>
  </si>
  <si>
    <t>Millions</t>
  </si>
  <si>
    <t>Source:</t>
  </si>
  <si>
    <t>Number of parking spaces (United States)</t>
  </si>
  <si>
    <t>Structure</t>
  </si>
  <si>
    <t>Parking garages/structures</t>
  </si>
  <si>
    <t>Citing TRB paper from 1991</t>
  </si>
  <si>
    <t>Cement structure</t>
  </si>
  <si>
    <t>Steel structure</t>
  </si>
  <si>
    <t>(t/space)</t>
  </si>
  <si>
    <t>cm</t>
  </si>
  <si>
    <t>Slab thickness</t>
  </si>
  <si>
    <t>(cm)</t>
  </si>
  <si>
    <t>Ratio cars/parking spaces</t>
  </si>
  <si>
    <t>Total cars</t>
  </si>
  <si>
    <t>https://www.sciencedirect.com/science/article/pii/S0886779803001044</t>
  </si>
  <si>
    <t>Urban</t>
  </si>
  <si>
    <t xml:space="preserve">Cement </t>
  </si>
  <si>
    <t>Material intensities</t>
  </si>
  <si>
    <t>Total lane km</t>
  </si>
  <si>
    <t>Ratio parking spaces/lane km</t>
  </si>
  <si>
    <t>Urban density of parking spaces</t>
  </si>
  <si>
    <t>Lane width</t>
  </si>
  <si>
    <t>Meters</t>
  </si>
  <si>
    <t>Parking width</t>
  </si>
  <si>
    <t>Parking length</t>
  </si>
  <si>
    <t>km/square km</t>
  </si>
  <si>
    <t>Streets with two lanes and parking on two sides</t>
  </si>
  <si>
    <t>Barcelona</t>
  </si>
  <si>
    <t>Parking density</t>
  </si>
  <si>
    <t>Major streets (no parking)</t>
  </si>
  <si>
    <t>parkings/square km</t>
  </si>
  <si>
    <t>parkings/lane km</t>
  </si>
  <si>
    <t>lane km/square km</t>
  </si>
  <si>
    <t>Road density</t>
  </si>
  <si>
    <t>Assumes 54 parkings/lane km, all only requiring on-street slab and asphalt, no accounting for steel structures, no additional road space to access parking</t>
  </si>
  <si>
    <t>Assumes all urban road are comparable in terms of material demand to secondary roads</t>
  </si>
  <si>
    <t>Using average of available sources idebtified below (mostlry surface)</t>
  </si>
  <si>
    <t>Using average of available sources idebtified below (mix of tunnels and elevated, includes stations)</t>
  </si>
  <si>
    <t>Unit conversions</t>
  </si>
  <si>
    <t>Used here</t>
  </si>
  <si>
    <t>https://iopscience.iop.org/1748-9326/5/3/034001/media/ERL353493LET_supp.pdf</t>
  </si>
  <si>
    <t>Assuming 1 m width and same amount pe one-way lane of parkings requiring only on-street slab and asphalt</t>
  </si>
  <si>
    <t>Bike lane</t>
  </si>
  <si>
    <t>Urban road</t>
  </si>
  <si>
    <t>Urban road including parking</t>
  </si>
  <si>
    <t>Bus lane</t>
  </si>
  <si>
    <t>Light rail track</t>
  </si>
  <si>
    <t>Metro track</t>
  </si>
  <si>
    <t>Assumed the same as urban road</t>
  </si>
  <si>
    <t>Frequency of use of infrastructure</t>
  </si>
  <si>
    <t>Buses/hour</t>
  </si>
  <si>
    <t>http://content.tfl.gov.uk/travel-in-london-report-11.pdf</t>
  </si>
  <si>
    <t>Average of high frequency services</t>
  </si>
  <si>
    <t>Average of low frequency services</t>
  </si>
  <si>
    <t>Frequency of buses</t>
  </si>
  <si>
    <t>Metro activity</t>
  </si>
  <si>
    <t>Train km (millions)/year</t>
  </si>
  <si>
    <t>https://madeby.tfl.gov.uk/2019/07/29/tube-trivia-and-facts/</t>
  </si>
  <si>
    <t>Assumes uniform use of available network</t>
  </si>
  <si>
    <t>Minutes</t>
  </si>
  <si>
    <t>Metro frequency</t>
  </si>
  <si>
    <t>Range is from 665 to 864</t>
  </si>
  <si>
    <t>Average waiting time (buses)</t>
  </si>
  <si>
    <t>Threshold between high and low frequency services; not clear on how many hours/day</t>
  </si>
  <si>
    <t>Passengers/train</t>
  </si>
  <si>
    <t>Metro passengers</t>
  </si>
  <si>
    <t>Passenger km (metro)</t>
  </si>
  <si>
    <t>Travel capacity of metro</t>
  </si>
  <si>
    <t>Average metro occupancy</t>
  </si>
  <si>
    <t>% of passenger km capacity</t>
  </si>
  <si>
    <t>pkm/train km</t>
  </si>
  <si>
    <t>Billion pkm/year</t>
  </si>
  <si>
    <t>Billion trips/year</t>
  </si>
  <si>
    <t>Passenger km (capacity, billions)/year</t>
  </si>
  <si>
    <t>Average amount of passengers transported in metros</t>
  </si>
  <si>
    <t>Train trips/year</t>
  </si>
  <si>
    <t>Train trips/day</t>
  </si>
  <si>
    <t>Train trips/hour</t>
  </si>
  <si>
    <t>Metro lines</t>
  </si>
  <si>
    <t>Assumed same as average of km/line</t>
  </si>
  <si>
    <t>Train trips/hour/line</t>
  </si>
  <si>
    <t>Metro: passenger trip length</t>
  </si>
  <si>
    <t>Value</t>
  </si>
  <si>
    <t>Bus activity</t>
  </si>
  <si>
    <t>Bus km (millions)/year</t>
  </si>
  <si>
    <t>Median is 8.2 miles</t>
  </si>
  <si>
    <t>https://www.whatdotheyknow.com/request/218189/response/539748/attach/3/09%2015062014%20sched%20mileage%20by%20route%20direction%20final.xls?cookie_passthrough=1</t>
  </si>
  <si>
    <t>Bus routes</t>
  </si>
  <si>
    <t>Total/2</t>
  </si>
  <si>
    <t>Avrage bus route length</t>
  </si>
  <si>
    <t>bus frequency</t>
  </si>
  <si>
    <t>Calculated</t>
  </si>
  <si>
    <t>minutes</t>
  </si>
  <si>
    <t>Bus operating hours</t>
  </si>
  <si>
    <t>hours/day</t>
  </si>
  <si>
    <t>Assumed</t>
  </si>
  <si>
    <t>Assumes uniform use of available network during operation</t>
  </si>
  <si>
    <t>Metro operating hours</t>
  </si>
  <si>
    <t>Travel capacity of bus</t>
  </si>
  <si>
    <t>bus passengers</t>
  </si>
  <si>
    <t>bus: passenger trip length</t>
  </si>
  <si>
    <t>Passenger km (bus)</t>
  </si>
  <si>
    <t>Average bus occupancy</t>
  </si>
  <si>
    <t>Average amount of passengers transported in buss</t>
  </si>
  <si>
    <t>http://content.tfl.gov.uk/understanding-and-managing-congestion-in-london.pdf</t>
  </si>
  <si>
    <t>Figure 2-8</t>
  </si>
  <si>
    <t>pkm/bus km</t>
  </si>
  <si>
    <t>Metro network length</t>
  </si>
  <si>
    <t>lane km</t>
  </si>
  <si>
    <t>track km</t>
  </si>
  <si>
    <t>Factor 2 for two tracks per line</t>
  </si>
  <si>
    <t>Average metro line length</t>
  </si>
  <si>
    <t>lane km/route</t>
  </si>
  <si>
    <t>track km/line</t>
  </si>
  <si>
    <t>Table 2.2: 6.2 million journeys/day</t>
  </si>
  <si>
    <t>Consistent with 3.7*365 million journeys fo Table 2.2 in http://content.tfl.gov.uk/travel-in-london-report-11.pdf</t>
  </si>
  <si>
    <t>Table 11</t>
  </si>
  <si>
    <t>Places/bus</t>
  </si>
  <si>
    <t>Place km/year</t>
  </si>
  <si>
    <t>Consistent with 68.8 in Table 10.1 in http://content.tfl.gov.uk/travel-in-london-report-11.pdf</t>
  </si>
  <si>
    <t>Bus speed</t>
  </si>
  <si>
    <t>km/h</t>
  </si>
  <si>
    <t>Bus trip time</t>
  </si>
  <si>
    <t>hours/trip</t>
  </si>
  <si>
    <t>Metro speed</t>
  </si>
  <si>
    <t>Metro trip time</t>
  </si>
  <si>
    <t>Table 10.3</t>
  </si>
  <si>
    <t>Pkm/year/km of network (thousand)</t>
  </si>
  <si>
    <t>Use of network by passengers</t>
  </si>
  <si>
    <t>Use of network by vehicles</t>
  </si>
  <si>
    <t>Average waiting time (metro)</t>
  </si>
  <si>
    <t>Buses</t>
  </si>
  <si>
    <t>Cars and roads</t>
  </si>
  <si>
    <t>Road network</t>
  </si>
  <si>
    <t>Year 2014</t>
  </si>
  <si>
    <t>Bus network length (net)</t>
  </si>
  <si>
    <t>Bus network length (gross)</t>
  </si>
  <si>
    <t>Routes per network km</t>
  </si>
  <si>
    <t>route km</t>
  </si>
  <si>
    <t>route km/lane km</t>
  </si>
  <si>
    <t>Share of dedicated lane km</t>
  </si>
  <si>
    <t>Motorways</t>
  </si>
  <si>
    <t>A roads</t>
  </si>
  <si>
    <t>Minor</t>
  </si>
  <si>
    <t>Assumed 3 lanes * 2 directions for motorway, 2 lanes * 2 directions for A roads and 1.5 lanes for minor roads (so 50% 1 lane and 2 directions, 50% 1 lane and one way)</t>
  </si>
  <si>
    <t>https://www.gov.uk/government/statistics/road-lengths-in-great-britain-2018</t>
  </si>
  <si>
    <t>https://roadtraffic.dft.gov.uk/regions/6</t>
  </si>
  <si>
    <t>Cars and taxis</t>
  </si>
  <si>
    <t>Billion vkm</t>
  </si>
  <si>
    <t>London region</t>
  </si>
  <si>
    <t>LCVs</t>
  </si>
  <si>
    <t>HGV</t>
  </si>
  <si>
    <t>Buses and coaches</t>
  </si>
  <si>
    <t>Consistent with https://www.london.gov.uk/sites/default/files/bus_network_report_final.pdf</t>
  </si>
  <si>
    <t>Superhighway and Quietway</t>
  </si>
  <si>
    <t>Assumes 2 directions per cycle path</t>
  </si>
  <si>
    <t>Cycling</t>
  </si>
  <si>
    <t>Train km/year/track km of network (thousand)</t>
  </si>
  <si>
    <t>Bus km/year/bus lane km (thousand)</t>
  </si>
  <si>
    <t>Use of dedicated network by vehicles</t>
  </si>
  <si>
    <t>Vkm/year/lane km of road network (thousand)</t>
  </si>
  <si>
    <t>Cycle lanes</t>
  </si>
  <si>
    <t>Cycle paths</t>
  </si>
  <si>
    <t>Cycling activity</t>
  </si>
  <si>
    <t>Cycling km/year/cycle lane km (thousand)</t>
  </si>
  <si>
    <t>Bus lane km (net)</t>
  </si>
  <si>
    <t>Net: physical km, excluding duplications in case of multipel bus routes per network km</t>
  </si>
  <si>
    <t>Gross: incuding duplications in case of multipel bus routes per network km</t>
  </si>
  <si>
    <t>This means that the rest is just imputable to cars and other vehicles, basically (roads would not be built for just cycles)</t>
  </si>
  <si>
    <t>33% of lines shared with 3 other buses, 33% with 1 more, 34% exclusive</t>
  </si>
  <si>
    <t>Use of road network by all road vehicles</t>
  </si>
  <si>
    <t>Cycles</t>
  </si>
  <si>
    <t>motorcycles and scooters</t>
  </si>
  <si>
    <t>complete bus route trips/year</t>
  </si>
  <si>
    <t>complete bus route trips/day</t>
  </si>
  <si>
    <t>complete bus route trips/hour</t>
  </si>
  <si>
    <t>complete bus route trips/hour/route</t>
  </si>
  <si>
    <t>Assumes at least</t>
  </si>
  <si>
    <t xml:space="preserve"> buses per km on dedicated lanes</t>
  </si>
  <si>
    <t>Metro: passenger capacity (per train)</t>
  </si>
  <si>
    <t>bus: passenger capacity (per vehicle)</t>
  </si>
  <si>
    <t>Motorbikes</t>
  </si>
  <si>
    <t>Cars</t>
  </si>
  <si>
    <t>Light rail</t>
  </si>
  <si>
    <t>Lifetime or relevant infrastructure</t>
  </si>
  <si>
    <t>Cycle activity on dedicated network</t>
  </si>
  <si>
    <t>…</t>
  </si>
  <si>
    <t>Vehicle category</t>
  </si>
  <si>
    <t>Infrastructure required</t>
  </si>
  <si>
    <t>Item 1</t>
  </si>
  <si>
    <t>Item 2</t>
  </si>
  <si>
    <t>% of vkm on Item 1 on</t>
  </si>
  <si>
    <t>Vehicle type</t>
  </si>
  <si>
    <t>Network type</t>
  </si>
  <si>
    <t>Infrastructure needed (1/2)</t>
  </si>
  <si>
    <t>Infrastructure needed (2/2)</t>
  </si>
  <si>
    <t>% of vkm on infrastructure 1</t>
  </si>
  <si>
    <t>% of vkm on infrastructure 2</t>
  </si>
  <si>
    <t>Shared cars</t>
  </si>
  <si>
    <t>Asphaltpavement</t>
  </si>
  <si>
    <t>Energy consumption for network manufacturing (materials)</t>
  </si>
  <si>
    <t>[t/km of one-way lane or track]</t>
  </si>
  <si>
    <t>[MJ/km of one-way lane or track]</t>
  </si>
  <si>
    <t xml:space="preserve">   Infrastructure 1</t>
  </si>
  <si>
    <t xml:space="preserve">   Infrastructure 2</t>
  </si>
  <si>
    <t>GHG emission intensity of material production (materials)</t>
  </si>
  <si>
    <t>% of energy imputable to materials</t>
  </si>
  <si>
    <t>% of GHG emissions imputable to materials</t>
  </si>
  <si>
    <t>Saxe et al (2017), citing Paris and de Silva, 2010</t>
  </si>
  <si>
    <t>% of "capital GHG emissions" imputable to materials (excludes operations)</t>
  </si>
  <si>
    <t>Rural road</t>
  </si>
  <si>
    <t>Trunzo et al. (2019)</t>
  </si>
  <si>
    <t>Rural road with 7.1 km open road, 0.3 km bridge and 1.1 tunnel</t>
  </si>
  <si>
    <t>From results in Figure on page 30</t>
  </si>
  <si>
    <t>Birgisdóttir, 2005</t>
  </si>
  <si>
    <t>[kg CO2/km of one-way lane or track]</t>
  </si>
  <si>
    <t>World Bank (2010)</t>
  </si>
  <si>
    <t>GHG emission intensity of network</t>
  </si>
  <si>
    <t>Energy intensity of network</t>
  </si>
  <si>
    <t>Infrastructure lifetime</t>
  </si>
  <si>
    <t>Annual use of infrastructure</t>
  </si>
  <si>
    <t>Absolute use of infrastructure (over full lifetime)</t>
  </si>
  <si>
    <t>Thousand vkm/year/one-way lane of track km</t>
  </si>
  <si>
    <t>Million vkm/one-way lane of track km</t>
  </si>
  <si>
    <t>Energy intensity of network (vehicle activity perspective)</t>
  </si>
  <si>
    <t>GHG emission intensity of network (vehicle activity perspective)</t>
  </si>
  <si>
    <t>[g CO2/vkm]</t>
  </si>
  <si>
    <t>&lt;&lt; Assumption of energy use and GHG intensity of fluids per vehicle (based on cars) may be an issue for large vehicles</t>
  </si>
  <si>
    <t>[g CO2 eq/kg of vehicle]</t>
  </si>
  <si>
    <t>Energy consumption for vehicle and battery manufacturing, assembly and disposal - Including fluids</t>
  </si>
  <si>
    <t>GHG emission consumption for vehicle and battery manufacturing, assembly and disposal - including fluids</t>
  </si>
  <si>
    <t xml:space="preserve"> Residual oil</t>
  </si>
  <si>
    <t xml:space="preserve"> Natural gas</t>
  </si>
  <si>
    <t xml:space="preserve"> Coal</t>
  </si>
  <si>
    <t xml:space="preserve"> Biomass</t>
  </si>
  <si>
    <t>Average number of passengers</t>
  </si>
  <si>
    <t>[pkm/vkm]</t>
  </si>
  <si>
    <t>Vehicle and battery manufacturing, assembly and disposal - Including fluids</t>
  </si>
  <si>
    <t>Vehicle delivery at point of purchase</t>
  </si>
  <si>
    <t>Vehicle use (including fuel production)</t>
  </si>
  <si>
    <t>[MJ/pkm]</t>
  </si>
  <si>
    <t>GHG emission intensity of electricity production</t>
  </si>
  <si>
    <t>[MJ/MJ]</t>
  </si>
  <si>
    <t>Energy intensity of electricity production</t>
  </si>
  <si>
    <t>Tank-to-wheel</t>
  </si>
  <si>
    <t>Well-to-wheel</t>
  </si>
  <si>
    <t>Excludes batteries for EVs</t>
  </si>
  <si>
    <t>Operational services</t>
  </si>
  <si>
    <t>Infrastructure network (from the vehicleperspective)</t>
  </si>
  <si>
    <t>Energy consumption per vkm</t>
  </si>
  <si>
    <t>Energy consumption per pkm</t>
  </si>
  <si>
    <t>Energy consumption per vehicle</t>
  </si>
  <si>
    <t>GHG emissions per vehicle</t>
  </si>
  <si>
    <t>GHG emissions per vkm</t>
  </si>
  <si>
    <t>GHG emissions per pkm</t>
  </si>
  <si>
    <t>Methanol</t>
  </si>
  <si>
    <t xml:space="preserve">Residual fuel oil (bunker fuel) </t>
  </si>
  <si>
    <t>Hydrotreated biodiesel</t>
  </si>
  <si>
    <t>Biodiesel (FAME)</t>
  </si>
  <si>
    <t>Ethanol</t>
  </si>
  <si>
    <t>Hydrogen</t>
  </si>
  <si>
    <t>Energy Content [MJ/kg], LHV</t>
  </si>
  <si>
    <t>Energy Content [MJ/l], LHV</t>
  </si>
  <si>
    <t>CO2 emissions per litre gasoline eq [kg/lge]</t>
  </si>
  <si>
    <t>Characteristics of fuels</t>
  </si>
  <si>
    <t>1 Lge</t>
  </si>
  <si>
    <t>MJ</t>
  </si>
  <si>
    <t>1 kWh =</t>
  </si>
  <si>
    <t>divided by L/100 km</t>
  </si>
  <si>
    <t xml:space="preserve">MPG = </t>
  </si>
  <si>
    <t>litres</t>
  </si>
  <si>
    <t>1 gallon =</t>
  </si>
  <si>
    <t>Megajoules (10^6 joules)</t>
  </si>
  <si>
    <t>1 litre ge =</t>
  </si>
  <si>
    <t>billion cubic m of natural gas</t>
  </si>
  <si>
    <t>Litres ge</t>
  </si>
  <si>
    <t>1 toe =</t>
  </si>
  <si>
    <t>GJ</t>
  </si>
  <si>
    <t>mboe/d</t>
  </si>
  <si>
    <t>joules</t>
  </si>
  <si>
    <t>1 Btu =</t>
  </si>
  <si>
    <t>TJ</t>
  </si>
  <si>
    <t>1 ktoe</t>
  </si>
  <si>
    <t>Billion lge</t>
  </si>
  <si>
    <t>Petajoule (10^15 joules)</t>
  </si>
  <si>
    <t xml:space="preserve">1 Mtoe = </t>
  </si>
  <si>
    <t>Mtoe</t>
  </si>
  <si>
    <t>EJ</t>
  </si>
  <si>
    <t>lbs</t>
  </si>
  <si>
    <t>1kg=</t>
  </si>
  <si>
    <t>Conversion factors</t>
  </si>
  <si>
    <t>Convert</t>
  </si>
  <si>
    <t>Honda</t>
  </si>
  <si>
    <t>kg CO2/Lge</t>
  </si>
  <si>
    <t>GASOLINE</t>
  </si>
  <si>
    <t>METHANE</t>
  </si>
  <si>
    <t>DIESEL</t>
  </si>
  <si>
    <t>DME</t>
  </si>
  <si>
    <t>HYDROGEN</t>
  </si>
  <si>
    <t>KEROSENE</t>
  </si>
  <si>
    <t>Energy intensity of fuel production</t>
  </si>
  <si>
    <t>IPCC</t>
  </si>
  <si>
    <t>Sub-bituminous coal</t>
  </si>
  <si>
    <t xml:space="preserve"> Nuclear</t>
  </si>
  <si>
    <t xml:space="preserve"> Other renewables (hydro, solar, wind)</t>
  </si>
  <si>
    <t>Electricity generation mix in the use phase (output)</t>
  </si>
  <si>
    <t>Assumed benchmarking resulting carbon intensity against IEA</t>
  </si>
  <si>
    <t>gCO2/kWh - IEA global average</t>
  </si>
  <si>
    <t>IEA global value, including losses</t>
  </si>
  <si>
    <t>See sources used (chosen from literature review) following the links</t>
  </si>
  <si>
    <t>&lt;&lt; North America by default</t>
  </si>
  <si>
    <t>Assumption &gt;&gt;</t>
  </si>
  <si>
    <t>Region</t>
  </si>
  <si>
    <t>United States</t>
  </si>
  <si>
    <t>France</t>
  </si>
  <si>
    <t>Brazil</t>
  </si>
  <si>
    <t>Germany</t>
  </si>
  <si>
    <t>Mexico</t>
  </si>
  <si>
    <t>Japan</t>
  </si>
  <si>
    <t>Italy</t>
  </si>
  <si>
    <t>Vehicle production region</t>
  </si>
  <si>
    <t>Available options</t>
  </si>
  <si>
    <t>Literature review</t>
  </si>
  <si>
    <t>Korea</t>
  </si>
  <si>
    <t>&lt;&lt; Assumption of energy and GHG intensity per kWh may be inappropriate: this is based on cars, per unit weight, and transposed to batteries per kWh using specific energy in formulas to the left</t>
  </si>
  <si>
    <t>Energy intensity of battery disposal</t>
  </si>
  <si>
    <t>[MWh/kg]</t>
  </si>
  <si>
    <t>GHG emission intensity of battery disposal</t>
  </si>
  <si>
    <t>Unitd Kingdom</t>
  </si>
  <si>
    <t>Residual oil</t>
  </si>
  <si>
    <t>Natural gas</t>
  </si>
  <si>
    <t>Coal</t>
  </si>
  <si>
    <t>Nuclear power</t>
  </si>
  <si>
    <t>Biomass</t>
  </si>
  <si>
    <t>Gas</t>
  </si>
  <si>
    <t>Nuclear</t>
  </si>
  <si>
    <t>Biofuels</t>
  </si>
  <si>
    <t>Waste</t>
  </si>
  <si>
    <t>Geothermal</t>
  </si>
  <si>
    <t>Solar PV</t>
  </si>
  <si>
    <t>Wind</t>
  </si>
  <si>
    <t>Hydro</t>
  </si>
  <si>
    <t>EU 28</t>
  </si>
  <si>
    <t>Solar thermal/Tide</t>
  </si>
  <si>
    <t>IEA</t>
  </si>
  <si>
    <t>Year 2016</t>
  </si>
  <si>
    <t>Electricity generation (GWh)</t>
  </si>
  <si>
    <t>Default</t>
  </si>
  <si>
    <t>With Al smelting mostly form coal</t>
  </si>
  <si>
    <t>World</t>
  </si>
  <si>
    <t>Global region of electricity use (in use phase of vehicle operations)</t>
  </si>
  <si>
    <t>Average number of vehicles serviced by a single service vehicle every day</t>
  </si>
  <si>
    <t>Vehicle (and battery) production</t>
  </si>
  <si>
    <t>Default: Al mostly from hydro (GREET2 default)</t>
  </si>
  <si>
    <t>Daily mileage</t>
  </si>
  <si>
    <t>Lifetime (vehicle)</t>
  </si>
  <si>
    <t>Lifetime (infrastructure)</t>
  </si>
  <si>
    <t>For information: change in '5_Infrastructure' sheet</t>
  </si>
  <si>
    <t>Shared e-scooter (Hollingsworth et al. 2019 simulation)</t>
  </si>
  <si>
    <r>
      <t>[</t>
    </r>
    <r>
      <rPr>
        <sz val="10"/>
        <color theme="1"/>
        <rFont val="Symbol"/>
        <family val="1"/>
        <charset val="2"/>
      </rPr>
      <t>D</t>
    </r>
    <r>
      <rPr>
        <sz val="10"/>
        <color theme="1"/>
        <rFont val="Calibri"/>
        <family val="2"/>
        <scheme val="minor"/>
      </rPr>
      <t>MJ/MJ]</t>
    </r>
  </si>
  <si>
    <t>Average number of vehicles taken care of by a single service vehicle trip</t>
  </si>
  <si>
    <t>[vehicles/service vehicle trip]</t>
  </si>
  <si>
    <t>Bus - FCEV</t>
  </si>
  <si>
    <t>https://www.bcg.com/publications/2019/promise-pitfalls-e-scooter-sharing.aspx</t>
  </si>
  <si>
    <t>2018/early 2019</t>
  </si>
  <si>
    <t>Extrapolating from http://www.carbone4.com/wp-content/uploads/2019/09/Carbone-4-for-Bird-E-Scooter-and-Cities-decarbonization.pdf</t>
  </si>
  <si>
    <t>Bird Zero</t>
  </si>
  <si>
    <t>Bird</t>
  </si>
  <si>
    <t>https://www.smartcitiesdive.com/news/reduce-reuse-rescoot-a-look-at-e-scooters-long-term-sustainability/558691/</t>
  </si>
  <si>
    <t>http://www.carbone4.com/wp-content/uploads/2019/09/Carbone-4-for-Bird-E-Scooter-and-Cities-decarbonization.pdf</t>
  </si>
  <si>
    <t>ES</t>
  </si>
  <si>
    <t>https://www.theverge.com/2020/1/21/21072785/skip-electric-scooter-life-cycle-maintenance-costs</t>
  </si>
  <si>
    <t>S3 improved</t>
  </si>
  <si>
    <t>Skip</t>
  </si>
  <si>
    <t>S3</t>
  </si>
  <si>
    <t>Ninebot ES4</t>
  </si>
  <si>
    <t>[items/trip]</t>
  </si>
  <si>
    <t>[items/day/vehicle]</t>
  </si>
  <si>
    <t>[items/day]</t>
  </si>
  <si>
    <t>[trips/day]</t>
  </si>
  <si>
    <t>[trips/day/vehicle]</t>
  </si>
  <si>
    <t>[vehicles]</t>
  </si>
  <si>
    <t>Average % of vehicles requiring maintenance (excluding cases with multiple parts to be replaced)</t>
  </si>
  <si>
    <t>Parts replaced</t>
  </si>
  <si>
    <t>Number</t>
  </si>
  <si>
    <t>Model</t>
  </si>
  <si>
    <t>Company</t>
  </si>
  <si>
    <t>Shared e-scooter life</t>
  </si>
  <si>
    <t>Travel with passenger on board</t>
  </si>
  <si>
    <t>Commuting</t>
  </si>
  <si>
    <t>Henao and Marshall (2019)</t>
  </si>
  <si>
    <t>Crusing and overheading</t>
  </si>
  <si>
    <t>Total deadhading</t>
  </si>
  <si>
    <t>Deadheading, % of total</t>
  </si>
  <si>
    <t>Cramer and Krueger (2016)</t>
  </si>
  <si>
    <t>Seattle</t>
  </si>
  <si>
    <t>Los Angeles</t>
  </si>
  <si>
    <t>`1</t>
  </si>
  <si>
    <t>Fehr &amp; Peers, 2018</t>
  </si>
  <si>
    <t>Average Boston, Chicago, LA, SF, Settle and Washington DC</t>
  </si>
  <si>
    <t>Taxi</t>
  </si>
  <si>
    <t>Deadheading</t>
  </si>
  <si>
    <t>&lt;&lt; Average in France from range above.</t>
  </si>
  <si>
    <t>Skip, 2020</t>
  </si>
  <si>
    <t>% of deadhead km in total</t>
  </si>
  <si>
    <t>6-t, 2019c</t>
  </si>
  <si>
    <t>total rentals/day</t>
  </si>
  <si>
    <t>total scooters</t>
  </si>
  <si>
    <t>https://ratpgroup.com/ratpgroupe-content/uploads/2019/06/ratp_radd18.pdf</t>
  </si>
  <si>
    <t>6-t, 2019b</t>
  </si>
  <si>
    <t>Shared e-mopeds</t>
  </si>
  <si>
    <t>Cityscoot</t>
  </si>
  <si>
    <t>Stock</t>
  </si>
  <si>
    <t>Activity</t>
  </si>
  <si>
    <t>Time</t>
  </si>
  <si>
    <t>h/trip (median)</t>
  </si>
  <si>
    <t>h/trip (mean)</t>
  </si>
  <si>
    <t>https://www.unige.ch/mobilite/files/5214/7220/2578/Brochure_VAE_vs_scooter.pdf</t>
  </si>
  <si>
    <t>Frequency of use</t>
  </si>
  <si>
    <t>Speed</t>
  </si>
  <si>
    <t>https://www.ademe.fr/sites/default/files/assets/documents/comparaison_2roues_voitures.pdf</t>
  </si>
  <si>
    <t>&lt;&lt; Factor to account for tampering, vandalisation…</t>
  </si>
  <si>
    <t>&lt;&lt; possibly overestimated, given the data below</t>
  </si>
  <si>
    <t>Parking time loss in CBD</t>
  </si>
  <si>
    <t>average speed (urban, km/h)</t>
  </si>
  <si>
    <t>annual distance (km)</t>
  </si>
  <si>
    <t>daily distance to seek parking (km)</t>
  </si>
  <si>
    <t>Daily travel time for parking in CBD</t>
  </si>
  <si>
    <t>days/year</t>
  </si>
  <si>
    <t>% of driving to pick up people and goods</t>
  </si>
  <si>
    <t>Shoup, 2007</t>
  </si>
  <si>
    <t>Williams, 2018</t>
  </si>
  <si>
    <t>passengers</t>
  </si>
  <si>
    <t>VMT weighted</t>
  </si>
  <si>
    <t>(metioned in (https://6-t.co/impact-uber-idf with source Uber France, 2018)</t>
  </si>
  <si>
    <t>&lt;&lt; Broadly consistent with 1/3 of total rides being Uber Pool in France</t>
  </si>
  <si>
    <t>gCO2/MJ</t>
  </si>
  <si>
    <t>https://techcrunch.com/2020/01/17/how-scooter-charging-startups-want-to-make-the-industry-more-profitable/</t>
  </si>
  <si>
    <t>e-scooters/night</t>
  </si>
  <si>
    <t>standard</t>
  </si>
  <si>
    <t>possible higher valuye allowed by Charge</t>
  </si>
  <si>
    <t>https://www.perchmobility.com/</t>
  </si>
  <si>
    <t>smaller value (likely per trip)</t>
  </si>
  <si>
    <t>larger value (lkely per trip)</t>
  </si>
  <si>
    <t>e-scooters/charging trip</t>
  </si>
  <si>
    <t>mentioned as upper bound load for a car</t>
  </si>
  <si>
    <t>https://www.npr.org/2019/03/13/701130673/who-charges-all-those-electric-scooters-follow-a-nocturnal-juicer?t=1583502215112</t>
  </si>
  <si>
    <t>https://www.sae.org/binaries/content/assets/cm/content/topics/micromobility/sae-micromobility-trend-or-fad-report.pdf</t>
  </si>
  <si>
    <t>&lt;&lt; On average, 4.7 km. 59% of trips between 1 and 4 kms and 10% above 10 km</t>
  </si>
  <si>
    <t>&lt;&lt; Citing NACTO: average trip distances of e-scooters being significantly lower than dockless e-bikes at 1.2 miles</t>
  </si>
  <si>
    <t>Oakland</t>
  </si>
  <si>
    <t>Shared bike (station base</t>
  </si>
  <si>
    <t>Washington</t>
  </si>
  <si>
    <t>Shared bike (dockless)</t>
  </si>
  <si>
    <t>90% of trips &lt; 2 miles</t>
  </si>
  <si>
    <t>Column 10</t>
  </si>
  <si>
    <t>Column 9</t>
  </si>
  <si>
    <t>Column 8</t>
  </si>
  <si>
    <t>Column 7</t>
  </si>
  <si>
    <t>Column 6</t>
  </si>
  <si>
    <t>Column 5</t>
  </si>
  <si>
    <t>DATA</t>
  </si>
  <si>
    <t>leave your notes here</t>
  </si>
  <si>
    <t>Author notes</t>
  </si>
  <si>
    <t>21.59 cm</t>
  </si>
  <si>
    <t>Chart Width</t>
  </si>
  <si>
    <t>7.62 cm</t>
  </si>
  <si>
    <t>Chart Height</t>
  </si>
  <si>
    <t>Size</t>
  </si>
  <si>
    <t>Primary x axis</t>
  </si>
  <si>
    <t>Left axis label</t>
  </si>
  <si>
    <t>Primary y axis</t>
  </si>
  <si>
    <t>Labels</t>
  </si>
  <si>
    <t>FIGURE</t>
  </si>
  <si>
    <t>key point text</t>
  </si>
  <si>
    <t>key point</t>
  </si>
  <si>
    <t>figure title text</t>
  </si>
  <si>
    <t>Figure title</t>
  </si>
  <si>
    <t>n</t>
  </si>
  <si>
    <t>Figure number</t>
  </si>
  <si>
    <t>X</t>
  </si>
  <si>
    <t>Chapter number</t>
  </si>
  <si>
    <t>change the elements in red</t>
  </si>
  <si>
    <t>stacked column</t>
  </si>
  <si>
    <t>GREET 1</t>
  </si>
  <si>
    <t>MJ/MJ</t>
  </si>
  <si>
    <t>gCO2/kWh</t>
  </si>
  <si>
    <t>Fuel properties</t>
  </si>
  <si>
    <t>JRC</t>
  </si>
  <si>
    <t>Feedstock</t>
  </si>
  <si>
    <t>Plant (combustion, fugitive and construction)</t>
  </si>
  <si>
    <t>gCO2/TJ</t>
  </si>
  <si>
    <t>Plant effciency</t>
  </si>
  <si>
    <t>Trasnsmission losses</t>
  </si>
  <si>
    <t>Effciency, distribution losses and fuel properties</t>
  </si>
  <si>
    <t>GREET1</t>
  </si>
  <si>
    <t>Ratio</t>
  </si>
  <si>
    <t>Emission factors and energy ratios</t>
  </si>
  <si>
    <t>GREET1 (Nuclear 33%)</t>
  </si>
  <si>
    <t>BYD K9</t>
  </si>
  <si>
    <t>https://en.byd.com/wp-content/uploads/2019/07/4504-byd-transit-cut-sheets_k9-40_lr.pdf</t>
  </si>
  <si>
    <t>Energy consumption (MJ/km)</t>
  </si>
  <si>
    <t>Energy consumption (MJ/mile)</t>
  </si>
  <si>
    <t>Energy consumption (Btu/mile)</t>
  </si>
  <si>
    <t>(Btu per mmBtu of H2 Throughput)</t>
  </si>
  <si>
    <t>Fuel</t>
  </si>
  <si>
    <t>(grams per mmBtu of H2 Throughput)</t>
  </si>
  <si>
    <t>gCO2eq/MJ</t>
  </si>
  <si>
    <t>gCO2eq/kWh</t>
  </si>
  <si>
    <t>GHG emissions</t>
  </si>
  <si>
    <t>Other renewables (hydro, solar, wind)</t>
  </si>
  <si>
    <t>Electrolysis</t>
  </si>
  <si>
    <t>Renewables</t>
  </si>
  <si>
    <t>Energy (GREET1)</t>
  </si>
  <si>
    <t>Ratio (Fuel+Feedstock)/Fuel for hydrogen</t>
  </si>
  <si>
    <t>Ratio (Fuel+Feedstock)/Fuel for electricity</t>
  </si>
  <si>
    <t>Ratio gCO2/MJ Hydrogen / gCO2/MJ electricity</t>
  </si>
  <si>
    <t>Fuel cell car</t>
  </si>
  <si>
    <t>MJ/mile</t>
  </si>
  <si>
    <t>Gasoline car</t>
  </si>
  <si>
    <t>Electric car</t>
  </si>
  <si>
    <t>Hydrogen production</t>
  </si>
  <si>
    <t>List for selection</t>
  </si>
  <si>
    <t>Energy intensity of hydrogen production</t>
  </si>
  <si>
    <t>GHG emission intensity of hydrogen production</t>
  </si>
  <si>
    <t>Hydrogen use/km</t>
  </si>
  <si>
    <t>Vehicle component</t>
  </si>
  <si>
    <t>Fuel component</t>
  </si>
  <si>
    <t>Infrastructure component</t>
  </si>
  <si>
    <t>[g CO₂/pkm]</t>
  </si>
  <si>
    <t>[g CO₂/vkm]</t>
  </si>
  <si>
    <t>[g CO₂ eq/vehicle]</t>
  </si>
  <si>
    <t>NMC111 for cars, LFP for buses</t>
  </si>
  <si>
    <t xml:space="preserve">Hydrogen production </t>
  </si>
  <si>
    <t>Shared bike and e-bike</t>
  </si>
  <si>
    <t>Shared moped</t>
  </si>
  <si>
    <t>E-moped</t>
  </si>
  <si>
    <t>Commuter car - EV</t>
  </si>
  <si>
    <t>&lt;&lt; Assumed 2 batteries/vehicle (swap)</t>
  </si>
  <si>
    <t>BEV bus weight</t>
  </si>
  <si>
    <t>BEV bus weight without battery</t>
  </si>
  <si>
    <t>Table 1</t>
  </si>
  <si>
    <t>Table 2</t>
  </si>
  <si>
    <t>Bottom axis label</t>
  </si>
  <si>
    <t>Electrolysis (Renewables)</t>
  </si>
  <si>
    <t>Electroysis (Global power mix)</t>
  </si>
  <si>
    <t>Electrolysis (Natural gas)</t>
  </si>
  <si>
    <t>AVAILABLE</t>
  </si>
  <si>
    <t>Sensitivity cases:</t>
  </si>
  <si>
    <t>Bicycles, e-scooters</t>
  </si>
  <si>
    <t>100% oil</t>
  </si>
  <si>
    <t>100% natural gas</t>
  </si>
  <si>
    <t>100% nuclear</t>
  </si>
  <si>
    <t>100% coal</t>
  </si>
  <si>
    <t>BEV</t>
  </si>
  <si>
    <t>FCEV</t>
  </si>
  <si>
    <t>ICE/HEV</t>
  </si>
  <si>
    <t>25% smaller battery</t>
  </si>
  <si>
    <t>Lower carbon intensity of battery manufacturing</t>
  </si>
  <si>
    <t>25% larger battery</t>
  </si>
  <si>
    <t>Large size (SUV)</t>
  </si>
  <si>
    <t>Large size (SUV) - HEV</t>
  </si>
  <si>
    <t>Large size (SUV) - ICE</t>
  </si>
  <si>
    <t>High carbon intensity of electricity in use phase</t>
  </si>
  <si>
    <t>H₂ from electrolysis, 100% natural gas electricity</t>
  </si>
  <si>
    <t>H₂ from electrolysis, global grid mix</t>
  </si>
  <si>
    <t>Large size (SUV), H₂ from natural gas</t>
  </si>
  <si>
    <t>H₂ from electrolysis, 100% solar, wind or hydro electricity</t>
  </si>
  <si>
    <t>100% solar, wind or hydro electricity in use phase</t>
  </si>
  <si>
    <t>100% solar, wind or hydro</t>
  </si>
  <si>
    <t>BEV (2 packs)</t>
  </si>
  <si>
    <t>25% up deadheading</t>
  </si>
  <si>
    <t>25% down deadheading</t>
  </si>
  <si>
    <t>Metro/urban train (network usage frequency up by 25%)</t>
  </si>
  <si>
    <t>Metro/urban train (network usage frequency down by 25%)</t>
  </si>
  <si>
    <t>Metro/urban train (infrastructure lifetime 25% lower)</t>
  </si>
  <si>
    <t>Metro/urban train (infrastructure lifetime 25% higher)</t>
  </si>
  <si>
    <t>Metro/urban train (ridership per train up by 50%)</t>
  </si>
  <si>
    <t>Metro/urban train (ridership per train down by 50%)</t>
  </si>
  <si>
    <t>Bus - ICE (deadheading doubled)</t>
  </si>
  <si>
    <t>Bus - ICE (lifetime 25% larger)</t>
  </si>
  <si>
    <t>Bus - ICE (lifetime 25% lower)</t>
  </si>
  <si>
    <t>Bus - ICE (ridership up by 50%)</t>
  </si>
  <si>
    <t>Bus - ICE (ridership down by 50%)</t>
  </si>
  <si>
    <t>Bus - ICE (100% bus lane)</t>
  </si>
  <si>
    <t>FCEV bus (no fuel cell)</t>
  </si>
  <si>
    <t>Fuel cell (car estimate)</t>
  </si>
  <si>
    <t>Fuel cell (bus estimate)</t>
  </si>
  <si>
    <t>https://www.hydrogen.energy.gov/pdfs/htac_may2012_hyundai.pdf</t>
  </si>
  <si>
    <t>GHG emissions/vkm</t>
  </si>
  <si>
    <t>Single occupant</t>
  </si>
  <si>
    <t>Two occupants</t>
  </si>
  <si>
    <t>Three occupants</t>
  </si>
  <si>
    <t>Four occupants</t>
  </si>
  <si>
    <t>GHG emissions/pkm</t>
  </si>
  <si>
    <t>Five occupants</t>
  </si>
  <si>
    <t>Main mode of transport/vehicle type</t>
  </si>
  <si>
    <t>Complementary mode of transport/vehicle type</t>
  </si>
  <si>
    <t>MJ/train/km</t>
  </si>
  <si>
    <t>kWh/train/km</t>
  </si>
  <si>
    <t>tonnes per km (two-way)</t>
  </si>
  <si>
    <t>Lifetime mileage (use phase, including cruising and overheading for ride sourcing)</t>
  </si>
  <si>
    <t>[vkm of service vehicle use/vkm of use phase, including cruising and overheading for ride sourcing]</t>
  </si>
  <si>
    <t>Use phase, including cruising and overheading for ride sourcing</t>
  </si>
  <si>
    <t>Average number of passengers (including effect of commuter deadheading for ride sourcing and deadheading for buses)</t>
  </si>
  <si>
    <t>Lifetime mileage (including effect of commuter deadheading for ride sourcing and deadheading for buses)</t>
  </si>
  <si>
    <t>Private e-scooter</t>
  </si>
  <si>
    <t>Private bike</t>
  </si>
  <si>
    <t>Private e-bike</t>
  </si>
  <si>
    <t>Private moped - ICE</t>
  </si>
  <si>
    <t>Private car - ICE</t>
  </si>
  <si>
    <t>Private car - HEV</t>
  </si>
  <si>
    <t>Private car - PHEV</t>
  </si>
  <si>
    <t>Private car - BEV (high carbon intensity of electricity in use phase)</t>
  </si>
  <si>
    <t>Private car - BEV (low carbon intensity of electricity in use phase)</t>
  </si>
  <si>
    <t>Private car - BEV (Lower carbon intensity of battery manufacturing)</t>
  </si>
  <si>
    <t>Private car - BEV</t>
  </si>
  <si>
    <t>Private car - FCEV (hydrogen from electrolysis, 100% natural gas electricity)</t>
  </si>
  <si>
    <t>Private car - FCEV (hydrogen from electrolysis, 100% renewable electricity)</t>
  </si>
  <si>
    <t>Private car - FCEV (hydrogen from electrolysis, global grid mix)</t>
  </si>
  <si>
    <t>Private car - FCEV</t>
  </si>
  <si>
    <t>Shared vans</t>
  </si>
  <si>
    <t>Average load using passenger transport</t>
  </si>
  <si>
    <t>deadhead km/active km</t>
  </si>
  <si>
    <t>Annual mileage (active km, including cruising and overheading)</t>
  </si>
  <si>
    <t>https://www.nber.org/papers/w22083.pdf</t>
  </si>
  <si>
    <t>NY</t>
  </si>
  <si>
    <t>SF</t>
  </si>
  <si>
    <t>LA</t>
  </si>
  <si>
    <t>SE</t>
  </si>
  <si>
    <t>&lt;&lt; Assumed the same as ride sourcing</t>
  </si>
  <si>
    <t xml:space="preserve">Via </t>
  </si>
  <si>
    <t>Utilisation rate</t>
  </si>
  <si>
    <t>https://www.itf-oecd.org/sites/default/files/docs/app-based-mobility.pdf</t>
  </si>
  <si>
    <t>Uber</t>
  </si>
  <si>
    <t>Lyft</t>
  </si>
  <si>
    <t>Juno</t>
  </si>
  <si>
    <t>https://static1.squarespace.com/static/53ee4f0be4b015b9c3690d84/t/5b3a3aaa0e2e72ca74079142/1530542764109/Parrott-Reich+NYC+App+Drivers+TLC+Jul+2018jul1.pdf</t>
  </si>
  <si>
    <t>&lt;&lt; Assumed like a bus</t>
  </si>
  <si>
    <t>https://support.ridewithvia.com/hc/en-us/articles/360003374231-How-many-people-will-I-share-a-ride-with-</t>
  </si>
  <si>
    <t>FCEV bus</t>
  </si>
  <si>
    <t>FCEV bus (fuel cell)</t>
  </si>
  <si>
    <t>FCEV car (fuel cell)</t>
  </si>
  <si>
    <t>Via</t>
  </si>
  <si>
    <t>&lt;&lt; Assumed like Via</t>
  </si>
  <si>
    <t>https://travel.zeelo.co/great-value-coach-hire/</t>
  </si>
  <si>
    <t>&lt;&lt; Assumed seating capacity</t>
  </si>
  <si>
    <t>https://www.mercedes-benz-mena.com/vans/en/vito/tourer/technical-data</t>
  </si>
  <si>
    <t>Consistent with load available here:</t>
  </si>
  <si>
    <t xml:space="preserve">Informed by (assumes more small vehicles than large): </t>
  </si>
  <si>
    <t>&lt;&lt; Assumed seating capacity of the coach</t>
  </si>
  <si>
    <t>&lt;&lt; using linear interpolation of capacity factor between Via and London buses</t>
  </si>
  <si>
    <t>Shared moped - BEV</t>
  </si>
  <si>
    <t>Private moped - BEV</t>
  </si>
  <si>
    <t>CARB (2019)</t>
  </si>
  <si>
    <t>This attributes to vehicles the whole point of existance of the road network</t>
  </si>
  <si>
    <t>batteries/sccoter</t>
  </si>
  <si>
    <t>Wh</t>
  </si>
  <si>
    <t>mAh</t>
  </si>
  <si>
    <t>Batteries</t>
  </si>
  <si>
    <t>cycles (full charges before reaching 70% capacity)</t>
  </si>
  <si>
    <t>months</t>
  </si>
  <si>
    <t>lifetime km</t>
  </si>
  <si>
    <t>Operational life span</t>
  </si>
  <si>
    <t>Distance driven per van</t>
  </si>
  <si>
    <t>km/van/day</t>
  </si>
  <si>
    <t>round trips</t>
  </si>
  <si>
    <t>km/cargo bike/day</t>
  </si>
  <si>
    <t>scooters</t>
  </si>
  <si>
    <t>batteries</t>
  </si>
  <si>
    <t>Cargo bike</t>
  </si>
  <si>
    <t>Trailer bike</t>
  </si>
  <si>
    <t>for rebalancing</t>
  </si>
  <si>
    <t>Share of batteries colelcted by cargo bikes</t>
  </si>
  <si>
    <t>There are prioritising software helping drivers pick up scooters, and they also come with route optimisation</t>
  </si>
  <si>
    <t>End results</t>
  </si>
  <si>
    <t>gCO2/km</t>
  </si>
  <si>
    <t>gCO2/pkm</t>
  </si>
  <si>
    <t>in Hamburg</t>
  </si>
  <si>
    <t>cargo bikes</t>
  </si>
  <si>
    <t>trailer bikes</t>
  </si>
  <si>
    <t>e-scooters</t>
  </si>
  <si>
    <t>Recycled material: 5 to 20%</t>
  </si>
  <si>
    <t>Manufacturer</t>
  </si>
  <si>
    <t>Segway</t>
  </si>
  <si>
    <t>of motor cover</t>
  </si>
  <si>
    <t>of total Aluminium used</t>
  </si>
  <si>
    <t>Rebalancing has shorter distances</t>
  </si>
  <si>
    <t>Aluminum</t>
  </si>
  <si>
    <t>Cells</t>
  </si>
  <si>
    <t>Polyurethane</t>
  </si>
  <si>
    <t>Rest of the pack</t>
  </si>
  <si>
    <t>NMC</t>
  </si>
  <si>
    <t>Ninebot max</t>
  </si>
  <si>
    <t>LG</t>
  </si>
  <si>
    <t>km/day/e-sccoter</t>
  </si>
  <si>
    <t>Personal communication with Operator</t>
  </si>
  <si>
    <t>km/day/e-sccoter in use</t>
  </si>
  <si>
    <t>New model</t>
  </si>
  <si>
    <t>Total weight</t>
  </si>
  <si>
    <t>Pack capacity</t>
  </si>
  <si>
    <t>Cell capacity</t>
  </si>
  <si>
    <t>&lt;&lt; Accounts for 25% more due to swappable batteries</t>
  </si>
  <si>
    <t>Daily active km (e-scooter)</t>
  </si>
  <si>
    <t>Inferred from communication with Operator</t>
  </si>
  <si>
    <t>Travel (before correction fro availability and utilisation)</t>
  </si>
  <si>
    <t>Travel (after correction fro availability and utilisation)</t>
  </si>
  <si>
    <t>km/day/e-scooter</t>
  </si>
  <si>
    <t>Daily servicing km (total)</t>
  </si>
  <si>
    <t>Daily servicing km (per service vehicle)</t>
  </si>
  <si>
    <t>Daily servicing km (per service vehicle trip)</t>
  </si>
  <si>
    <t>Vehicle capacity</t>
  </si>
  <si>
    <t>Capacity factor</t>
  </si>
  <si>
    <t>Frequency of service</t>
  </si>
  <si>
    <t>km of service vehicle/day</t>
  </si>
  <si>
    <t>km of service vehicle/trip/day</t>
  </si>
  <si>
    <t>km of service vehicle trip/day/e-scooter</t>
  </si>
  <si>
    <t>Daily servicing km (per service vehicle trip, per e-scooter)</t>
  </si>
  <si>
    <t>km/km tot</t>
  </si>
  <si>
    <t>0-0.25</t>
  </si>
  <si>
    <t>0.25-0.5</t>
  </si>
  <si>
    <t>0.5-0.75</t>
  </si>
  <si>
    <t>0.75-1</t>
  </si>
  <si>
    <t>Load %</t>
  </si>
  <si>
    <t>Max load %</t>
  </si>
  <si>
    <t>[km of service vehicle trip/day/vehicle]</t>
  </si>
  <si>
    <t>% of time off due to charging</t>
  </si>
  <si>
    <t>% of time off due to charging (also accounting for fleet availability)</t>
  </si>
  <si>
    <t>&lt;&lt; assumed based on profile shown here&gt;&gt;</t>
  </si>
  <si>
    <t>&lt;&lt; In house means dedicate dpurchase of the vans? If yes, shal the van manufacturing be accounted for the LCA?</t>
  </si>
  <si>
    <t>Daily distance (fleet available)</t>
  </si>
  <si>
    <t>batteries/scooter (calculated)</t>
  </si>
  <si>
    <t>New e-sccoter</t>
  </si>
  <si>
    <t>Private car</t>
  </si>
  <si>
    <t>Shared e-moped</t>
  </si>
  <si>
    <t>&lt;&lt; needs to be consistent with cell below</t>
  </si>
  <si>
    <t>USED HERE</t>
  </si>
  <si>
    <t>CARB, 2019</t>
  </si>
  <si>
    <t>P3</t>
  </si>
  <si>
    <t>P2</t>
  </si>
  <si>
    <t>P1</t>
  </si>
  <si>
    <t>&lt;&lt; Implied residual battery charge after 3 days (considers 70% of all battery capacity available)</t>
  </si>
  <si>
    <t>km/day (EU capital)</t>
  </si>
  <si>
    <t>km/day (EU capital) (for the scooters actually used)</t>
  </si>
  <si>
    <t>in EU capital</t>
  </si>
  <si>
    <t>in EU capital (electric van)</t>
  </si>
  <si>
    <t>EU capital is best case, other cities have diesel vans.</t>
  </si>
  <si>
    <t>EU capital is also all "in house", not so elsewhere.</t>
  </si>
  <si>
    <t>earlier in EU capital</t>
  </si>
  <si>
    <t>Electric van capacity (e.g. Master ZE)</t>
  </si>
  <si>
    <t>e.g. Nissan EV 200</t>
  </si>
  <si>
    <t>Capacity of vans is &gt;&gt;</t>
  </si>
  <si>
    <t>service km per e-scooter</t>
  </si>
  <si>
    <t>&lt;&lt; 0.8 is average for large US cities according to operator</t>
  </si>
  <si>
    <t>GHG emission intensity of low-carbon electricity production</t>
  </si>
  <si>
    <t>Van - BEV (low carbon)</t>
  </si>
  <si>
    <t>Energy intensity of electricity production (low-carbon)</t>
  </si>
  <si>
    <t xml:space="preserve">&lt;&lt; Operator value: includes changes, replairs, replacement of some components (accounts for vandalism and theft) - Aonther operator questions lifetime of swappable batteries, though </t>
  </si>
  <si>
    <t>&lt;&lt; assumed weight of wheels without tyres (attributed ot steel)</t>
  </si>
  <si>
    <t>&lt;&lt; includes 0.55 kWh for single battery and 1.3 factor for swapping</t>
  </si>
  <si>
    <t>EU Capital &gt;&gt;</t>
  </si>
  <si>
    <t>EU mid size city &gt;&gt;</t>
  </si>
  <si>
    <t>E-scooter (private and 1st generation shared)</t>
  </si>
  <si>
    <t>&lt;&lt; 50 according to another operator (paper on Life Cycle Assessment on the mobility service escooter sharing) for vans, 30 for cargo bikes - sounds overestimated, and probably related with capacity</t>
  </si>
  <si>
    <t>&lt;&lt; 100 (200 per day, assumiun 2 trips a day gives 100) for vand, and 50 (100/2) for cargo bikes, according to another operator (paper on Life Cycle Assessment on the mobility service escooter sharing) - sounds overestimated, and probably related with capacity</t>
  </si>
  <si>
    <t>&lt;&lt; Operators: numbers given were 1.25 and 1.3; 1.5 according to paper on Life Cycle Assessment on the mobility service escooter sharing</t>
  </si>
  <si>
    <t>&lt;&lt; 1 for no battery swapping and 0.25 for batter swapping according to paper on Life Cycle Assessment on the mobility service escooter sharing that was sent by an operator</t>
  </si>
  <si>
    <t>Shared e-scooter (new generation) - 50% more vehicles per servicing trip</t>
  </si>
  <si>
    <t>Shared e-scooter (new generation) - Low carbon Al smelting</t>
  </si>
  <si>
    <t>Shared e-scooter (new generation) - 50% higher daily e-scooter distance</t>
  </si>
  <si>
    <t>Shared e-scooter (new generation) - 50% lower service distance</t>
  </si>
  <si>
    <t>Shared e-scooter (new generation),- All improvements combined</t>
  </si>
  <si>
    <t>Shared e-scooter (new generation) - Central case</t>
  </si>
  <si>
    <t>Shared e-scooter (new generation) - Low-carbon electricity in use phase</t>
  </si>
  <si>
    <t>Shared e-scooter (new generation) - Low-carbon EVs for operational services</t>
  </si>
  <si>
    <t>Paper on Life Cycle Assessment on the mobility service escooter sharing shared by an operator</t>
  </si>
  <si>
    <t>&lt;&lt; Factor vs, ECF report (to account for theft, etc.)</t>
  </si>
  <si>
    <t>km/day (mid-size EU city) (for the scooters actually used) - NIT IN USE</t>
  </si>
  <si>
    <t>days between charges (close to 3 according to operator)</t>
  </si>
  <si>
    <t>Fleet availability (presumably because the remaining % needs maintenance) - 92% according to operator</t>
  </si>
  <si>
    <t>Daily distance (total average, accounting for maintenace and availability)</t>
  </si>
  <si>
    <t>Availability rate</t>
  </si>
  <si>
    <t>% of available fleet used at least once in a day (the rest of the time it is transported or charging) (80% accoridng to operator)</t>
  </si>
  <si>
    <t>CHECK 78% IN LABELS</t>
  </si>
  <si>
    <t>&lt;&lt; Quarz study cited in SAE</t>
  </si>
  <si>
    <t>https://www.sfchronicle.com/business/networth/article/Electric-bike-share-rides-into-SF-jumping-ahead-11250951.php</t>
  </si>
  <si>
    <t>JUMP bike differential</t>
  </si>
  <si>
    <t>Final energy consumption (use phase) [MJ/km]</t>
  </si>
  <si>
    <t>Private car - EV</t>
  </si>
  <si>
    <t>Car - FCEV</t>
  </si>
  <si>
    <t>Private bike and e-bike</t>
  </si>
  <si>
    <t>Private moped</t>
  </si>
  <si>
    <t>Moped</t>
  </si>
  <si>
    <t>https://ieeexplore.ieee.org/abstract/document/9111817</t>
  </si>
  <si>
    <t>https://ec.europa.eu/transport/themes/urban/cleanbus_en</t>
  </si>
  <si>
    <t>Bus - FCEV, hydrogen from electrolysis (100% zero-carbon electricity)</t>
  </si>
  <si>
    <t>Ride sourcing</t>
  </si>
  <si>
    <t>Public transport</t>
  </si>
  <si>
    <t>Micromobility</t>
  </si>
  <si>
    <t>Induced travel</t>
  </si>
  <si>
    <t>-38% to -45%</t>
  </si>
  <si>
    <t>-27% to -32%</t>
  </si>
  <si>
    <t>Car sharing</t>
  </si>
  <si>
    <t>Slight reduction</t>
  </si>
  <si>
    <t>Slight increase</t>
  </si>
  <si>
    <t xml:space="preserve"> -4% to -5%</t>
  </si>
  <si>
    <t>Walking</t>
  </si>
  <si>
    <t>Mode</t>
  </si>
  <si>
    <t>Modal substitution effect</t>
  </si>
  <si>
    <t>Figure 3 on page 5, provincial road (most emissions are from pavement, see Figure 2 on page 5)</t>
  </si>
  <si>
    <t>Jullien (2019)</t>
  </si>
  <si>
    <t xml:space="preserve">This Excel file contains assumptions and calculations used ot evaluate the different components of life-cycle energy use and greenhouse gas (GHG) emissions for the ITF report entitled "Good to go? Assessing the environmental performance of new mobility in cities".
</t>
  </si>
  <si>
    <t>Assumptions informed by UIC data</t>
  </si>
  <si>
    <t>Assumptions informed by IEA Mobility Model</t>
  </si>
  <si>
    <t xml:space="preserve">Sheets with a green background are those used to generate all the tables and figures included in the ITF report entitled "Good to go? Assessing the environmental performance of new mobility in cities".
</t>
  </si>
  <si>
    <t xml:space="preserve">Users wishing to modify assumptions retained for the development of the reuslts shown in the ITF report need to make changes to shaded cells in the sheets with tab names in a blue background. Modifying calculations requires making changes to unshaded cells.
</t>
  </si>
  <si>
    <t>Gas/diesel oil</t>
  </si>
  <si>
    <t>Jet fuel (kerosene)</t>
  </si>
  <si>
    <t>LPG (60% propane, 40% butane)</t>
  </si>
  <si>
    <t>Ridesourcing - car - ICE (25% lower deadheading km share and 2.25 passengers)</t>
  </si>
  <si>
    <t>Ridesourcing - car - ICE (average load, 25% higher deadheading km share)</t>
  </si>
  <si>
    <t>Ridesourcing - car - ICE (average load, 25% lower deadheading km share)</t>
  </si>
  <si>
    <t>Ridesourcing - car - ICE (single passenger on board, no change in deadheading km share)</t>
  </si>
  <si>
    <t>Ridesourcing - car - ICE (two passengers on board, no change in deadheading km share)</t>
  </si>
  <si>
    <t>Ridesourcing - car - ICE</t>
  </si>
  <si>
    <t>Ridesourcing - car - HEV</t>
  </si>
  <si>
    <t>Ridesourcing - car - PHEV</t>
  </si>
  <si>
    <t>Ridesourcing - car - BEV</t>
  </si>
  <si>
    <t>Ridesourcing car - FCEV (hydrogen from electrolysis, 100% natural gas electricity)</t>
  </si>
  <si>
    <t>Ridesourcing car - FCEV (hydrogen from electrolysis, 100% renewable electricity)</t>
  </si>
  <si>
    <t>Ridesourcing car - FCEV (hydrogen from electrolysis, global grid mix)</t>
  </si>
  <si>
    <t>Ridesourcing - car - FCEV</t>
  </si>
  <si>
    <t>Ridesourcing - Large car - ICE</t>
  </si>
  <si>
    <t>Ridesourcing - Large car - HEV</t>
  </si>
  <si>
    <t>Ridesourcing - Large car - PHEV</t>
  </si>
  <si>
    <t>Ridesourcing - Large car - BEV</t>
  </si>
  <si>
    <t>Ridesourcing - Large car - FCEV</t>
  </si>
  <si>
    <t>Ridesourcing - Shared van - ICE</t>
  </si>
  <si>
    <t>Ridesourcing - Shared van - HEV</t>
  </si>
  <si>
    <t>Ridesourcing - Shared van - PHEV</t>
  </si>
  <si>
    <t>Ridesourcing - Shared van - BEV</t>
  </si>
  <si>
    <t>Ridesourcing - Shared van - FCEV</t>
  </si>
  <si>
    <t>Ridesourcing - Shared minibus - ICE</t>
  </si>
  <si>
    <t>Ridesourcing - Shared minibus - HEV</t>
  </si>
  <si>
    <t>Ridesourcing - Shared minibus - BEV</t>
  </si>
  <si>
    <t>Ridesourcing - Shared minibus - FCEV</t>
  </si>
  <si>
    <t>Ridesourcing car</t>
  </si>
  <si>
    <t>Shared e-scooter (first generation)</t>
  </si>
  <si>
    <t>Shared e-scooter
(first generation)</t>
  </si>
  <si>
    <t>BEV (two packs)</t>
  </si>
  <si>
    <t>The tool allows to access information on the calculations performed and enables the possibility to evaluate impacts of changes to the assumptions retained for the development of the ITF report.</t>
  </si>
  <si>
    <t>The sheets with tabs in blue shading contain the key inputs and calculations needed for the assessment.</t>
  </si>
  <si>
    <t>Cases representing different vehicles, energy vectors and transport infrastructures are consistently dealt with in the same column of each of these sheets.</t>
  </si>
  <si>
    <t>Different steps of the life-cycle are taken into account in the sheets 1_Manufacturing to 5_Manufacture, according to their label (e.g. the sheet 1_Manufacturing deals with energy use and emissions imputable to vehicle manufacturing, etc.). The sheet 0_Total contains key overarching inputs and results.</t>
  </si>
  <si>
    <t>Sheets with a grey background contain assumptions and references (links) to key data sources. Other important data sources are referenced and stored on the right of the columns containing individual vehicle/energy vector/transport infrastructure parings in the with tabs in blue shading.</t>
  </si>
  <si>
    <t>For more information about the overarching framework that led to the development of this tool, please refer to the Acknowledgements included in the ITF "Good to go? Assessing the environmental performance of new mobility in cities" report.</t>
  </si>
  <si>
    <t>For more details on the calculations and the approach used for the development of this tool, see the Annex A in the same report.</t>
  </si>
  <si>
    <t xml:space="preserve">Shaded cells contain user inputs and/or assumptions informed by available literature. Cells that are not shaded contain calculations. 
</t>
  </si>
  <si>
    <t xml:space="preserve">A key example is the case of energy and carbon intensities of material extraction and production for vehicle manufacturing, which is based on inputs imported from different runs of the GREET2 model of the Argonne National Laboratory of the United States.
</t>
  </si>
  <si>
    <t>For further information, please write to: contact@itf-oecd.org.</t>
  </si>
  <si>
    <t>Shared e-scooter (first generation, central case)</t>
  </si>
  <si>
    <t>Ridesourcing - car - BEV (two packs)</t>
  </si>
  <si>
    <t>Ridesourcing - Large car - BEV (two packs)</t>
  </si>
  <si>
    <t>Ridesourcing - Shared van - BEV (two packs)</t>
  </si>
  <si>
    <t>Ridesourcing - Shared minibus - BEV (two packs)</t>
  </si>
  <si>
    <t>Bus - BEV (two packs, 100% zero-carbon electricity)</t>
  </si>
  <si>
    <t>Bus - BEV (two packs)</t>
  </si>
  <si>
    <t>Shared e-scooter (first generation, worst case)</t>
  </si>
  <si>
    <t>Shared e-scooter (first generation, best case)</t>
  </si>
  <si>
    <t>Shared e-scooter (first generation central case, daily distance 50% lower)</t>
  </si>
  <si>
    <t>Shared e-scooter (first generation central case, daily distance 50% higher)</t>
  </si>
  <si>
    <t>Shared e-scooter (first generation central case, low-carbon EVs for operational services)</t>
  </si>
  <si>
    <t>Shared e-scooter (first generation central case, EVs for operational services)</t>
  </si>
  <si>
    <t>Shared e-scooter (first generation central case, 50% more vehicles per servicing trip)</t>
  </si>
  <si>
    <t>Shared e-scooter (first generation central case, 50% less vehicles per servcing trip)</t>
  </si>
  <si>
    <t>Shared e-scooter (first generation central case, vehicle servicing distance 50% down)</t>
  </si>
  <si>
    <t>Shared e-scooter (first generation central case, vehicle servicing distance 50% up)</t>
  </si>
  <si>
    <t>Shared e-scooter (first generation central case, 50% higher lifetime)</t>
  </si>
  <si>
    <t>Shared e-scooter (first generation central case, 50% lower lifetime)</t>
  </si>
  <si>
    <t>Shared e-scooter (first generation central case, 25% less battery capacity)</t>
  </si>
  <si>
    <t>Shared e-scooter (first generation central case, 25% more battery capacity)</t>
  </si>
  <si>
    <t>Shared e-scooter (first generation central case, 25% heavier vehicle)</t>
  </si>
  <si>
    <t>Shared e-scooter (first generation central case, low carbon Al smelting)</t>
  </si>
  <si>
    <t>Shared e-scooter (first generation central case, high carbon electricity in use phase)</t>
  </si>
  <si>
    <t>Shared e-scooter (first generation central case, low carbon electricity in use phase)</t>
  </si>
  <si>
    <t>&lt;- Finland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</si>
</sst>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_-;_-* &quot;-&quot;??_€_-;_-@_-"/>
    <numFmt numFmtId="165" formatCode="0.000"/>
    <numFmt numFmtId="166" formatCode="0.0"/>
    <numFmt numFmtId="167" formatCode="0.0%"/>
    <numFmt numFmtId="168" formatCode="_-* #,##0.00\ _€_-;\-* #,##0.00\ _€_-;_-* &quot;-&quot;??\ _€_-;_-@_-"/>
    <numFmt numFmtId="169" formatCode="#,##0.0"/>
    <numFmt numFmtId="170" formatCode="0.0000"/>
  </numFmts>
  <fonts count="10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color rgb="FFFF0000"/>
      <name val="Arial"/>
      <family val="2"/>
    </font>
    <font>
      <b/>
      <sz val="10"/>
      <color theme="1"/>
      <name val="Arial"/>
      <family val="2"/>
    </font>
    <font>
      <sz val="10"/>
      <name val="Arial"/>
      <family val="2"/>
    </font>
    <font>
      <u/>
      <sz val="10"/>
      <color theme="10"/>
      <name val="Arial"/>
      <family val="2"/>
    </font>
    <font>
      <sz val="10"/>
      <color rgb="FF00B050"/>
      <name val="Arial"/>
      <family val="2"/>
    </font>
    <font>
      <sz val="9"/>
      <color indexed="81"/>
      <name val="Tahoma"/>
      <family val="2"/>
    </font>
    <font>
      <b/>
      <sz val="9"/>
      <color indexed="81"/>
      <name val="Tahoma"/>
      <family val="2"/>
    </font>
    <font>
      <sz val="11"/>
      <name val="Calibri"/>
      <family val="2"/>
      <scheme val="minor"/>
    </font>
    <font>
      <i/>
      <sz val="10"/>
      <color theme="1"/>
      <name val="Arial"/>
      <family val="2"/>
    </font>
    <font>
      <sz val="10"/>
      <color theme="1"/>
      <name val="Calibri"/>
      <family val="2"/>
      <scheme val="minor"/>
    </font>
    <font>
      <b/>
      <sz val="10"/>
      <color theme="1"/>
      <name val="Calibri"/>
      <family val="2"/>
      <scheme val="minor"/>
    </font>
    <font>
      <sz val="10"/>
      <color theme="1" tint="0.499984740745262"/>
      <name val="Calibri"/>
      <family val="2"/>
      <scheme val="minor"/>
    </font>
    <font>
      <sz val="10"/>
      <name val="Calibri"/>
      <family val="2"/>
      <scheme val="minor"/>
    </font>
    <font>
      <sz val="10"/>
      <color rgb="FF00B050"/>
      <name val="Calibri"/>
      <family val="2"/>
      <scheme val="minor"/>
    </font>
    <font>
      <sz val="10"/>
      <color rgb="FF0070C0"/>
      <name val="Arial"/>
      <family val="2"/>
    </font>
    <font>
      <b/>
      <sz val="10"/>
      <name val="Calibri"/>
      <family val="2"/>
      <scheme val="minor"/>
    </font>
    <font>
      <i/>
      <sz val="10"/>
      <color theme="1"/>
      <name val="Calibri"/>
      <family val="2"/>
      <scheme val="minor"/>
    </font>
    <font>
      <sz val="10"/>
      <color rgb="FFFF0000"/>
      <name val="Calibri"/>
      <family val="2"/>
      <scheme val="minor"/>
    </font>
    <font>
      <b/>
      <sz val="10"/>
      <color rgb="FFFF0000"/>
      <name val="Calibri"/>
      <family val="2"/>
      <scheme val="minor"/>
    </font>
    <font>
      <sz val="10"/>
      <color rgb="FF0070C0"/>
      <name val="Calibri"/>
      <family val="2"/>
      <scheme val="minor"/>
    </font>
    <font>
      <sz val="10"/>
      <color rgb="FFC00000"/>
      <name val="Calibri"/>
      <family val="2"/>
      <scheme val="minor"/>
    </font>
    <font>
      <i/>
      <sz val="10"/>
      <color theme="0" tint="-0.249977111117893"/>
      <name val="Calibri"/>
      <family val="2"/>
      <scheme val="minor"/>
    </font>
    <font>
      <sz val="10"/>
      <color theme="0" tint="-0.34998626667073579"/>
      <name val="Calibri"/>
      <family val="2"/>
      <scheme val="minor"/>
    </font>
    <font>
      <b/>
      <i/>
      <sz val="10"/>
      <color theme="1"/>
      <name val="Arial"/>
      <family val="2"/>
    </font>
    <font>
      <sz val="11"/>
      <color theme="1"/>
      <name val="Calibri"/>
      <family val="2"/>
      <scheme val="minor"/>
    </font>
    <font>
      <sz val="11"/>
      <color rgb="FF0070C0"/>
      <name val="Calibri"/>
      <family val="2"/>
      <scheme val="minor"/>
    </font>
    <font>
      <u/>
      <sz val="11"/>
      <color theme="10"/>
      <name val="Calibri"/>
      <family val="2"/>
      <scheme val="minor"/>
    </font>
    <font>
      <b/>
      <sz val="11"/>
      <color theme="1"/>
      <name val="Calibri"/>
      <family val="2"/>
      <scheme val="minor"/>
    </font>
    <font>
      <sz val="11"/>
      <color rgb="FF00B050"/>
      <name val="Calibri"/>
      <family val="2"/>
      <scheme val="minor"/>
    </font>
    <font>
      <sz val="12"/>
      <color theme="1"/>
      <name val="Arial"/>
      <family val="2"/>
    </font>
    <font>
      <sz val="10"/>
      <name val="Courier"/>
      <family val="3"/>
    </font>
    <font>
      <sz val="10"/>
      <color theme="1"/>
      <name val="Times New Roman"/>
      <family val="2"/>
    </font>
    <font>
      <sz val="12"/>
      <name val="Arial"/>
      <family val="2"/>
    </font>
    <font>
      <sz val="12"/>
      <color theme="1"/>
      <name val="Times New Roman"/>
      <family val="2"/>
    </font>
    <font>
      <sz val="10"/>
      <color theme="5" tint="-0.249977111117893"/>
      <name val="Calibri"/>
      <family val="2"/>
      <scheme val="minor"/>
    </font>
    <font>
      <i/>
      <sz val="11"/>
      <color theme="1"/>
      <name val="Calibri"/>
      <family val="2"/>
      <scheme val="minor"/>
    </font>
    <font>
      <sz val="11"/>
      <color rgb="FFFF0000"/>
      <name val="Calibri"/>
      <family val="2"/>
      <scheme val="minor"/>
    </font>
    <font>
      <b/>
      <i/>
      <sz val="11"/>
      <color theme="1"/>
      <name val="Calibri"/>
      <family val="2"/>
      <scheme val="minor"/>
    </font>
    <font>
      <sz val="11"/>
      <color theme="1"/>
      <name val="Calibri"/>
      <family val="2"/>
    </font>
    <font>
      <u/>
      <sz val="10"/>
      <color theme="10"/>
      <name val="Calibri"/>
      <family val="2"/>
      <scheme val="minor"/>
    </font>
    <font>
      <sz val="10"/>
      <color indexed="20"/>
      <name val="Arial"/>
      <family val="2"/>
    </font>
    <font>
      <u/>
      <sz val="10"/>
      <color indexed="12"/>
      <name val="Arial"/>
      <family val="2"/>
    </font>
    <font>
      <b/>
      <sz val="12"/>
      <name val="Arial"/>
      <family val="2"/>
    </font>
    <font>
      <sz val="10"/>
      <color rgb="FF7030A0"/>
      <name val="Calibri"/>
      <family val="2"/>
      <scheme val="minor"/>
    </font>
    <font>
      <sz val="10"/>
      <color theme="7" tint="0.39997558519241921"/>
      <name val="Calibri"/>
      <family val="2"/>
      <scheme val="minor"/>
    </font>
    <font>
      <sz val="10"/>
      <color theme="1"/>
      <name val="Symbol"/>
      <family val="1"/>
      <charset val="2"/>
    </font>
    <font>
      <sz val="10"/>
      <color rgb="FF00B0F0"/>
      <name val="Calibri"/>
      <family val="2"/>
      <scheme val="minor"/>
    </font>
    <font>
      <sz val="9"/>
      <color indexed="81"/>
      <name val="Tahoma"/>
      <charset val="1"/>
    </font>
    <font>
      <b/>
      <sz val="9"/>
      <color indexed="81"/>
      <name val="Tahoma"/>
      <charset val="1"/>
    </font>
    <font>
      <sz val="11"/>
      <color theme="5"/>
      <name val="Calibri"/>
      <family val="2"/>
      <scheme val="minor"/>
    </font>
    <font>
      <b/>
      <sz val="11"/>
      <color theme="5"/>
      <name val="Calibri"/>
      <family val="2"/>
      <scheme val="minor"/>
    </font>
    <font>
      <b/>
      <sz val="11"/>
      <color rgb="FFFF0000"/>
      <name val="Calibri"/>
      <family val="2"/>
      <scheme val="minor"/>
    </font>
    <font>
      <b/>
      <sz val="18"/>
      <color theme="1"/>
      <name val="Calibri"/>
      <family val="2"/>
      <scheme val="minor"/>
    </font>
    <font>
      <sz val="11"/>
      <color theme="0" tint="-0.34998626667073579"/>
      <name val="Calibri"/>
      <family val="2"/>
      <scheme val="minor"/>
    </font>
    <font>
      <b/>
      <sz val="11"/>
      <color theme="0" tint="-0.34998626667073579"/>
      <name val="Calibri"/>
      <family val="2"/>
      <scheme val="minor"/>
    </font>
    <font>
      <b/>
      <sz val="12"/>
      <color theme="1"/>
      <name val="Calibri"/>
      <family val="2"/>
      <scheme val="minor"/>
    </font>
    <font>
      <b/>
      <sz val="11"/>
      <name val="Calibri"/>
      <family val="2"/>
      <scheme val="minor"/>
    </font>
    <font>
      <b/>
      <sz val="12"/>
      <color theme="1"/>
      <name val="Verdana"/>
      <family val="2"/>
    </font>
    <font>
      <sz val="16"/>
      <color theme="0"/>
      <name val="Calibri"/>
      <family val="2"/>
      <scheme val="minor"/>
    </font>
    <font>
      <b/>
      <sz val="16"/>
      <color theme="0"/>
      <name val="Calibri"/>
      <family val="2"/>
      <scheme val="minor"/>
    </font>
    <font>
      <b/>
      <sz val="15"/>
      <color theme="1"/>
      <name val="Calibri"/>
      <family val="2"/>
      <scheme val="minor"/>
    </font>
    <font>
      <sz val="15"/>
      <color theme="1"/>
      <name val="Calibri"/>
      <family val="2"/>
      <scheme val="minor"/>
    </font>
    <font>
      <u/>
      <sz val="15"/>
      <color theme="10"/>
      <name val="Arial"/>
      <family val="2"/>
    </font>
    <font>
      <sz val="10"/>
      <color theme="0" tint="-0.34998626667073579"/>
      <name val="Arial"/>
      <family val="2"/>
    </font>
    <font>
      <b/>
      <sz val="10"/>
      <name val="Arial"/>
      <family val="2"/>
    </font>
    <font>
      <b/>
      <sz val="11"/>
      <color rgb="FF00B050"/>
      <name val="Calibri"/>
      <family val="2"/>
      <scheme val="minor"/>
    </font>
    <font>
      <sz val="13"/>
      <color theme="1"/>
      <name val="Calibri"/>
      <family val="2"/>
      <scheme val="minor"/>
    </font>
    <font>
      <b/>
      <sz val="10"/>
      <color theme="1"/>
      <name val="Calibri Light"/>
      <family val="2"/>
    </font>
    <font>
      <sz val="10"/>
      <color theme="1"/>
      <name val="Calibri Light"/>
      <family val="2"/>
    </font>
    <font>
      <sz val="11"/>
      <color indexed="8"/>
      <name val="Calibri"/>
      <family val="2"/>
      <scheme val="minor"/>
    </font>
    <font>
      <sz val="10"/>
      <color rgb="FF92D050"/>
      <name val="Calibri"/>
      <family val="2"/>
      <scheme val="minor"/>
    </font>
    <font>
      <b/>
      <sz val="11"/>
      <color rgb="FF7030A0"/>
      <name val="Calibri"/>
      <family val="2"/>
      <scheme val="minor"/>
    </font>
    <font>
      <b/>
      <sz val="11"/>
      <color rgb="FF002060"/>
      <name val="Calibri"/>
      <family val="2"/>
      <scheme val="minor"/>
    </font>
    <font>
      <b/>
      <sz val="11"/>
      <color theme="9" tint="-0.249977111117893"/>
      <name val="Calibri"/>
      <family val="2"/>
      <scheme val="minor"/>
    </font>
    <font>
      <sz val="10"/>
      <color theme="9" tint="-0.249977111117893"/>
      <name val="Calibri"/>
      <family val="2"/>
      <scheme val="minor"/>
    </font>
    <font>
      <sz val="10"/>
      <color rgb="FFEEA320"/>
      <name val="Calibri"/>
      <family val="2"/>
      <scheme val="minor"/>
    </font>
    <font>
      <sz val="11"/>
      <color theme="9" tint="-0.249977111117893"/>
      <name val="Calibri"/>
      <family val="2"/>
      <scheme val="minor"/>
    </font>
    <font>
      <b/>
      <sz val="11"/>
      <color rgb="FFE2001A"/>
      <name val="Calibri"/>
      <family val="2"/>
      <scheme val="minor"/>
    </font>
    <font>
      <sz val="10"/>
      <color rgb="FFE2001A"/>
      <name val="Calibri"/>
      <family val="2"/>
      <scheme val="minor"/>
    </font>
    <font>
      <sz val="10"/>
      <color theme="5" tint="0.39997558519241921"/>
      <name val="Calibri"/>
      <family val="2"/>
      <scheme val="minor"/>
    </font>
    <font>
      <sz val="11"/>
      <color rgb="FFEEA320"/>
      <name val="Calibri"/>
      <family val="2"/>
      <scheme val="minor"/>
    </font>
    <font>
      <b/>
      <sz val="11"/>
      <color rgb="FFEEA320"/>
      <name val="Calibri"/>
      <family val="2"/>
      <scheme val="minor"/>
    </font>
    <font>
      <sz val="10"/>
      <color rgb="FF9E005D"/>
      <name val="Calibri"/>
      <family val="2"/>
      <scheme val="minor"/>
    </font>
    <font>
      <sz val="10"/>
      <color rgb="FFC6003A"/>
      <name val="Calibri"/>
      <family val="2"/>
      <scheme val="minor"/>
    </font>
    <font>
      <sz val="10"/>
      <color rgb="FFCC0099"/>
      <name val="Calibri"/>
      <family val="2"/>
      <scheme val="minor"/>
    </font>
    <font>
      <sz val="11"/>
      <color indexed="10"/>
      <name val="Calibri"/>
      <family val="2"/>
      <scheme val="minor"/>
    </font>
    <font>
      <sz val="11"/>
      <color rgb="FFCC0099"/>
      <name val="Calibri"/>
      <family val="2"/>
      <scheme val="minor"/>
    </font>
    <font>
      <sz val="9"/>
      <color theme="1"/>
      <name val="Calibri"/>
      <family val="2"/>
      <scheme val="minor"/>
    </font>
    <font>
      <b/>
      <sz val="9"/>
      <color theme="1"/>
      <name val="Calibri"/>
      <family val="2"/>
      <scheme val="minor"/>
    </font>
    <font>
      <b/>
      <sz val="9"/>
      <color theme="0" tint="-0.34998626667073579"/>
      <name val="Calibri"/>
      <family val="2"/>
      <scheme val="minor"/>
    </font>
    <font>
      <sz val="8"/>
      <color theme="1"/>
      <name val="Calibri"/>
      <family val="2"/>
      <scheme val="minor"/>
    </font>
    <font>
      <b/>
      <sz val="8"/>
      <color theme="1"/>
      <name val="Calibri"/>
      <family val="2"/>
      <scheme val="minor"/>
    </font>
    <font>
      <sz val="10"/>
      <color theme="6" tint="-0.499984740745262"/>
      <name val="Arial"/>
      <family val="2"/>
    </font>
    <font>
      <b/>
      <u/>
      <sz val="10"/>
      <color theme="10"/>
      <name val="Arial"/>
      <family val="2"/>
    </font>
    <font>
      <sz val="10"/>
      <color rgb="FFE2001A"/>
      <name val="Arial"/>
      <family val="2"/>
    </font>
    <font>
      <sz val="10"/>
      <color rgb="FF000000"/>
      <name val="Arial"/>
      <family val="2"/>
    </font>
  </fonts>
  <fills count="49">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79998168889431442"/>
        <bgColor indexed="64"/>
      </patternFill>
    </fill>
    <fill>
      <patternFill patternType="solid">
        <fgColor rgb="FF92D050"/>
        <bgColor indexed="64"/>
      </patternFill>
    </fill>
    <fill>
      <patternFill patternType="darkUp">
        <fgColor theme="6" tint="0.59996337778862885"/>
        <bgColor theme="5" tint="0.59999389629810485"/>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249977111117893"/>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theme="5"/>
        <bgColor indexed="64"/>
      </patternFill>
    </fill>
    <fill>
      <patternFill patternType="solid">
        <fgColor theme="9"/>
        <bgColor indexed="64"/>
      </patternFill>
    </fill>
    <fill>
      <patternFill patternType="solid">
        <fgColor rgb="FFB8CCE4"/>
        <bgColor indexed="64"/>
      </patternFill>
    </fill>
    <fill>
      <patternFill patternType="solid">
        <fgColor rgb="FFDBE5F1"/>
        <bgColor indexed="64"/>
      </patternFill>
    </fill>
    <fill>
      <patternFill patternType="solid">
        <fgColor theme="5" tint="0.39997558519241921"/>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auto="1"/>
      </right>
      <top/>
      <bottom/>
      <diagonal/>
    </border>
    <border>
      <left/>
      <right/>
      <top/>
      <bottom style="medium">
        <color auto="1"/>
      </bottom>
      <diagonal/>
    </border>
    <border>
      <left/>
      <right/>
      <top/>
      <bottom style="dotted">
        <color indexed="64"/>
      </bottom>
      <diagonal/>
    </border>
    <border>
      <left/>
      <right style="medium">
        <color auto="1"/>
      </right>
      <top/>
      <bottom style="dotted">
        <color indexed="64"/>
      </bottom>
      <diagonal/>
    </border>
    <border>
      <left style="thin">
        <color indexed="64"/>
      </left>
      <right style="thin">
        <color indexed="64"/>
      </right>
      <top style="thin">
        <color indexed="64"/>
      </top>
      <bottom style="thin">
        <color indexed="64"/>
      </bottom>
      <diagonal/>
    </border>
  </borders>
  <cellStyleXfs count="61">
    <xf numFmtId="0" fontId="0" fillId="0" borderId="0"/>
    <xf numFmtId="9" fontId="3" fillId="0" borderId="0" applyFont="0" applyFill="0" applyBorder="0" applyAlignment="0" applyProtection="0"/>
    <xf numFmtId="0" fontId="7" fillId="0" borderId="0" applyNumberFormat="0" applyFill="0" applyBorder="0" applyAlignment="0" applyProtection="0"/>
    <xf numFmtId="0" fontId="6" fillId="0" borderId="0"/>
    <xf numFmtId="0" fontId="28" fillId="0" borderId="0"/>
    <xf numFmtId="0" fontId="30" fillId="0" borderId="0" applyNumberFormat="0" applyFill="0" applyBorder="0" applyAlignment="0" applyProtection="0"/>
    <xf numFmtId="9" fontId="28" fillId="0" borderId="0" applyFont="0" applyFill="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28"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applyNumberFormat="0" applyFill="0" applyBorder="0" applyAlignment="0" applyProtection="0"/>
    <xf numFmtId="0" fontId="6" fillId="0" borderId="0"/>
    <xf numFmtId="0" fontId="33" fillId="0" borderId="0"/>
    <xf numFmtId="0" fontId="34" fillId="0" borderId="0"/>
    <xf numFmtId="0" fontId="35" fillId="0" borderId="0"/>
    <xf numFmtId="0" fontId="36" fillId="0" borderId="0"/>
    <xf numFmtId="0" fontId="3" fillId="0" borderId="0"/>
    <xf numFmtId="0" fontId="6" fillId="0" borderId="0"/>
    <xf numFmtId="0" fontId="28" fillId="0" borderId="0"/>
    <xf numFmtId="0" fontId="33" fillId="0" borderId="0"/>
    <xf numFmtId="0" fontId="37" fillId="0" borderId="0"/>
    <xf numFmtId="0" fontId="3" fillId="0" borderId="0"/>
    <xf numFmtId="0" fontId="28" fillId="0" borderId="0"/>
    <xf numFmtId="0" fontId="3" fillId="0" borderId="0"/>
    <xf numFmtId="0" fontId="3" fillId="0" borderId="0"/>
    <xf numFmtId="0" fontId="3" fillId="0" borderId="0"/>
    <xf numFmtId="0" fontId="28" fillId="0" borderId="0"/>
    <xf numFmtId="0" fontId="3" fillId="22" borderId="1" applyNumberFormat="0" applyFont="0" applyAlignment="0" applyProtection="0"/>
    <xf numFmtId="0" fontId="3" fillId="22" borderId="1" applyNumberFormat="0" applyFont="0" applyAlignment="0" applyProtection="0"/>
    <xf numFmtId="0" fontId="3" fillId="22" borderId="1" applyNumberFormat="0" applyFont="0" applyAlignment="0" applyProtection="0"/>
    <xf numFmtId="9" fontId="28"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164" fontId="3" fillId="0" borderId="0" applyFont="0" applyFill="0" applyBorder="0" applyAlignment="0" applyProtection="0"/>
    <xf numFmtId="0" fontId="1" fillId="0" borderId="0"/>
    <xf numFmtId="9" fontId="1" fillId="0" borderId="0" applyFont="0" applyFill="0" applyBorder="0" applyAlignment="0" applyProtection="0"/>
  </cellStyleXfs>
  <cellXfs count="649">
    <xf numFmtId="0" fontId="0" fillId="0" borderId="0" xfId="0"/>
    <xf numFmtId="9" fontId="0" fillId="0" borderId="0" xfId="1" applyFont="1"/>
    <xf numFmtId="165" fontId="0" fillId="0" borderId="0" xfId="0" applyNumberFormat="1"/>
    <xf numFmtId="166" fontId="0" fillId="0" borderId="0" xfId="0" applyNumberFormat="1"/>
    <xf numFmtId="0" fontId="0" fillId="3" borderId="0" xfId="0" applyFill="1"/>
    <xf numFmtId="0" fontId="0" fillId="4" borderId="0" xfId="0" applyFill="1"/>
    <xf numFmtId="0" fontId="7" fillId="5" borderId="0" xfId="2" applyFill="1"/>
    <xf numFmtId="0" fontId="0" fillId="7" borderId="0" xfId="0" applyFill="1"/>
    <xf numFmtId="0" fontId="5" fillId="0" borderId="0" xfId="0" applyFont="1"/>
    <xf numFmtId="0" fontId="4" fillId="0" borderId="0" xfId="0" applyFont="1"/>
    <xf numFmtId="0" fontId="0" fillId="8" borderId="0" xfId="0" applyFill="1"/>
    <xf numFmtId="166" fontId="0" fillId="8" borderId="0" xfId="0" applyNumberFormat="1" applyFill="1"/>
    <xf numFmtId="0" fontId="7" fillId="9" borderId="0" xfId="2" applyFill="1"/>
    <xf numFmtId="0" fontId="0" fillId="9" borderId="0" xfId="0" applyFill="1"/>
    <xf numFmtId="0" fontId="7" fillId="10" borderId="0" xfId="2" applyFill="1"/>
    <xf numFmtId="0" fontId="0" fillId="10" borderId="0" xfId="0" applyFill="1"/>
    <xf numFmtId="0" fontId="0" fillId="11" borderId="0" xfId="0" applyFill="1"/>
    <xf numFmtId="0" fontId="7" fillId="0" borderId="0" xfId="2"/>
    <xf numFmtId="2" fontId="0" fillId="0" borderId="0" xfId="0" applyNumberFormat="1"/>
    <xf numFmtId="1" fontId="0" fillId="0" borderId="0" xfId="0" applyNumberFormat="1"/>
    <xf numFmtId="0" fontId="12" fillId="0" borderId="0" xfId="0" applyFont="1"/>
    <xf numFmtId="0" fontId="13" fillId="0" borderId="0" xfId="0" applyFont="1"/>
    <xf numFmtId="0" fontId="13" fillId="4" borderId="0" xfId="0" applyFont="1" applyFill="1"/>
    <xf numFmtId="166" fontId="13" fillId="0" borderId="0" xfId="0" applyNumberFormat="1" applyFont="1"/>
    <xf numFmtId="0" fontId="14" fillId="0" borderId="0" xfId="0" applyFont="1"/>
    <xf numFmtId="166" fontId="13" fillId="16" borderId="0" xfId="0" applyNumberFormat="1" applyFont="1" applyFill="1"/>
    <xf numFmtId="166" fontId="16" fillId="15" borderId="0" xfId="0" applyNumberFormat="1" applyFont="1" applyFill="1"/>
    <xf numFmtId="0" fontId="13" fillId="16" borderId="0" xfId="0" applyFont="1" applyFill="1"/>
    <xf numFmtId="166" fontId="13" fillId="14" borderId="0" xfId="0" applyNumberFormat="1" applyFont="1" applyFill="1"/>
    <xf numFmtId="0" fontId="13" fillId="14" borderId="0" xfId="0" applyFont="1" applyFill="1"/>
    <xf numFmtId="0" fontId="13" fillId="13" borderId="0" xfId="0" applyFont="1" applyFill="1"/>
    <xf numFmtId="0" fontId="15" fillId="15" borderId="0" xfId="0" applyFont="1" applyFill="1"/>
    <xf numFmtId="166" fontId="13" fillId="4" borderId="0" xfId="0" applyNumberFormat="1" applyFont="1" applyFill="1"/>
    <xf numFmtId="1" fontId="13" fillId="4" borderId="0" xfId="0" applyNumberFormat="1" applyFont="1" applyFill="1"/>
    <xf numFmtId="166" fontId="16" fillId="4" borderId="0" xfId="0" applyNumberFormat="1" applyFont="1" applyFill="1"/>
    <xf numFmtId="0" fontId="13" fillId="9" borderId="0" xfId="0" applyFont="1" applyFill="1"/>
    <xf numFmtId="1" fontId="13" fillId="9" borderId="0" xfId="0" applyNumberFormat="1" applyFont="1" applyFill="1"/>
    <xf numFmtId="1" fontId="17" fillId="9" borderId="0" xfId="0" applyNumberFormat="1" applyFont="1" applyFill="1"/>
    <xf numFmtId="1" fontId="16" fillId="9" borderId="0" xfId="0" applyNumberFormat="1" applyFont="1" applyFill="1"/>
    <xf numFmtId="0" fontId="13" fillId="17" borderId="0" xfId="0" applyFont="1" applyFill="1"/>
    <xf numFmtId="166" fontId="13" fillId="17" borderId="0" xfId="0" applyNumberFormat="1" applyFont="1" applyFill="1"/>
    <xf numFmtId="2" fontId="13" fillId="0" borderId="0" xfId="0" applyNumberFormat="1" applyFont="1"/>
    <xf numFmtId="0" fontId="13" fillId="7" borderId="0" xfId="0" applyFont="1" applyFill="1"/>
    <xf numFmtId="0" fontId="7" fillId="7" borderId="0" xfId="2" applyFill="1"/>
    <xf numFmtId="166" fontId="14" fillId="0" borderId="0" xfId="0" applyNumberFormat="1" applyFont="1"/>
    <xf numFmtId="1" fontId="13" fillId="0" borderId="0" xfId="0" applyNumberFormat="1" applyFont="1"/>
    <xf numFmtId="1" fontId="14" fillId="0" borderId="0" xfId="0" applyNumberFormat="1" applyFont="1"/>
    <xf numFmtId="166" fontId="13" fillId="13" borderId="0" xfId="0" applyNumberFormat="1" applyFont="1" applyFill="1"/>
    <xf numFmtId="0" fontId="17" fillId="12" borderId="0" xfId="0" applyFont="1" applyFill="1"/>
    <xf numFmtId="0" fontId="17" fillId="0" borderId="0" xfId="0" applyFont="1"/>
    <xf numFmtId="0" fontId="0" fillId="6" borderId="0" xfId="0" applyFill="1"/>
    <xf numFmtId="0" fontId="7" fillId="6" borderId="0" xfId="2" applyFill="1"/>
    <xf numFmtId="0" fontId="6" fillId="0" borderId="0" xfId="3"/>
    <xf numFmtId="166" fontId="8" fillId="4" borderId="0" xfId="0" applyNumberFormat="1" applyFont="1" applyFill="1"/>
    <xf numFmtId="0" fontId="7" fillId="0" borderId="0" xfId="2" applyFill="1"/>
    <xf numFmtId="166" fontId="0" fillId="6" borderId="0" xfId="0" applyNumberFormat="1" applyFill="1"/>
    <xf numFmtId="166" fontId="18" fillId="18" borderId="0" xfId="0" applyNumberFormat="1" applyFont="1" applyFill="1"/>
    <xf numFmtId="165" fontId="18" fillId="0" borderId="0" xfId="0" applyNumberFormat="1" applyFont="1"/>
    <xf numFmtId="0" fontId="18" fillId="0" borderId="0" xfId="0" applyFont="1"/>
    <xf numFmtId="166" fontId="18" fillId="0" borderId="0" xfId="0" applyNumberFormat="1" applyFont="1"/>
    <xf numFmtId="0" fontId="16" fillId="12" borderId="0" xfId="0" applyFont="1" applyFill="1"/>
    <xf numFmtId="166" fontId="13" fillId="12" borderId="0" xfId="0" applyNumberFormat="1" applyFont="1" applyFill="1"/>
    <xf numFmtId="0" fontId="13" fillId="19" borderId="0" xfId="0" applyFont="1" applyFill="1"/>
    <xf numFmtId="9" fontId="0" fillId="19" borderId="0" xfId="1" applyFont="1" applyFill="1"/>
    <xf numFmtId="0" fontId="0" fillId="19" borderId="0" xfId="0" applyFill="1"/>
    <xf numFmtId="167" fontId="16" fillId="12" borderId="0" xfId="1" applyNumberFormat="1" applyFont="1" applyFill="1"/>
    <xf numFmtId="0" fontId="20" fillId="0" borderId="0" xfId="0" applyFont="1"/>
    <xf numFmtId="167" fontId="20" fillId="0" borderId="0" xfId="0" applyNumberFormat="1" applyFont="1"/>
    <xf numFmtId="9" fontId="16" fillId="19" borderId="0" xfId="1" applyFont="1" applyFill="1"/>
    <xf numFmtId="166" fontId="16" fillId="19" borderId="0" xfId="0" applyNumberFormat="1" applyFont="1" applyFill="1"/>
    <xf numFmtId="1" fontId="16" fillId="19" borderId="0" xfId="0" applyNumberFormat="1" applyFont="1" applyFill="1"/>
    <xf numFmtId="1" fontId="17" fillId="19" borderId="0" xfId="0" applyNumberFormat="1" applyFont="1" applyFill="1"/>
    <xf numFmtId="1" fontId="13" fillId="12" borderId="0" xfId="0" applyNumberFormat="1" applyFont="1" applyFill="1"/>
    <xf numFmtId="165" fontId="13" fillId="19" borderId="0" xfId="0" applyNumberFormat="1" applyFont="1" applyFill="1"/>
    <xf numFmtId="0" fontId="21" fillId="0" borderId="0" xfId="0" applyFont="1"/>
    <xf numFmtId="0" fontId="22" fillId="0" borderId="0" xfId="0" applyFont="1"/>
    <xf numFmtId="0" fontId="7" fillId="8" borderId="0" xfId="2" applyFill="1"/>
    <xf numFmtId="166" fontId="16" fillId="12" borderId="0" xfId="0" applyNumberFormat="1" applyFont="1" applyFill="1"/>
    <xf numFmtId="0" fontId="0" fillId="20" borderId="0" xfId="0" applyFill="1"/>
    <xf numFmtId="166" fontId="0" fillId="3" borderId="0" xfId="0" applyNumberFormat="1" applyFill="1"/>
    <xf numFmtId="0" fontId="8" fillId="0" borderId="0" xfId="0" applyFont="1"/>
    <xf numFmtId="166" fontId="8" fillId="0" borderId="0" xfId="0" applyNumberFormat="1" applyFont="1"/>
    <xf numFmtId="1" fontId="8" fillId="0" borderId="0" xfId="0" applyNumberFormat="1" applyFont="1"/>
    <xf numFmtId="166" fontId="4" fillId="0" borderId="0" xfId="0" applyNumberFormat="1" applyFont="1"/>
    <xf numFmtId="166" fontId="16" fillId="20" borderId="0" xfId="0" applyNumberFormat="1" applyFont="1" applyFill="1"/>
    <xf numFmtId="0" fontId="17" fillId="20" borderId="0" xfId="0" applyFont="1" applyFill="1"/>
    <xf numFmtId="0" fontId="7" fillId="20" borderId="0" xfId="2" applyFill="1"/>
    <xf numFmtId="1" fontId="16" fillId="12" borderId="0" xfId="0" applyNumberFormat="1" applyFont="1" applyFill="1"/>
    <xf numFmtId="1" fontId="23" fillId="12" borderId="0" xfId="0" applyNumberFormat="1" applyFont="1" applyFill="1"/>
    <xf numFmtId="1" fontId="13" fillId="19" borderId="0" xfId="0" applyNumberFormat="1" applyFont="1" applyFill="1"/>
    <xf numFmtId="166" fontId="16" fillId="0" borderId="0" xfId="0" applyNumberFormat="1" applyFont="1"/>
    <xf numFmtId="1" fontId="17" fillId="12" borderId="0" xfId="0" applyNumberFormat="1" applyFont="1" applyFill="1"/>
    <xf numFmtId="2" fontId="13" fillId="12" borderId="0" xfId="0" applyNumberFormat="1" applyFont="1" applyFill="1"/>
    <xf numFmtId="9" fontId="25" fillId="0" borderId="0" xfId="1" applyFont="1"/>
    <xf numFmtId="1" fontId="25" fillId="0" borderId="0" xfId="0" applyNumberFormat="1" applyFont="1"/>
    <xf numFmtId="1" fontId="21" fillId="0" borderId="0" xfId="0" applyNumberFormat="1" applyFont="1"/>
    <xf numFmtId="0" fontId="26" fillId="0" borderId="0" xfId="0" applyFont="1"/>
    <xf numFmtId="0" fontId="0" fillId="12" borderId="0" xfId="0" applyFill="1"/>
    <xf numFmtId="0" fontId="7" fillId="4" borderId="0" xfId="2" applyFill="1"/>
    <xf numFmtId="1" fontId="0" fillId="21" borderId="0" xfId="0" applyNumberFormat="1" applyFill="1"/>
    <xf numFmtId="0" fontId="0" fillId="21" borderId="0" xfId="0" applyFill="1"/>
    <xf numFmtId="0" fontId="7" fillId="21" borderId="0" xfId="2" applyFill="1"/>
    <xf numFmtId="1" fontId="8" fillId="21" borderId="0" xfId="0" applyNumberFormat="1" applyFont="1" applyFill="1"/>
    <xf numFmtId="1" fontId="0" fillId="4" borderId="0" xfId="0" applyNumberFormat="1" applyFill="1"/>
    <xf numFmtId="1" fontId="6" fillId="9" borderId="0" xfId="0" applyNumberFormat="1" applyFont="1" applyFill="1"/>
    <xf numFmtId="0" fontId="0" fillId="5" borderId="0" xfId="0" applyFill="1"/>
    <xf numFmtId="1" fontId="0" fillId="12" borderId="0" xfId="0" applyNumberFormat="1" applyFill="1"/>
    <xf numFmtId="0" fontId="0" fillId="15" borderId="0" xfId="0" applyFill="1"/>
    <xf numFmtId="2" fontId="0" fillId="10" borderId="0" xfId="0" applyNumberFormat="1" applyFill="1"/>
    <xf numFmtId="0" fontId="27" fillId="0" borderId="0" xfId="0" applyFont="1"/>
    <xf numFmtId="9" fontId="0" fillId="0" borderId="0" xfId="0" applyNumberFormat="1"/>
    <xf numFmtId="9" fontId="0" fillId="4" borderId="0" xfId="1" applyFont="1" applyFill="1"/>
    <xf numFmtId="9" fontId="12" fillId="0" borderId="0" xfId="1" applyFont="1"/>
    <xf numFmtId="2" fontId="17" fillId="0" borderId="0" xfId="0" applyNumberFormat="1" applyFont="1"/>
    <xf numFmtId="1" fontId="17" fillId="0" borderId="0" xfId="0" applyNumberFormat="1" applyFont="1"/>
    <xf numFmtId="0" fontId="16" fillId="0" borderId="0" xfId="0" applyFont="1"/>
    <xf numFmtId="1" fontId="16" fillId="0" borderId="0" xfId="0" applyNumberFormat="1" applyFont="1"/>
    <xf numFmtId="0" fontId="13" fillId="12" borderId="0" xfId="0" applyFont="1" applyFill="1"/>
    <xf numFmtId="0" fontId="19" fillId="0" borderId="0" xfId="0" applyFont="1"/>
    <xf numFmtId="1" fontId="0" fillId="35" borderId="0" xfId="0" applyNumberFormat="1" applyFill="1"/>
    <xf numFmtId="0" fontId="7" fillId="35" borderId="0" xfId="2" applyFill="1"/>
    <xf numFmtId="166" fontId="0" fillId="35" borderId="0" xfId="0" applyNumberFormat="1" applyFill="1"/>
    <xf numFmtId="166" fontId="0" fillId="7" borderId="0" xfId="0" applyNumberFormat="1" applyFill="1"/>
    <xf numFmtId="2" fontId="0" fillId="16" borderId="0" xfId="0" applyNumberFormat="1" applyFill="1"/>
    <xf numFmtId="0" fontId="13" fillId="0" borderId="0" xfId="0" applyFont="1" applyAlignment="1">
      <alignment wrapText="1"/>
    </xf>
    <xf numFmtId="0" fontId="28" fillId="0" borderId="0" xfId="4"/>
    <xf numFmtId="2" fontId="29" fillId="0" borderId="0" xfId="4" applyNumberFormat="1" applyFont="1"/>
    <xf numFmtId="2" fontId="28" fillId="0" borderId="0" xfId="4" applyNumberFormat="1"/>
    <xf numFmtId="0" fontId="28" fillId="0" borderId="0" xfId="4" applyAlignment="1">
      <alignment horizontal="right"/>
    </xf>
    <xf numFmtId="9" fontId="28" fillId="0" borderId="0" xfId="4" applyNumberFormat="1"/>
    <xf numFmtId="0" fontId="28" fillId="36" borderId="0" xfId="4" applyFill="1"/>
    <xf numFmtId="0" fontId="30" fillId="36" borderId="0" xfId="5" applyFill="1"/>
    <xf numFmtId="0" fontId="28" fillId="0" borderId="2" xfId="4" applyBorder="1"/>
    <xf numFmtId="0" fontId="28" fillId="0" borderId="3" xfId="4" applyBorder="1"/>
    <xf numFmtId="0" fontId="28" fillId="0" borderId="4" xfId="4" applyBorder="1"/>
    <xf numFmtId="0" fontId="28" fillId="35" borderId="5" xfId="4" applyFill="1" applyBorder="1"/>
    <xf numFmtId="0" fontId="28" fillId="35" borderId="6" xfId="4" applyFill="1" applyBorder="1"/>
    <xf numFmtId="0" fontId="28" fillId="35" borderId="7" xfId="4" applyFill="1" applyBorder="1"/>
    <xf numFmtId="0" fontId="31" fillId="35" borderId="5" xfId="4" applyFont="1" applyFill="1" applyBorder="1"/>
    <xf numFmtId="0" fontId="31" fillId="35" borderId="7" xfId="4" applyFont="1" applyFill="1" applyBorder="1"/>
    <xf numFmtId="0" fontId="28" fillId="35" borderId="8" xfId="4" applyFill="1" applyBorder="1"/>
    <xf numFmtId="2" fontId="28" fillId="0" borderId="3" xfId="4" applyNumberFormat="1" applyBorder="1"/>
    <xf numFmtId="2" fontId="32" fillId="0" borderId="3" xfId="4" applyNumberFormat="1" applyFont="1" applyBorder="1"/>
    <xf numFmtId="2" fontId="28" fillId="0" borderId="4" xfId="4" applyNumberFormat="1" applyBorder="1"/>
    <xf numFmtId="0" fontId="28" fillId="0" borderId="8" xfId="4" applyBorder="1"/>
    <xf numFmtId="9" fontId="0" fillId="0" borderId="0" xfId="6" applyFont="1"/>
    <xf numFmtId="0" fontId="28" fillId="35" borderId="9" xfId="4" applyFill="1" applyBorder="1"/>
    <xf numFmtId="0" fontId="28" fillId="0" borderId="10" xfId="4" applyBorder="1"/>
    <xf numFmtId="2" fontId="28" fillId="0" borderId="11" xfId="4" applyNumberFormat="1" applyBorder="1"/>
    <xf numFmtId="0" fontId="28" fillId="0" borderId="9" xfId="4" applyBorder="1"/>
    <xf numFmtId="0" fontId="28" fillId="0" borderId="12" xfId="4" applyBorder="1"/>
    <xf numFmtId="0" fontId="28" fillId="0" borderId="13" xfId="4" applyBorder="1"/>
    <xf numFmtId="0" fontId="28" fillId="0" borderId="11" xfId="4" applyBorder="1"/>
    <xf numFmtId="0" fontId="28" fillId="0" borderId="14" xfId="4" applyBorder="1"/>
    <xf numFmtId="0" fontId="28" fillId="0" borderId="15" xfId="4" applyBorder="1"/>
    <xf numFmtId="2" fontId="32" fillId="0" borderId="0" xfId="4" applyNumberFormat="1" applyFont="1"/>
    <xf numFmtId="0" fontId="28" fillId="0" borderId="5" xfId="4" applyBorder="1"/>
    <xf numFmtId="0" fontId="28" fillId="0" borderId="6" xfId="4" applyBorder="1"/>
    <xf numFmtId="0" fontId="28" fillId="0" borderId="7" xfId="4" applyBorder="1"/>
    <xf numFmtId="0" fontId="28" fillId="35" borderId="14" xfId="4" applyFill="1" applyBorder="1"/>
    <xf numFmtId="2" fontId="28" fillId="0" borderId="15" xfId="4" applyNumberFormat="1" applyBorder="1"/>
    <xf numFmtId="2" fontId="28" fillId="0" borderId="12" xfId="4" applyNumberFormat="1" applyBorder="1"/>
    <xf numFmtId="2" fontId="28" fillId="0" borderId="13" xfId="4" applyNumberFormat="1" applyBorder="1"/>
    <xf numFmtId="2" fontId="16" fillId="12" borderId="0" xfId="0" applyNumberFormat="1" applyFont="1" applyFill="1"/>
    <xf numFmtId="2" fontId="16" fillId="0" borderId="0" xfId="0" applyNumberFormat="1" applyFont="1"/>
    <xf numFmtId="9" fontId="13" fillId="12" borderId="0" xfId="0" applyNumberFormat="1" applyFont="1" applyFill="1"/>
    <xf numFmtId="166" fontId="28" fillId="0" borderId="0" xfId="4" applyNumberFormat="1"/>
    <xf numFmtId="1" fontId="28" fillId="0" borderId="0" xfId="4" applyNumberFormat="1"/>
    <xf numFmtId="166" fontId="24" fillId="12" borderId="0" xfId="0" applyNumberFormat="1" applyFont="1" applyFill="1"/>
    <xf numFmtId="9" fontId="16" fillId="12" borderId="0" xfId="1" applyFont="1" applyFill="1"/>
    <xf numFmtId="0" fontId="0" fillId="2" borderId="0" xfId="0" applyFill="1"/>
    <xf numFmtId="166" fontId="38" fillId="12" borderId="0" xfId="0" applyNumberFormat="1" applyFont="1" applyFill="1"/>
    <xf numFmtId="1" fontId="38" fillId="12" borderId="0" xfId="0" applyNumberFormat="1" applyFont="1" applyFill="1"/>
    <xf numFmtId="1" fontId="38" fillId="0" borderId="0" xfId="0" applyNumberFormat="1" applyFont="1"/>
    <xf numFmtId="0" fontId="13" fillId="0" borderId="0" xfId="0" applyFont="1" applyAlignment="1">
      <alignment vertical="top" wrapText="1"/>
    </xf>
    <xf numFmtId="0" fontId="21" fillId="0" borderId="0" xfId="0" applyFont="1" applyAlignment="1">
      <alignment vertical="top" wrapText="1"/>
    </xf>
    <xf numFmtId="2" fontId="0" fillId="8" borderId="0" xfId="0" applyNumberFormat="1" applyFill="1"/>
    <xf numFmtId="9" fontId="13" fillId="0" borderId="0" xfId="0" applyNumberFormat="1" applyFont="1"/>
    <xf numFmtId="0" fontId="13" fillId="37" borderId="0" xfId="0" applyFont="1" applyFill="1"/>
    <xf numFmtId="0" fontId="31" fillId="0" borderId="0" xfId="0" applyFont="1"/>
    <xf numFmtId="0" fontId="0" fillId="38" borderId="0" xfId="0" applyFill="1"/>
    <xf numFmtId="0" fontId="7" fillId="0" borderId="0" xfId="2" applyNumberFormat="1" applyFill="1" applyBorder="1"/>
    <xf numFmtId="0" fontId="7" fillId="0" borderId="0" xfId="2" applyNumberFormat="1" applyFill="1"/>
    <xf numFmtId="0" fontId="0" fillId="0" borderId="0" xfId="1" applyNumberFormat="1" applyFont="1"/>
    <xf numFmtId="0" fontId="0" fillId="0" borderId="0" xfId="58" applyNumberFormat="1" applyFont="1"/>
    <xf numFmtId="0" fontId="0" fillId="0" borderId="0" xfId="58" applyNumberFormat="1" applyFont="1" applyFill="1"/>
    <xf numFmtId="0" fontId="0" fillId="0" borderId="0" xfId="58" applyNumberFormat="1" applyFont="1" applyFill="1" applyBorder="1" applyAlignment="1">
      <alignment horizontal="right"/>
    </xf>
    <xf numFmtId="0" fontId="28" fillId="0" borderId="0" xfId="58" applyNumberFormat="1" applyFont="1" applyFill="1" applyBorder="1" applyAlignment="1">
      <alignment horizontal="right"/>
    </xf>
    <xf numFmtId="0" fontId="0" fillId="0" borderId="0" xfId="58" applyNumberFormat="1" applyFont="1" applyFill="1" applyBorder="1"/>
    <xf numFmtId="0" fontId="7" fillId="0" borderId="0" xfId="2" applyNumberFormat="1"/>
    <xf numFmtId="0" fontId="3" fillId="0" borderId="0" xfId="58" applyNumberFormat="1" applyFont="1" applyFill="1" applyBorder="1"/>
    <xf numFmtId="0" fontId="0" fillId="0" borderId="0" xfId="58" applyNumberFormat="1" applyFont="1" applyFill="1" applyBorder="1" applyAlignment="1">
      <alignment horizontal="left"/>
    </xf>
    <xf numFmtId="0" fontId="7" fillId="0" borderId="0" xfId="2" applyNumberFormat="1" applyFill="1" applyBorder="1" applyAlignment="1">
      <alignment horizontal="right"/>
    </xf>
    <xf numFmtId="0" fontId="40" fillId="0" borderId="0" xfId="58" applyNumberFormat="1" applyFont="1" applyFill="1" applyBorder="1" applyAlignment="1">
      <alignment horizontal="right"/>
    </xf>
    <xf numFmtId="0" fontId="31" fillId="0" borderId="0" xfId="58" applyNumberFormat="1" applyFont="1" applyFill="1" applyBorder="1"/>
    <xf numFmtId="0" fontId="39" fillId="21" borderId="0" xfId="0" applyFont="1" applyFill="1"/>
    <xf numFmtId="0" fontId="31" fillId="21" borderId="0" xfId="0" applyFont="1" applyFill="1"/>
    <xf numFmtId="0" fontId="7" fillId="21" borderId="0" xfId="2" applyNumberFormat="1" applyFill="1"/>
    <xf numFmtId="0" fontId="39" fillId="35" borderId="0" xfId="0" applyFont="1" applyFill="1"/>
    <xf numFmtId="0" fontId="0" fillId="35" borderId="0" xfId="0" applyFill="1"/>
    <xf numFmtId="0" fontId="31" fillId="35" borderId="0" xfId="0" applyFont="1" applyFill="1"/>
    <xf numFmtId="0" fontId="7" fillId="35" borderId="0" xfId="2" applyNumberFormat="1" applyFill="1"/>
    <xf numFmtId="0" fontId="28" fillId="21" borderId="0" xfId="4" applyFill="1"/>
    <xf numFmtId="0" fontId="0" fillId="21" borderId="0" xfId="58" applyNumberFormat="1" applyFont="1" applyFill="1" applyBorder="1"/>
    <xf numFmtId="0" fontId="0" fillId="21" borderId="0" xfId="58" applyNumberFormat="1" applyFont="1" applyFill="1" applyBorder="1" applyAlignment="1">
      <alignment horizontal="right"/>
    </xf>
    <xf numFmtId="0" fontId="39" fillId="9" borderId="0" xfId="0" applyFont="1" applyFill="1"/>
    <xf numFmtId="0" fontId="0" fillId="9" borderId="0" xfId="58" applyNumberFormat="1" applyFont="1" applyFill="1" applyBorder="1" applyAlignment="1">
      <alignment horizontal="right"/>
    </xf>
    <xf numFmtId="0" fontId="28" fillId="9" borderId="0" xfId="58" applyNumberFormat="1" applyFont="1" applyFill="1" applyBorder="1" applyAlignment="1">
      <alignment horizontal="right"/>
    </xf>
    <xf numFmtId="0" fontId="31" fillId="9" borderId="0" xfId="0" applyFont="1" applyFill="1"/>
    <xf numFmtId="0" fontId="28" fillId="9" borderId="0" xfId="58" applyNumberFormat="1" applyFont="1" applyFill="1" applyBorder="1"/>
    <xf numFmtId="0" fontId="7" fillId="9" borderId="0" xfId="2" applyNumberFormat="1" applyFill="1"/>
    <xf numFmtId="0" fontId="0" fillId="9" borderId="0" xfId="58" applyNumberFormat="1" applyFont="1" applyFill="1" applyBorder="1"/>
    <xf numFmtId="0" fontId="7" fillId="38" borderId="0" xfId="2" applyNumberFormat="1" applyFill="1"/>
    <xf numFmtId="0" fontId="7" fillId="4" borderId="0" xfId="2" applyNumberFormat="1" applyFill="1"/>
    <xf numFmtId="0" fontId="7" fillId="19" borderId="0" xfId="2" applyNumberFormat="1" applyFill="1"/>
    <xf numFmtId="0" fontId="0" fillId="16" borderId="0" xfId="0" applyFill="1"/>
    <xf numFmtId="0" fontId="31" fillId="39" borderId="0" xfId="0" applyFont="1" applyFill="1"/>
    <xf numFmtId="0" fontId="28" fillId="39" borderId="0" xfId="4" applyFill="1"/>
    <xf numFmtId="0" fontId="0" fillId="39" borderId="0" xfId="0" applyFill="1"/>
    <xf numFmtId="0" fontId="7" fillId="39" borderId="0" xfId="2" applyNumberFormat="1" applyFill="1"/>
    <xf numFmtId="0" fontId="31" fillId="38" borderId="0" xfId="4" applyFont="1" applyFill="1"/>
    <xf numFmtId="0" fontId="28" fillId="38" borderId="0" xfId="4" applyFill="1"/>
    <xf numFmtId="0" fontId="31" fillId="38" borderId="0" xfId="0" applyFont="1" applyFill="1"/>
    <xf numFmtId="0" fontId="0" fillId="38" borderId="0" xfId="58" applyNumberFormat="1" applyFont="1" applyFill="1"/>
    <xf numFmtId="0" fontId="39" fillId="38" borderId="0" xfId="0" applyFont="1" applyFill="1"/>
    <xf numFmtId="0" fontId="39" fillId="38" borderId="0" xfId="58" applyNumberFormat="1" applyFont="1" applyFill="1"/>
    <xf numFmtId="0" fontId="31" fillId="38" borderId="0" xfId="58" applyNumberFormat="1" applyFont="1" applyFill="1"/>
    <xf numFmtId="0" fontId="0" fillId="38" borderId="0" xfId="1" applyNumberFormat="1" applyFont="1" applyFill="1"/>
    <xf numFmtId="0" fontId="0" fillId="16" borderId="0" xfId="1" applyNumberFormat="1" applyFont="1" applyFill="1"/>
    <xf numFmtId="0" fontId="7" fillId="16" borderId="0" xfId="2" applyNumberFormat="1" applyFill="1" applyBorder="1"/>
    <xf numFmtId="0" fontId="3" fillId="0" borderId="0" xfId="58" applyNumberFormat="1" applyFont="1" applyFill="1" applyBorder="1" applyAlignment="1">
      <alignment horizontal="right"/>
    </xf>
    <xf numFmtId="0" fontId="0" fillId="19" borderId="0" xfId="58" applyNumberFormat="1" applyFont="1" applyFill="1" applyBorder="1" applyAlignment="1">
      <alignment horizontal="right"/>
    </xf>
    <xf numFmtId="0" fontId="31" fillId="19" borderId="0" xfId="0" applyFont="1" applyFill="1"/>
    <xf numFmtId="0" fontId="12" fillId="19" borderId="0" xfId="0" applyFont="1" applyFill="1"/>
    <xf numFmtId="2" fontId="0" fillId="19" borderId="0" xfId="1" applyNumberFormat="1" applyFont="1" applyFill="1"/>
    <xf numFmtId="2" fontId="0" fillId="19" borderId="0" xfId="0" applyNumberFormat="1" applyFill="1"/>
    <xf numFmtId="0" fontId="5" fillId="19" borderId="0" xfId="0" applyFont="1" applyFill="1"/>
    <xf numFmtId="0" fontId="11" fillId="0" borderId="0" xfId="58" applyNumberFormat="1" applyFont="1" applyFill="1" applyBorder="1" applyAlignment="1">
      <alignment horizontal="right"/>
    </xf>
    <xf numFmtId="0" fontId="31" fillId="12" borderId="0" xfId="0" applyFont="1" applyFill="1"/>
    <xf numFmtId="0" fontId="42" fillId="7" borderId="0" xfId="0" applyFont="1" applyFill="1"/>
    <xf numFmtId="0" fontId="28" fillId="7" borderId="0" xfId="0" applyFont="1" applyFill="1"/>
    <xf numFmtId="0" fontId="39" fillId="7" borderId="0" xfId="0" applyFont="1" applyFill="1"/>
    <xf numFmtId="166" fontId="0" fillId="19" borderId="0" xfId="0" applyNumberFormat="1" applyFill="1"/>
    <xf numFmtId="0" fontId="31" fillId="4" borderId="0" xfId="0" applyFont="1" applyFill="1"/>
    <xf numFmtId="0" fontId="41" fillId="4" borderId="0" xfId="0" applyFont="1" applyFill="1"/>
    <xf numFmtId="0" fontId="39" fillId="4" borderId="0" xfId="0" applyFont="1" applyFill="1"/>
    <xf numFmtId="0" fontId="0" fillId="4" borderId="0" xfId="1" applyNumberFormat="1" applyFont="1" applyFill="1"/>
    <xf numFmtId="0" fontId="28" fillId="0" borderId="0" xfId="0" applyFont="1"/>
    <xf numFmtId="0" fontId="12" fillId="12" borderId="0" xfId="0" applyFont="1" applyFill="1"/>
    <xf numFmtId="0" fontId="28" fillId="12" borderId="0" xfId="0" applyFont="1" applyFill="1"/>
    <xf numFmtId="1" fontId="28" fillId="12" borderId="0" xfId="0" applyNumberFormat="1" applyFont="1" applyFill="1"/>
    <xf numFmtId="2" fontId="0" fillId="16" borderId="0" xfId="1" applyNumberFormat="1" applyFont="1" applyFill="1"/>
    <xf numFmtId="9" fontId="28" fillId="0" borderId="0" xfId="1" applyFont="1"/>
    <xf numFmtId="0" fontId="39" fillId="0" borderId="0" xfId="4" applyFont="1"/>
    <xf numFmtId="0" fontId="28" fillId="2" borderId="0" xfId="4" applyFill="1"/>
    <xf numFmtId="0" fontId="40" fillId="0" borderId="0" xfId="4" applyFont="1"/>
    <xf numFmtId="0" fontId="31" fillId="0" borderId="0" xfId="4" applyFont="1"/>
    <xf numFmtId="166" fontId="11" fillId="0" borderId="0" xfId="4" applyNumberFormat="1" applyFont="1"/>
    <xf numFmtId="166" fontId="28" fillId="2" borderId="0" xfId="4" applyNumberFormat="1" applyFill="1"/>
    <xf numFmtId="1" fontId="28" fillId="2" borderId="0" xfId="4" applyNumberFormat="1" applyFill="1"/>
    <xf numFmtId="9" fontId="28" fillId="2" borderId="0" xfId="1" applyFont="1" applyFill="1"/>
    <xf numFmtId="1" fontId="11" fillId="39" borderId="0" xfId="4" applyNumberFormat="1" applyFont="1" applyFill="1"/>
    <xf numFmtId="0" fontId="13" fillId="38" borderId="0" xfId="0" applyFont="1" applyFill="1"/>
    <xf numFmtId="9" fontId="13" fillId="38" borderId="0" xfId="1" applyFont="1" applyFill="1"/>
    <xf numFmtId="9" fontId="13" fillId="38" borderId="0" xfId="0" applyNumberFormat="1" applyFont="1" applyFill="1"/>
    <xf numFmtId="166" fontId="16" fillId="7" borderId="0" xfId="0" applyNumberFormat="1" applyFont="1" applyFill="1"/>
    <xf numFmtId="2" fontId="13" fillId="38" borderId="0" xfId="0" applyNumberFormat="1" applyFont="1" applyFill="1"/>
    <xf numFmtId="0" fontId="43" fillId="7" borderId="0" xfId="2" applyFont="1" applyFill="1"/>
    <xf numFmtId="0" fontId="43" fillId="4" borderId="0" xfId="2" applyFont="1" applyFill="1"/>
    <xf numFmtId="0" fontId="43" fillId="0" borderId="0" xfId="2" applyFont="1" applyFill="1"/>
    <xf numFmtId="0" fontId="43" fillId="14" borderId="0" xfId="2" applyFont="1" applyFill="1"/>
    <xf numFmtId="0" fontId="13" fillId="10" borderId="0" xfId="0" applyFont="1" applyFill="1"/>
    <xf numFmtId="0" fontId="43" fillId="10" borderId="0" xfId="2" applyFont="1" applyFill="1"/>
    <xf numFmtId="2" fontId="13" fillId="9" borderId="0" xfId="0" applyNumberFormat="1" applyFont="1" applyFill="1"/>
    <xf numFmtId="165" fontId="13" fillId="0" borderId="0" xfId="0" applyNumberFormat="1" applyFont="1"/>
    <xf numFmtId="1" fontId="13" fillId="38" borderId="0" xfId="0" applyNumberFormat="1" applyFont="1" applyFill="1"/>
    <xf numFmtId="9" fontId="13" fillId="0" borderId="0" xfId="1" applyFont="1"/>
    <xf numFmtId="2" fontId="23" fillId="0" borderId="0" xfId="0" applyNumberFormat="1" applyFont="1"/>
    <xf numFmtId="0" fontId="23" fillId="0" borderId="0" xfId="0" applyFont="1"/>
    <xf numFmtId="1" fontId="23" fillId="0" borderId="0" xfId="0" applyNumberFormat="1" applyFont="1"/>
    <xf numFmtId="0" fontId="6" fillId="0" borderId="0" xfId="3" applyAlignment="1">
      <alignment wrapText="1"/>
    </xf>
    <xf numFmtId="2" fontId="44" fillId="0" borderId="0" xfId="0" applyNumberFormat="1" applyFont="1"/>
    <xf numFmtId="166" fontId="6" fillId="0" borderId="0" xfId="0" applyNumberFormat="1" applyFont="1"/>
    <xf numFmtId="2" fontId="6" fillId="0" borderId="0" xfId="3" applyNumberFormat="1"/>
    <xf numFmtId="0" fontId="6" fillId="0" borderId="0" xfId="3" applyAlignment="1">
      <alignment horizontal="right"/>
    </xf>
    <xf numFmtId="1" fontId="6" fillId="0" borderId="0" xfId="3" applyNumberFormat="1"/>
    <xf numFmtId="0" fontId="0" fillId="0" borderId="0" xfId="0" applyAlignment="1">
      <alignment wrapText="1"/>
    </xf>
    <xf numFmtId="0" fontId="45" fillId="0" borderId="0" xfId="2" applyNumberFormat="1" applyFont="1" applyAlignment="1" applyProtection="1"/>
    <xf numFmtId="0" fontId="46" fillId="0" borderId="0" xfId="3" applyFont="1"/>
    <xf numFmtId="9" fontId="13" fillId="37" borderId="0" xfId="0" applyNumberFormat="1" applyFont="1" applyFill="1"/>
    <xf numFmtId="167" fontId="13" fillId="37" borderId="0" xfId="0" applyNumberFormat="1" applyFont="1" applyFill="1"/>
    <xf numFmtId="0" fontId="7" fillId="16" borderId="0" xfId="2" applyFill="1"/>
    <xf numFmtId="0" fontId="7" fillId="17" borderId="0" xfId="2" applyFill="1"/>
    <xf numFmtId="1" fontId="21" fillId="19" borderId="0" xfId="0" applyNumberFormat="1" applyFont="1" applyFill="1"/>
    <xf numFmtId="166" fontId="21" fillId="19" borderId="0" xfId="0" applyNumberFormat="1" applyFont="1" applyFill="1"/>
    <xf numFmtId="0" fontId="21" fillId="0" borderId="0" xfId="0" applyFont="1" applyAlignment="1">
      <alignment horizontal="right"/>
    </xf>
    <xf numFmtId="0" fontId="16" fillId="19" borderId="0" xfId="0" applyFont="1" applyFill="1"/>
    <xf numFmtId="0" fontId="13" fillId="2" borderId="0" xfId="0" applyFont="1" applyFill="1"/>
    <xf numFmtId="1" fontId="47" fillId="12" borderId="0" xfId="0" applyNumberFormat="1" applyFont="1" applyFill="1"/>
    <xf numFmtId="0" fontId="47" fillId="12" borderId="0" xfId="0" applyFont="1" applyFill="1"/>
    <xf numFmtId="0" fontId="38" fillId="12" borderId="0" xfId="0" applyFont="1" applyFill="1"/>
    <xf numFmtId="2" fontId="19" fillId="0" borderId="0" xfId="0" applyNumberFormat="1" applyFont="1"/>
    <xf numFmtId="0" fontId="17" fillId="19" borderId="0" xfId="0" applyFont="1" applyFill="1"/>
    <xf numFmtId="166" fontId="23" fillId="0" borderId="0" xfId="0" applyNumberFormat="1" applyFont="1"/>
    <xf numFmtId="9" fontId="13" fillId="9" borderId="0" xfId="0" applyNumberFormat="1" applyFont="1" applyFill="1"/>
    <xf numFmtId="0" fontId="47" fillId="0" borderId="0" xfId="0" applyFont="1"/>
    <xf numFmtId="166" fontId="47" fillId="12" borderId="0" xfId="0" applyNumberFormat="1" applyFont="1" applyFill="1"/>
    <xf numFmtId="166" fontId="48" fillId="12" borderId="0" xfId="0" applyNumberFormat="1" applyFont="1" applyFill="1"/>
    <xf numFmtId="0" fontId="21" fillId="0" borderId="0" xfId="4" applyFont="1"/>
    <xf numFmtId="166" fontId="17" fillId="0" borderId="0" xfId="0" applyNumberFormat="1" applyFont="1"/>
    <xf numFmtId="166" fontId="0" fillId="4" borderId="0" xfId="0" applyNumberFormat="1" applyFill="1"/>
    <xf numFmtId="1" fontId="13" fillId="2" borderId="0" xfId="0" applyNumberFormat="1" applyFont="1" applyFill="1"/>
    <xf numFmtId="166" fontId="21" fillId="2" borderId="0" xfId="0" applyNumberFormat="1" applyFont="1" applyFill="1"/>
    <xf numFmtId="0" fontId="17" fillId="2" borderId="0" xfId="0" applyFont="1" applyFill="1"/>
    <xf numFmtId="166" fontId="17" fillId="12" borderId="0" xfId="0" applyNumberFormat="1" applyFont="1" applyFill="1"/>
    <xf numFmtId="167" fontId="17" fillId="12" borderId="0" xfId="1" applyNumberFormat="1" applyFont="1" applyFill="1"/>
    <xf numFmtId="2" fontId="17" fillId="12" borderId="0" xfId="0" applyNumberFormat="1" applyFont="1" applyFill="1"/>
    <xf numFmtId="0" fontId="16" fillId="2" borderId="0" xfId="0" applyFont="1" applyFill="1"/>
    <xf numFmtId="166" fontId="17" fillId="2" borderId="0" xfId="0" applyNumberFormat="1" applyFont="1" applyFill="1"/>
    <xf numFmtId="2" fontId="17" fillId="2" borderId="0" xfId="0" applyNumberFormat="1" applyFont="1" applyFill="1"/>
    <xf numFmtId="1" fontId="17" fillId="2" borderId="0" xfId="0" applyNumberFormat="1" applyFont="1" applyFill="1"/>
    <xf numFmtId="0" fontId="50" fillId="0" borderId="0" xfId="0" applyFont="1" applyAlignment="1">
      <alignment wrapText="1"/>
    </xf>
    <xf numFmtId="2" fontId="50" fillId="12" borderId="0" xfId="0" applyNumberFormat="1" applyFont="1" applyFill="1"/>
    <xf numFmtId="1" fontId="50" fillId="12" borderId="0" xfId="0" applyNumberFormat="1" applyFont="1" applyFill="1"/>
    <xf numFmtId="166" fontId="21" fillId="12" borderId="0" xfId="0" applyNumberFormat="1" applyFont="1" applyFill="1"/>
    <xf numFmtId="1" fontId="16" fillId="40" borderId="0" xfId="0" applyNumberFormat="1" applyFont="1" applyFill="1"/>
    <xf numFmtId="0" fontId="16" fillId="40" borderId="0" xfId="0" applyFont="1" applyFill="1"/>
    <xf numFmtId="2" fontId="16" fillId="40" borderId="0" xfId="0" applyNumberFormat="1" applyFont="1" applyFill="1"/>
    <xf numFmtId="167" fontId="0" fillId="0" borderId="0" xfId="1" applyNumberFormat="1" applyFont="1"/>
    <xf numFmtId="0" fontId="23" fillId="12" borderId="0" xfId="0" applyFont="1" applyFill="1"/>
    <xf numFmtId="0" fontId="7" fillId="12" borderId="0" xfId="2" applyFill="1"/>
    <xf numFmtId="0" fontId="8" fillId="12" borderId="0" xfId="0" applyFont="1" applyFill="1"/>
    <xf numFmtId="166" fontId="38" fillId="2" borderId="0" xfId="0" applyNumberFormat="1" applyFont="1" applyFill="1"/>
    <xf numFmtId="0" fontId="7" fillId="41" borderId="0" xfId="2" applyFill="1"/>
    <xf numFmtId="0" fontId="0" fillId="41" borderId="0" xfId="0" applyFill="1"/>
    <xf numFmtId="166" fontId="6" fillId="41" borderId="0" xfId="0" applyNumberFormat="1" applyFont="1" applyFill="1"/>
    <xf numFmtId="0" fontId="8" fillId="21" borderId="0" xfId="0" applyFont="1" applyFill="1"/>
    <xf numFmtId="166" fontId="6" fillId="21" borderId="0" xfId="0" applyNumberFormat="1" applyFont="1" applyFill="1"/>
    <xf numFmtId="0" fontId="6" fillId="21" borderId="0" xfId="0" applyFont="1" applyFill="1"/>
    <xf numFmtId="2" fontId="23" fillId="12" borderId="0" xfId="0" applyNumberFormat="1" applyFont="1" applyFill="1"/>
    <xf numFmtId="2" fontId="24" fillId="2" borderId="0" xfId="0" applyNumberFormat="1" applyFont="1" applyFill="1"/>
    <xf numFmtId="0" fontId="7" fillId="39" borderId="0" xfId="2" applyFill="1"/>
    <xf numFmtId="0" fontId="7" fillId="42" borderId="0" xfId="2" applyFill="1"/>
    <xf numFmtId="0" fontId="0" fillId="42" borderId="0" xfId="0" applyFill="1"/>
    <xf numFmtId="166" fontId="24" fillId="4" borderId="0" xfId="0" applyNumberFormat="1" applyFont="1" applyFill="1"/>
    <xf numFmtId="166" fontId="38" fillId="4" borderId="0" xfId="0" applyNumberFormat="1" applyFont="1" applyFill="1"/>
    <xf numFmtId="2" fontId="13" fillId="4" borderId="0" xfId="0" applyNumberFormat="1" applyFont="1" applyFill="1"/>
    <xf numFmtId="0" fontId="6" fillId="0" borderId="0" xfId="0" applyFont="1"/>
    <xf numFmtId="0" fontId="0" fillId="41" borderId="0" xfId="0" applyFill="1" applyAlignment="1">
      <alignment horizontal="right"/>
    </xf>
    <xf numFmtId="0" fontId="28" fillId="43" borderId="0" xfId="4" applyFill="1"/>
    <xf numFmtId="0" fontId="31" fillId="43" borderId="0" xfId="4" applyFont="1" applyFill="1"/>
    <xf numFmtId="167" fontId="53" fillId="43" borderId="0" xfId="6" applyNumberFormat="1" applyFont="1" applyFill="1"/>
    <xf numFmtId="0" fontId="54" fillId="43" borderId="0" xfId="4" applyFont="1" applyFill="1"/>
    <xf numFmtId="0" fontId="53" fillId="43" borderId="0" xfId="4" applyFont="1" applyFill="1"/>
    <xf numFmtId="2" fontId="28" fillId="43" borderId="0" xfId="4" applyNumberFormat="1" applyFill="1"/>
    <xf numFmtId="1" fontId="31" fillId="43" borderId="0" xfId="4" applyNumberFormat="1" applyFont="1" applyFill="1"/>
    <xf numFmtId="1" fontId="53" fillId="43" borderId="0" xfId="4" applyNumberFormat="1" applyFont="1" applyFill="1"/>
    <xf numFmtId="1" fontId="40" fillId="43" borderId="0" xfId="4" applyNumberFormat="1" applyFont="1" applyFill="1"/>
    <xf numFmtId="0" fontId="55" fillId="43" borderId="0" xfId="4" applyFont="1" applyFill="1"/>
    <xf numFmtId="0" fontId="28" fillId="43" borderId="0" xfId="4" applyFill="1" applyAlignment="1">
      <alignment horizontal="right"/>
    </xf>
    <xf numFmtId="0" fontId="56" fillId="43" borderId="0" xfId="4" applyFont="1" applyFill="1"/>
    <xf numFmtId="0" fontId="28" fillId="43" borderId="0" xfId="4" applyFill="1" applyAlignment="1">
      <alignment vertical="top"/>
    </xf>
    <xf numFmtId="0" fontId="57" fillId="43" borderId="0" xfId="4" applyFont="1" applyFill="1"/>
    <xf numFmtId="0" fontId="58" fillId="43" borderId="0" xfId="4" applyFont="1" applyFill="1"/>
    <xf numFmtId="0" fontId="59" fillId="43" borderId="0" xfId="4" applyFont="1" applyFill="1"/>
    <xf numFmtId="0" fontId="60" fillId="43" borderId="0" xfId="4" applyFont="1" applyFill="1"/>
    <xf numFmtId="0" fontId="61" fillId="43" borderId="0" xfId="4" applyFont="1" applyFill="1"/>
    <xf numFmtId="0" fontId="62" fillId="44" borderId="0" xfId="4" applyFont="1" applyFill="1"/>
    <xf numFmtId="0" fontId="63" fillId="44" borderId="0" xfId="4" applyFont="1" applyFill="1"/>
    <xf numFmtId="3" fontId="0" fillId="0" borderId="0" xfId="0" applyNumberFormat="1"/>
    <xf numFmtId="4" fontId="0" fillId="0" borderId="0" xfId="0" applyNumberFormat="1"/>
    <xf numFmtId="0" fontId="64" fillId="0" borderId="0" xfId="4" applyFont="1"/>
    <xf numFmtId="0" fontId="65" fillId="0" borderId="0" xfId="4" applyFont="1"/>
    <xf numFmtId="9" fontId="28" fillId="4" borderId="0" xfId="4" applyNumberFormat="1" applyFill="1"/>
    <xf numFmtId="1" fontId="65" fillId="0" borderId="0" xfId="0" applyNumberFormat="1" applyFont="1"/>
    <xf numFmtId="0" fontId="66" fillId="0" borderId="0" xfId="2" applyFont="1" applyFill="1"/>
    <xf numFmtId="0" fontId="65" fillId="0" borderId="0" xfId="0" applyFont="1"/>
    <xf numFmtId="4" fontId="28" fillId="0" borderId="0" xfId="4" applyNumberFormat="1"/>
    <xf numFmtId="0" fontId="16" fillId="0" borderId="0" xfId="4" applyFont="1"/>
    <xf numFmtId="166" fontId="31" fillId="0" borderId="0" xfId="4" applyNumberFormat="1" applyFont="1"/>
    <xf numFmtId="0" fontId="16" fillId="0" borderId="0" xfId="1" applyNumberFormat="1" applyFont="1" applyFill="1"/>
    <xf numFmtId="3" fontId="67" fillId="0" borderId="0" xfId="0" applyNumberFormat="1" applyFont="1"/>
    <xf numFmtId="0" fontId="67" fillId="0" borderId="0" xfId="0" applyFont="1"/>
    <xf numFmtId="9" fontId="28" fillId="0" borderId="0" xfId="1" applyFont="1" applyAlignment="1"/>
    <xf numFmtId="0" fontId="68" fillId="0" borderId="0" xfId="0" applyFont="1" applyAlignment="1">
      <alignment horizontal="right"/>
    </xf>
    <xf numFmtId="0" fontId="66" fillId="7" borderId="0" xfId="2" applyFont="1" applyFill="1" applyAlignment="1"/>
    <xf numFmtId="0" fontId="7" fillId="0" borderId="0" xfId="2" applyFill="1" applyAlignment="1"/>
    <xf numFmtId="0" fontId="68" fillId="0" borderId="0" xfId="0" applyFont="1" applyAlignment="1">
      <alignment horizontal="left"/>
    </xf>
    <xf numFmtId="3" fontId="28" fillId="0" borderId="0" xfId="4" applyNumberFormat="1"/>
    <xf numFmtId="0" fontId="6" fillId="0" borderId="0" xfId="0" applyFont="1" applyAlignment="1">
      <alignment horizontal="left"/>
    </xf>
    <xf numFmtId="0" fontId="2" fillId="0" borderId="0" xfId="4" applyFont="1"/>
    <xf numFmtId="0" fontId="32" fillId="0" borderId="0" xfId="4" applyFont="1"/>
    <xf numFmtId="3" fontId="32" fillId="0" borderId="0" xfId="4" applyNumberFormat="1" applyFont="1"/>
    <xf numFmtId="166" fontId="32" fillId="0" borderId="0" xfId="4" applyNumberFormat="1" applyFont="1"/>
    <xf numFmtId="3" fontId="8" fillId="0" borderId="0" xfId="0" applyNumberFormat="1" applyFont="1"/>
    <xf numFmtId="166" fontId="69" fillId="0" borderId="0" xfId="4" applyNumberFormat="1" applyFont="1"/>
    <xf numFmtId="0" fontId="69" fillId="0" borderId="0" xfId="4" applyFont="1"/>
    <xf numFmtId="169" fontId="0" fillId="0" borderId="0" xfId="0" applyNumberFormat="1"/>
    <xf numFmtId="4" fontId="31" fillId="0" borderId="0" xfId="4" applyNumberFormat="1" applyFont="1"/>
    <xf numFmtId="0" fontId="55" fillId="43" borderId="0" xfId="4" applyFont="1" applyFill="1" applyAlignment="1">
      <alignment wrapText="1"/>
    </xf>
    <xf numFmtId="0" fontId="54" fillId="43" borderId="0" xfId="4" applyFont="1" applyFill="1" applyAlignment="1">
      <alignment wrapText="1"/>
    </xf>
    <xf numFmtId="0" fontId="28" fillId="43" borderId="0" xfId="4" applyFill="1" applyAlignment="1">
      <alignment wrapText="1"/>
    </xf>
    <xf numFmtId="0" fontId="31" fillId="43" borderId="0" xfId="4" applyFont="1" applyFill="1" applyAlignment="1">
      <alignment wrapText="1"/>
    </xf>
    <xf numFmtId="0" fontId="11" fillId="43" borderId="0" xfId="4" applyFont="1" applyFill="1" applyAlignment="1">
      <alignment wrapText="1"/>
    </xf>
    <xf numFmtId="1" fontId="11" fillId="43" borderId="0" xfId="4" applyNumberFormat="1" applyFont="1" applyFill="1" applyAlignment="1">
      <alignment wrapText="1"/>
    </xf>
    <xf numFmtId="0" fontId="11" fillId="43" borderId="0" xfId="4" applyFont="1" applyFill="1"/>
    <xf numFmtId="1" fontId="11" fillId="43" borderId="0" xfId="4" applyNumberFormat="1" applyFont="1" applyFill="1"/>
    <xf numFmtId="166" fontId="11" fillId="43" borderId="0" xfId="4" applyNumberFormat="1" applyFont="1" applyFill="1"/>
    <xf numFmtId="2" fontId="11" fillId="43" borderId="0" xfId="4" applyNumberFormat="1" applyFont="1" applyFill="1"/>
    <xf numFmtId="166" fontId="11" fillId="43" borderId="0" xfId="4" applyNumberFormat="1" applyFont="1" applyFill="1" applyAlignment="1">
      <alignment horizontal="centerContinuous"/>
    </xf>
    <xf numFmtId="1" fontId="11" fillId="43" borderId="0" xfId="4" applyNumberFormat="1" applyFont="1" applyFill="1" applyAlignment="1">
      <alignment horizontal="centerContinuous"/>
    </xf>
    <xf numFmtId="1" fontId="28" fillId="43" borderId="0" xfId="4" applyNumberFormat="1" applyFill="1"/>
    <xf numFmtId="166" fontId="28" fillId="43" borderId="0" xfId="4" applyNumberFormat="1" applyFill="1"/>
    <xf numFmtId="0" fontId="28" fillId="43" borderId="0" xfId="4" applyFill="1" applyAlignment="1">
      <alignment horizontal="left"/>
    </xf>
    <xf numFmtId="0" fontId="0" fillId="45" borderId="0" xfId="0" applyFill="1"/>
    <xf numFmtId="0" fontId="7" fillId="45" borderId="0" xfId="2" applyFill="1"/>
    <xf numFmtId="1" fontId="4" fillId="0" borderId="0" xfId="0" applyNumberFormat="1" applyFont="1"/>
    <xf numFmtId="0" fontId="70" fillId="43" borderId="0" xfId="4" applyFont="1" applyFill="1"/>
    <xf numFmtId="0" fontId="71" fillId="46" borderId="18" xfId="0" applyFont="1" applyFill="1" applyBorder="1" applyAlignment="1">
      <alignment horizontal="left" vertical="center" wrapText="1"/>
    </xf>
    <xf numFmtId="0" fontId="72" fillId="46" borderId="19" xfId="0" applyFont="1" applyFill="1" applyBorder="1" applyAlignment="1">
      <alignment horizontal="left" vertical="center" wrapText="1"/>
    </xf>
    <xf numFmtId="1" fontId="72" fillId="0" borderId="17" xfId="0" applyNumberFormat="1" applyFont="1" applyBorder="1" applyAlignment="1">
      <alignment horizontal="left" vertical="center" wrapText="1"/>
    </xf>
    <xf numFmtId="1" fontId="72" fillId="0" borderId="19" xfId="0" applyNumberFormat="1" applyFont="1" applyBorder="1" applyAlignment="1">
      <alignment horizontal="left" vertical="center" wrapText="1"/>
    </xf>
    <xf numFmtId="1" fontId="72" fillId="47" borderId="17" xfId="0" applyNumberFormat="1" applyFont="1" applyFill="1" applyBorder="1" applyAlignment="1">
      <alignment horizontal="left" vertical="center" wrapText="1"/>
    </xf>
    <xf numFmtId="1" fontId="72" fillId="47" borderId="19" xfId="0" applyNumberFormat="1" applyFont="1" applyFill="1" applyBorder="1" applyAlignment="1">
      <alignment horizontal="left" vertical="center" wrapText="1"/>
    </xf>
    <xf numFmtId="166" fontId="72" fillId="0" borderId="19" xfId="0" applyNumberFormat="1" applyFont="1" applyBorder="1" applyAlignment="1">
      <alignment horizontal="left" vertical="center" wrapText="1"/>
    </xf>
    <xf numFmtId="166" fontId="72" fillId="47" borderId="19" xfId="0" applyNumberFormat="1" applyFont="1" applyFill="1" applyBorder="1" applyAlignment="1">
      <alignment horizontal="left" vertical="center" wrapText="1"/>
    </xf>
    <xf numFmtId="2" fontId="72" fillId="47" borderId="19" xfId="0" applyNumberFormat="1" applyFont="1" applyFill="1" applyBorder="1" applyAlignment="1">
      <alignment horizontal="left" vertical="center" wrapText="1"/>
    </xf>
    <xf numFmtId="2" fontId="72" fillId="0" borderId="19" xfId="0" applyNumberFormat="1" applyFont="1" applyBorder="1" applyAlignment="1">
      <alignment horizontal="left" vertical="center" wrapText="1"/>
    </xf>
    <xf numFmtId="0" fontId="63" fillId="44" borderId="0" xfId="59" applyFont="1" applyFill="1"/>
    <xf numFmtId="0" fontId="62" fillId="44" borderId="0" xfId="59" applyFont="1" applyFill="1"/>
    <xf numFmtId="0" fontId="1" fillId="43" borderId="0" xfId="59" applyFill="1"/>
    <xf numFmtId="0" fontId="31" fillId="43" borderId="0" xfId="59" applyFont="1" applyFill="1"/>
    <xf numFmtId="0" fontId="56" fillId="43" borderId="0" xfId="59" applyFont="1" applyFill="1"/>
    <xf numFmtId="0" fontId="55" fillId="43" borderId="0" xfId="59" applyFont="1" applyFill="1"/>
    <xf numFmtId="0" fontId="61" fillId="43" borderId="0" xfId="59" applyFont="1" applyFill="1"/>
    <xf numFmtId="0" fontId="54" fillId="43" borderId="0" xfId="59" applyFont="1" applyFill="1"/>
    <xf numFmtId="0" fontId="60" fillId="43" borderId="0" xfId="59" applyFont="1" applyFill="1"/>
    <xf numFmtId="0" fontId="1" fillId="43" borderId="0" xfId="59" applyFill="1" applyAlignment="1">
      <alignment vertical="top"/>
    </xf>
    <xf numFmtId="0" fontId="59" fillId="43" borderId="0" xfId="59" applyFont="1" applyFill="1"/>
    <xf numFmtId="0" fontId="58" fillId="43" borderId="0" xfId="59" applyFont="1" applyFill="1"/>
    <xf numFmtId="0" fontId="57" fillId="43" borderId="0" xfId="59" applyFont="1" applyFill="1"/>
    <xf numFmtId="1" fontId="31" fillId="43" borderId="0" xfId="59" applyNumberFormat="1" applyFont="1" applyFill="1"/>
    <xf numFmtId="2" fontId="1" fillId="43" borderId="0" xfId="59" applyNumberFormat="1" applyFill="1"/>
    <xf numFmtId="0" fontId="1" fillId="43" borderId="0" xfId="59" applyFill="1" applyAlignment="1">
      <alignment horizontal="right"/>
    </xf>
    <xf numFmtId="1" fontId="40" fillId="43" borderId="0" xfId="59" applyNumberFormat="1" applyFont="1" applyFill="1"/>
    <xf numFmtId="1" fontId="53" fillId="43" borderId="0" xfId="59" applyNumberFormat="1" applyFont="1" applyFill="1"/>
    <xf numFmtId="0" fontId="53" fillId="43" borderId="0" xfId="59" applyFont="1" applyFill="1"/>
    <xf numFmtId="167" fontId="53" fillId="43" borderId="0" xfId="60" applyNumberFormat="1" applyFont="1" applyFill="1"/>
    <xf numFmtId="1" fontId="57" fillId="43" borderId="0" xfId="4" applyNumberFormat="1" applyFont="1" applyFill="1"/>
    <xf numFmtId="1" fontId="57" fillId="43" borderId="0" xfId="59" applyNumberFormat="1" applyFont="1" applyFill="1"/>
    <xf numFmtId="166" fontId="40" fillId="43" borderId="0" xfId="4" applyNumberFormat="1" applyFont="1" applyFill="1"/>
    <xf numFmtId="166" fontId="40" fillId="43" borderId="0" xfId="59" applyNumberFormat="1" applyFont="1" applyFill="1"/>
    <xf numFmtId="166" fontId="57" fillId="43" borderId="0" xfId="4" applyNumberFormat="1" applyFont="1" applyFill="1"/>
    <xf numFmtId="166" fontId="57" fillId="43" borderId="0" xfId="59" applyNumberFormat="1" applyFont="1" applyFill="1"/>
    <xf numFmtId="1" fontId="1" fillId="43" borderId="0" xfId="59" applyNumberFormat="1" applyFill="1"/>
    <xf numFmtId="0" fontId="73" fillId="43" borderId="0" xfId="59" applyFont="1" applyFill="1"/>
    <xf numFmtId="1" fontId="16" fillId="2" borderId="0" xfId="0" applyNumberFormat="1" applyFont="1" applyFill="1"/>
    <xf numFmtId="0" fontId="74" fillId="12" borderId="0" xfId="0" applyFont="1" applyFill="1"/>
    <xf numFmtId="9" fontId="17" fillId="12" borderId="0" xfId="1" applyFont="1" applyFill="1"/>
    <xf numFmtId="165" fontId="17" fillId="12" borderId="0" xfId="0" applyNumberFormat="1" applyFont="1" applyFill="1"/>
    <xf numFmtId="170" fontId="17" fillId="12" borderId="0" xfId="0" applyNumberFormat="1" applyFont="1" applyFill="1"/>
    <xf numFmtId="170" fontId="17" fillId="2" borderId="0" xfId="0" applyNumberFormat="1" applyFont="1" applyFill="1"/>
    <xf numFmtId="0" fontId="13" fillId="38" borderId="0" xfId="0" applyFont="1" applyFill="1" applyAlignment="1">
      <alignment wrapText="1"/>
    </xf>
    <xf numFmtId="2" fontId="13" fillId="2" borderId="0" xfId="0" applyNumberFormat="1" applyFont="1" applyFill="1"/>
    <xf numFmtId="0" fontId="40" fillId="43" borderId="0" xfId="59" applyFont="1" applyFill="1"/>
    <xf numFmtId="166" fontId="1" fillId="43" borderId="0" xfId="59" applyNumberFormat="1" applyFill="1"/>
    <xf numFmtId="0" fontId="75" fillId="43" borderId="0" xfId="4" applyFont="1" applyFill="1"/>
    <xf numFmtId="0" fontId="76" fillId="43" borderId="0" xfId="4" applyFont="1" applyFill="1"/>
    <xf numFmtId="0" fontId="69" fillId="43" borderId="0" xfId="4" applyFont="1" applyFill="1"/>
    <xf numFmtId="0" fontId="77" fillId="43" borderId="0" xfId="4" applyFont="1" applyFill="1"/>
    <xf numFmtId="0" fontId="77" fillId="43" borderId="0" xfId="59" applyFont="1" applyFill="1"/>
    <xf numFmtId="0" fontId="78" fillId="0" borderId="0" xfId="0" applyFont="1" applyAlignment="1">
      <alignment wrapText="1"/>
    </xf>
    <xf numFmtId="0" fontId="78" fillId="0" borderId="0" xfId="0" applyFont="1" applyAlignment="1">
      <alignment vertical="top" wrapText="1"/>
    </xf>
    <xf numFmtId="170" fontId="40" fillId="43" borderId="0" xfId="4" applyNumberFormat="1" applyFont="1" applyFill="1"/>
    <xf numFmtId="0" fontId="79" fillId="0" borderId="0" xfId="0" applyFont="1" applyAlignment="1">
      <alignment wrapText="1"/>
    </xf>
    <xf numFmtId="1" fontId="80" fillId="43" borderId="0" xfId="59" applyNumberFormat="1" applyFont="1" applyFill="1"/>
    <xf numFmtId="0" fontId="81" fillId="43" borderId="0" xfId="59" applyFont="1" applyFill="1"/>
    <xf numFmtId="166" fontId="77" fillId="43" borderId="0" xfId="59" applyNumberFormat="1" applyFont="1" applyFill="1"/>
    <xf numFmtId="166" fontId="55" fillId="43" borderId="0" xfId="4" applyNumberFormat="1" applyFont="1" applyFill="1"/>
    <xf numFmtId="166" fontId="31" fillId="43" borderId="0" xfId="59" applyNumberFormat="1" applyFont="1" applyFill="1"/>
    <xf numFmtId="166" fontId="77" fillId="43" borderId="0" xfId="4" applyNumberFormat="1" applyFont="1" applyFill="1"/>
    <xf numFmtId="166" fontId="75" fillId="43" borderId="0" xfId="4" applyNumberFormat="1" applyFont="1" applyFill="1"/>
    <xf numFmtId="166" fontId="76" fillId="43" borderId="0" xfId="4" applyNumberFormat="1" applyFont="1" applyFill="1"/>
    <xf numFmtId="166" fontId="69" fillId="43" borderId="0" xfId="4" applyNumberFormat="1" applyFont="1" applyFill="1"/>
    <xf numFmtId="166" fontId="80" fillId="43" borderId="0" xfId="59" applyNumberFormat="1" applyFont="1" applyFill="1"/>
    <xf numFmtId="166" fontId="53" fillId="43" borderId="0" xfId="59" applyNumberFormat="1" applyFont="1" applyFill="1"/>
    <xf numFmtId="2" fontId="21" fillId="12" borderId="0" xfId="0" applyNumberFormat="1" applyFont="1" applyFill="1"/>
    <xf numFmtId="2" fontId="82" fillId="12" borderId="0" xfId="0" applyNumberFormat="1" applyFont="1" applyFill="1"/>
    <xf numFmtId="1" fontId="78" fillId="0" borderId="0" xfId="0" applyNumberFormat="1" applyFont="1"/>
    <xf numFmtId="2" fontId="78" fillId="0" borderId="0" xfId="0" applyNumberFormat="1" applyFont="1"/>
    <xf numFmtId="0" fontId="83" fillId="0" borderId="0" xfId="0" applyFont="1" applyAlignment="1">
      <alignment vertical="top" wrapText="1"/>
    </xf>
    <xf numFmtId="1" fontId="74" fillId="0" borderId="0" xfId="0" applyNumberFormat="1" applyFont="1"/>
    <xf numFmtId="0" fontId="83" fillId="0" borderId="0" xfId="0" applyFont="1" applyAlignment="1">
      <alignment wrapText="1"/>
    </xf>
    <xf numFmtId="166" fontId="13" fillId="2" borderId="0" xfId="0" applyNumberFormat="1" applyFont="1" applyFill="1"/>
    <xf numFmtId="9" fontId="13" fillId="2" borderId="0" xfId="1" applyFont="1" applyFill="1"/>
    <xf numFmtId="1" fontId="67" fillId="0" borderId="0" xfId="0" applyNumberFormat="1" applyFont="1"/>
    <xf numFmtId="0" fontId="67" fillId="0" borderId="0" xfId="0" applyFont="1" applyAlignment="1">
      <alignment horizontal="right"/>
    </xf>
    <xf numFmtId="0" fontId="0" fillId="0" borderId="0" xfId="0" applyAlignment="1">
      <alignment horizontal="right"/>
    </xf>
    <xf numFmtId="165" fontId="17" fillId="19" borderId="0" xfId="0" applyNumberFormat="1" applyFont="1" applyFill="1"/>
    <xf numFmtId="3" fontId="13" fillId="0" borderId="0" xfId="0" applyNumberFormat="1" applyFont="1"/>
    <xf numFmtId="1" fontId="40" fillId="35" borderId="0" xfId="4" applyNumberFormat="1" applyFont="1" applyFill="1"/>
    <xf numFmtId="166" fontId="55" fillId="43" borderId="0" xfId="4" applyNumberFormat="1" applyFont="1" applyFill="1" applyAlignment="1">
      <alignment wrapText="1"/>
    </xf>
    <xf numFmtId="166" fontId="40" fillId="35" borderId="0" xfId="4" applyNumberFormat="1" applyFont="1" applyFill="1"/>
    <xf numFmtId="0" fontId="7" fillId="3" borderId="0" xfId="2" applyFill="1"/>
    <xf numFmtId="166" fontId="6" fillId="0" borderId="0" xfId="3" applyNumberFormat="1"/>
    <xf numFmtId="166" fontId="5" fillId="0" borderId="0" xfId="0" applyNumberFormat="1" applyFont="1"/>
    <xf numFmtId="166" fontId="68" fillId="0" borderId="0" xfId="3" applyNumberFormat="1" applyFont="1"/>
    <xf numFmtId="0" fontId="40" fillId="43" borderId="0" xfId="4" applyFont="1" applyFill="1"/>
    <xf numFmtId="1" fontId="84" fillId="43" borderId="0" xfId="4" applyNumberFormat="1" applyFont="1" applyFill="1"/>
    <xf numFmtId="2" fontId="40" fillId="43" borderId="0" xfId="59" applyNumberFormat="1" applyFont="1" applyFill="1"/>
    <xf numFmtId="2" fontId="55" fillId="43" borderId="0" xfId="59" applyNumberFormat="1" applyFont="1" applyFill="1"/>
    <xf numFmtId="0" fontId="85" fillId="43" borderId="0" xfId="4" applyFont="1" applyFill="1"/>
    <xf numFmtId="166" fontId="84" fillId="43" borderId="0" xfId="4" applyNumberFormat="1" applyFont="1" applyFill="1"/>
    <xf numFmtId="1" fontId="86" fillId="12" borderId="0" xfId="0" applyNumberFormat="1" applyFont="1" applyFill="1"/>
    <xf numFmtId="166" fontId="86" fillId="12" borderId="0" xfId="0" applyNumberFormat="1" applyFont="1" applyFill="1"/>
    <xf numFmtId="166" fontId="88" fillId="12" borderId="0" xfId="0" applyNumberFormat="1" applyFont="1" applyFill="1"/>
    <xf numFmtId="2" fontId="88" fillId="12" borderId="0" xfId="0" applyNumberFormat="1" applyFont="1" applyFill="1"/>
    <xf numFmtId="167" fontId="0" fillId="0" borderId="0" xfId="0" applyNumberFormat="1"/>
    <xf numFmtId="1" fontId="88" fillId="12" borderId="0" xfId="0" applyNumberFormat="1" applyFont="1" applyFill="1"/>
    <xf numFmtId="2" fontId="87" fillId="12" borderId="0" xfId="0" applyNumberFormat="1" applyFont="1" applyFill="1"/>
    <xf numFmtId="167" fontId="88" fillId="12" borderId="0" xfId="1" applyNumberFormat="1" applyFont="1" applyFill="1"/>
    <xf numFmtId="0" fontId="89" fillId="43" borderId="0" xfId="4" applyFont="1" applyFill="1"/>
    <xf numFmtId="1" fontId="90" fillId="43" borderId="0" xfId="59" applyNumberFormat="1" applyFont="1" applyFill="1"/>
    <xf numFmtId="0" fontId="28" fillId="43" borderId="0" xfId="4" applyFill="1" applyAlignment="1">
      <alignment horizontal="center" vertical="center" wrapText="1"/>
    </xf>
    <xf numFmtId="0" fontId="31" fillId="43" borderId="0" xfId="4" applyFont="1" applyFill="1" applyAlignment="1">
      <alignment horizontal="center" vertical="center" wrapText="1"/>
    </xf>
    <xf numFmtId="0" fontId="28" fillId="43" borderId="0" xfId="4" applyFill="1" applyAlignment="1">
      <alignment vertical="top" wrapText="1"/>
    </xf>
    <xf numFmtId="2" fontId="28" fillId="43" borderId="0" xfId="4" applyNumberFormat="1" applyFill="1" applyAlignment="1">
      <alignment wrapText="1"/>
    </xf>
    <xf numFmtId="0" fontId="28" fillId="43" borderId="0" xfId="4" applyFill="1" applyAlignment="1">
      <alignment horizontal="right" vertical="center" wrapText="1"/>
    </xf>
    <xf numFmtId="0" fontId="31" fillId="43" borderId="0" xfId="4" applyFont="1" applyFill="1" applyAlignment="1">
      <alignment horizontal="right" vertical="center" wrapText="1"/>
    </xf>
    <xf numFmtId="0" fontId="28" fillId="43" borderId="0" xfId="4" applyFill="1" applyAlignment="1">
      <alignment horizontal="right" wrapText="1"/>
    </xf>
    <xf numFmtId="1" fontId="31" fillId="43" borderId="0" xfId="4" applyNumberFormat="1" applyFont="1" applyFill="1" applyAlignment="1">
      <alignment horizontal="right" wrapText="1"/>
    </xf>
    <xf numFmtId="0" fontId="91" fillId="43" borderId="0" xfId="4" applyFont="1" applyFill="1" applyAlignment="1">
      <alignment horizontal="right" vertical="center" wrapText="1"/>
    </xf>
    <xf numFmtId="0" fontId="92" fillId="43" borderId="0" xfId="4" applyFont="1" applyFill="1" applyAlignment="1">
      <alignment horizontal="right" vertical="center" wrapText="1"/>
    </xf>
    <xf numFmtId="0" fontId="91" fillId="43" borderId="10" xfId="4" applyFont="1" applyFill="1" applyBorder="1" applyAlignment="1">
      <alignment horizontal="right" vertical="center" wrapText="1"/>
    </xf>
    <xf numFmtId="0" fontId="91" fillId="43" borderId="0" xfId="4" applyFont="1" applyFill="1" applyAlignment="1">
      <alignment horizontal="right" wrapText="1"/>
    </xf>
    <xf numFmtId="0" fontId="91" fillId="43" borderId="15" xfId="4" applyFont="1" applyFill="1" applyBorder="1" applyAlignment="1">
      <alignment horizontal="right" vertical="center" wrapText="1"/>
    </xf>
    <xf numFmtId="0" fontId="91" fillId="43" borderId="12" xfId="4" applyFont="1" applyFill="1" applyBorder="1" applyAlignment="1">
      <alignment horizontal="right" vertical="center" wrapText="1"/>
    </xf>
    <xf numFmtId="0" fontId="92" fillId="43" borderId="12" xfId="4" applyFont="1" applyFill="1" applyBorder="1" applyAlignment="1">
      <alignment horizontal="right" vertical="center" wrapText="1"/>
    </xf>
    <xf numFmtId="0" fontId="91" fillId="43" borderId="10" xfId="4" applyFont="1" applyFill="1" applyBorder="1" applyAlignment="1">
      <alignment horizontal="right"/>
    </xf>
    <xf numFmtId="0" fontId="91" fillId="43" borderId="0" xfId="4" applyFont="1" applyFill="1" applyAlignment="1">
      <alignment horizontal="right"/>
    </xf>
    <xf numFmtId="0" fontId="92" fillId="43" borderId="0" xfId="4" applyFont="1" applyFill="1" applyAlignment="1">
      <alignment horizontal="right"/>
    </xf>
    <xf numFmtId="0" fontId="92" fillId="43" borderId="10" xfId="4" applyFont="1" applyFill="1" applyBorder="1" applyAlignment="1">
      <alignment horizontal="right" vertical="center" wrapText="1"/>
    </xf>
    <xf numFmtId="0" fontId="91" fillId="43" borderId="10" xfId="4" applyFont="1" applyFill="1" applyBorder="1" applyAlignment="1">
      <alignment horizontal="right" wrapText="1"/>
    </xf>
    <xf numFmtId="0" fontId="93" fillId="43" borderId="0" xfId="4" applyFont="1" applyFill="1" applyAlignment="1">
      <alignment horizontal="right" vertical="center" wrapText="1"/>
    </xf>
    <xf numFmtId="0" fontId="91" fillId="43" borderId="10" xfId="4" applyFont="1" applyFill="1" applyBorder="1" applyAlignment="1">
      <alignment horizontal="right" vertical="top" wrapText="1"/>
    </xf>
    <xf numFmtId="1" fontId="92" fillId="43" borderId="0" xfId="4" applyNumberFormat="1" applyFont="1" applyFill="1" applyAlignment="1">
      <alignment horizontal="right" wrapText="1"/>
    </xf>
    <xf numFmtId="0" fontId="91" fillId="43" borderId="12" xfId="4" applyFont="1" applyFill="1" applyBorder="1" applyAlignment="1">
      <alignment horizontal="right"/>
    </xf>
    <xf numFmtId="0" fontId="92" fillId="43" borderId="12" xfId="4" applyFont="1" applyFill="1" applyBorder="1" applyAlignment="1">
      <alignment horizontal="right"/>
    </xf>
    <xf numFmtId="0" fontId="91" fillId="43" borderId="0" xfId="4" applyFont="1" applyFill="1" applyAlignment="1">
      <alignment horizontal="right" vertical="top" wrapText="1"/>
    </xf>
    <xf numFmtId="2" fontId="91" fillId="43" borderId="0" xfId="4" applyNumberFormat="1" applyFont="1" applyFill="1" applyAlignment="1">
      <alignment horizontal="right" wrapText="1"/>
    </xf>
    <xf numFmtId="2" fontId="91" fillId="43" borderId="10" xfId="4" applyNumberFormat="1" applyFont="1" applyFill="1" applyBorder="1" applyAlignment="1">
      <alignment horizontal="right" wrapText="1"/>
    </xf>
    <xf numFmtId="2" fontId="28" fillId="43" borderId="0" xfId="4" applyNumberFormat="1" applyFill="1" applyAlignment="1">
      <alignment horizontal="right" wrapText="1"/>
    </xf>
    <xf numFmtId="0" fontId="94" fillId="43" borderId="0" xfId="4" applyFont="1" applyFill="1" applyAlignment="1">
      <alignment horizontal="right" vertical="center" wrapText="1"/>
    </xf>
    <xf numFmtId="0" fontId="94" fillId="43" borderId="20" xfId="4" applyFont="1" applyFill="1" applyBorder="1" applyAlignment="1">
      <alignment horizontal="right" vertical="center" wrapText="1"/>
    </xf>
    <xf numFmtId="0" fontId="94" fillId="43" borderId="0" xfId="4" applyFont="1" applyFill="1" applyAlignment="1">
      <alignment horizontal="right"/>
    </xf>
    <xf numFmtId="0" fontId="94" fillId="43" borderId="20" xfId="4" applyFont="1" applyFill="1" applyBorder="1" applyAlignment="1">
      <alignment horizontal="right"/>
    </xf>
    <xf numFmtId="0" fontId="94" fillId="43" borderId="22" xfId="4" applyFont="1" applyFill="1" applyBorder="1" applyAlignment="1">
      <alignment horizontal="right" vertical="center" wrapText="1"/>
    </xf>
    <xf numFmtId="0" fontId="94" fillId="43" borderId="23" xfId="4" applyFont="1" applyFill="1" applyBorder="1" applyAlignment="1">
      <alignment horizontal="right" vertical="center" wrapText="1"/>
    </xf>
    <xf numFmtId="0" fontId="94" fillId="43" borderId="0" xfId="4" applyFont="1" applyFill="1" applyAlignment="1">
      <alignment horizontal="right" wrapText="1"/>
    </xf>
    <xf numFmtId="0" fontId="94" fillId="43" borderId="21" xfId="4" applyFont="1" applyFill="1" applyBorder="1" applyAlignment="1">
      <alignment horizontal="right"/>
    </xf>
    <xf numFmtId="0" fontId="94" fillId="43" borderId="19" xfId="4" applyFont="1" applyFill="1" applyBorder="1" applyAlignment="1">
      <alignment horizontal="right"/>
    </xf>
    <xf numFmtId="0" fontId="94" fillId="43" borderId="21" xfId="4" applyFont="1" applyFill="1" applyBorder="1" applyAlignment="1">
      <alignment horizontal="right" vertical="center" wrapText="1"/>
    </xf>
    <xf numFmtId="0" fontId="95" fillId="43" borderId="0" xfId="4" applyFont="1" applyFill="1" applyAlignment="1">
      <alignment horizontal="right" vertical="center" wrapText="1"/>
    </xf>
    <xf numFmtId="0" fontId="94" fillId="43" borderId="0" xfId="4" applyFont="1" applyFill="1" applyAlignment="1">
      <alignment horizontal="right" vertical="top" wrapText="1"/>
    </xf>
    <xf numFmtId="2" fontId="94" fillId="43" borderId="0" xfId="4" applyNumberFormat="1" applyFont="1" applyFill="1" applyAlignment="1">
      <alignment horizontal="right" wrapText="1"/>
    </xf>
    <xf numFmtId="0" fontId="94" fillId="43" borderId="20" xfId="4" applyFont="1" applyFill="1" applyBorder="1" applyAlignment="1">
      <alignment horizontal="right" wrapText="1"/>
    </xf>
    <xf numFmtId="1" fontId="95" fillId="43" borderId="0" xfId="4" applyNumberFormat="1" applyFont="1" applyFill="1" applyAlignment="1">
      <alignment horizontal="right" wrapText="1"/>
    </xf>
    <xf numFmtId="2" fontId="23" fillId="38" borderId="0" xfId="0" applyNumberFormat="1" applyFont="1" applyFill="1"/>
    <xf numFmtId="166" fontId="0" fillId="9" borderId="0" xfId="0" applyNumberFormat="1" applyFill="1"/>
    <xf numFmtId="1" fontId="0" fillId="9" borderId="0" xfId="0" applyNumberFormat="1" applyFill="1"/>
    <xf numFmtId="165" fontId="6" fillId="0" borderId="0" xfId="0" applyNumberFormat="1" applyFont="1"/>
    <xf numFmtId="166" fontId="0" fillId="21" borderId="0" xfId="0" applyNumberFormat="1" applyFill="1"/>
    <xf numFmtId="2" fontId="0" fillId="21" borderId="0" xfId="0" applyNumberFormat="1" applyFill="1"/>
    <xf numFmtId="9" fontId="0" fillId="21" borderId="0" xfId="1" applyFont="1" applyFill="1"/>
    <xf numFmtId="0" fontId="96" fillId="41" borderId="0" xfId="0" applyFont="1" applyFill="1"/>
    <xf numFmtId="1" fontId="96" fillId="41" borderId="0" xfId="0" applyNumberFormat="1" applyFont="1" applyFill="1"/>
    <xf numFmtId="9" fontId="67" fillId="0" borderId="0" xfId="1" applyFont="1"/>
    <xf numFmtId="2" fontId="67" fillId="0" borderId="0" xfId="0" applyNumberFormat="1" applyFont="1"/>
    <xf numFmtId="0" fontId="0" fillId="0" borderId="0" xfId="0" applyAlignment="1">
      <alignment horizontal="center"/>
    </xf>
    <xf numFmtId="10" fontId="0" fillId="0" borderId="0" xfId="0" applyNumberFormat="1"/>
    <xf numFmtId="166" fontId="8" fillId="12" borderId="0" xfId="0" applyNumberFormat="1" applyFont="1" applyFill="1"/>
    <xf numFmtId="0" fontId="0" fillId="17" borderId="0" xfId="0" applyFill="1"/>
    <xf numFmtId="9" fontId="0" fillId="17" borderId="0" xfId="0" applyNumberFormat="1" applyFill="1"/>
    <xf numFmtId="0" fontId="8" fillId="17" borderId="0" xfId="0" applyFont="1" applyFill="1"/>
    <xf numFmtId="166" fontId="6" fillId="17" borderId="0" xfId="0" applyNumberFormat="1" applyFont="1" applyFill="1"/>
    <xf numFmtId="0" fontId="96" fillId="17" borderId="0" xfId="0" applyFont="1" applyFill="1"/>
    <xf numFmtId="166" fontId="96" fillId="17" borderId="0" xfId="0" applyNumberFormat="1" applyFont="1" applyFill="1"/>
    <xf numFmtId="1" fontId="55" fillId="43" borderId="0" xfId="4" applyNumberFormat="1" applyFont="1" applyFill="1" applyAlignment="1">
      <alignment wrapText="1"/>
    </xf>
    <xf numFmtId="0" fontId="97" fillId="0" borderId="0" xfId="2" applyFont="1"/>
    <xf numFmtId="1" fontId="13" fillId="7" borderId="0" xfId="0" applyNumberFormat="1" applyFont="1" applyFill="1"/>
    <xf numFmtId="2" fontId="5" fillId="0" borderId="0" xfId="0" applyNumberFormat="1" applyFont="1"/>
    <xf numFmtId="0" fontId="98" fillId="0" borderId="0" xfId="0" applyFont="1"/>
    <xf numFmtId="0" fontId="0" fillId="0" borderId="0" xfId="0" applyAlignment="1">
      <alignment horizontal="left"/>
    </xf>
    <xf numFmtId="0" fontId="96" fillId="0" borderId="0" xfId="0" applyFont="1"/>
    <xf numFmtId="1" fontId="96" fillId="0" borderId="0" xfId="0" applyNumberFormat="1" applyFont="1"/>
    <xf numFmtId="0" fontId="55" fillId="43" borderId="0" xfId="4" applyFont="1" applyFill="1" applyAlignment="1">
      <alignment vertical="top" wrapText="1"/>
    </xf>
    <xf numFmtId="0" fontId="31" fillId="2" borderId="0" xfId="59" applyFont="1" applyFill="1"/>
    <xf numFmtId="0" fontId="1" fillId="2" borderId="0" xfId="59" applyFill="1"/>
    <xf numFmtId="166" fontId="77" fillId="0" borderId="0" xfId="4" applyNumberFormat="1" applyFont="1"/>
    <xf numFmtId="0" fontId="98" fillId="41" borderId="0" xfId="0" applyFont="1" applyFill="1"/>
    <xf numFmtId="0" fontId="98" fillId="21" borderId="0" xfId="0" applyFont="1" applyFill="1"/>
    <xf numFmtId="0" fontId="7" fillId="2" borderId="0" xfId="2" applyFill="1"/>
    <xf numFmtId="9" fontId="11" fillId="43" borderId="0" xfId="1" applyFont="1" applyFill="1"/>
    <xf numFmtId="9" fontId="11" fillId="43" borderId="0" xfId="1" applyFont="1" applyFill="1" applyAlignment="1">
      <alignment horizontal="centerContinuous"/>
    </xf>
    <xf numFmtId="9" fontId="28" fillId="43" borderId="0" xfId="1" applyFont="1" applyFill="1"/>
    <xf numFmtId="9" fontId="31" fillId="43" borderId="0" xfId="1" applyFont="1" applyFill="1"/>
    <xf numFmtId="2" fontId="11" fillId="43" borderId="0" xfId="4" applyNumberFormat="1" applyFont="1" applyFill="1" applyAlignment="1">
      <alignment horizontal="centerContinuous"/>
    </xf>
    <xf numFmtId="2" fontId="31" fillId="43" borderId="0" xfId="4" applyNumberFormat="1" applyFont="1" applyFill="1"/>
    <xf numFmtId="165" fontId="28" fillId="43" borderId="0" xfId="4" applyNumberFormat="1" applyFill="1"/>
    <xf numFmtId="0" fontId="0" fillId="48" borderId="0" xfId="0" applyFill="1"/>
    <xf numFmtId="0" fontId="7" fillId="48" borderId="0" xfId="2" applyFill="1"/>
    <xf numFmtId="1" fontId="72" fillId="0" borderId="24" xfId="0" applyNumberFormat="1" applyFont="1" applyBorder="1" applyAlignment="1">
      <alignment horizontal="left" vertical="center" wrapText="1"/>
    </xf>
    <xf numFmtId="1" fontId="72" fillId="47" borderId="24" xfId="0" applyNumberFormat="1" applyFont="1" applyFill="1" applyBorder="1" applyAlignment="1">
      <alignment horizontal="left" vertical="center" wrapText="1"/>
    </xf>
    <xf numFmtId="166" fontId="72" fillId="47" borderId="24" xfId="0" applyNumberFormat="1" applyFont="1" applyFill="1" applyBorder="1" applyAlignment="1">
      <alignment horizontal="left" vertical="center" wrapText="1"/>
    </xf>
    <xf numFmtId="166" fontId="72" fillId="0" borderId="24" xfId="0" applyNumberFormat="1" applyFont="1" applyBorder="1" applyAlignment="1">
      <alignment horizontal="left" vertical="center" wrapText="1"/>
    </xf>
    <xf numFmtId="0" fontId="71" fillId="46" borderId="24" xfId="0" applyFont="1" applyFill="1" applyBorder="1" applyAlignment="1">
      <alignment horizontal="center" vertical="center" wrapText="1"/>
    </xf>
    <xf numFmtId="9" fontId="72" fillId="0" borderId="24" xfId="1" applyFont="1" applyBorder="1" applyAlignment="1">
      <alignment horizontal="center" vertical="center" wrapText="1"/>
    </xf>
    <xf numFmtId="9" fontId="72" fillId="47" borderId="24" xfId="1" applyFont="1" applyFill="1" applyBorder="1" applyAlignment="1">
      <alignment horizontal="center" vertical="center" wrapText="1"/>
    </xf>
    <xf numFmtId="2" fontId="7" fillId="9" borderId="0" xfId="2" applyNumberFormat="1" applyFill="1"/>
    <xf numFmtId="2" fontId="7" fillId="2" borderId="0" xfId="2" applyNumberFormat="1" applyFill="1"/>
    <xf numFmtId="0" fontId="99" fillId="0" borderId="0" xfId="0" applyFont="1" applyAlignment="1">
      <alignment vertical="center" wrapText="1"/>
    </xf>
    <xf numFmtId="0" fontId="28" fillId="0" borderId="0" xfId="4" applyAlignment="1">
      <alignment horizontal="center"/>
    </xf>
    <xf numFmtId="0" fontId="71" fillId="46" borderId="16" xfId="0" applyFont="1" applyFill="1" applyBorder="1" applyAlignment="1">
      <alignment horizontal="left" vertical="center" wrapText="1"/>
    </xf>
    <xf numFmtId="0" fontId="71" fillId="46" borderId="17" xfId="0" applyFont="1" applyFill="1" applyBorder="1" applyAlignment="1">
      <alignment horizontal="left" vertical="center" wrapText="1"/>
    </xf>
    <xf numFmtId="0" fontId="28" fillId="43" borderId="2" xfId="4" applyFill="1" applyBorder="1" applyAlignment="1">
      <alignment horizontal="left" vertical="top"/>
    </xf>
    <xf numFmtId="0" fontId="28" fillId="43" borderId="3" xfId="4" applyFill="1" applyBorder="1" applyAlignment="1">
      <alignment horizontal="left" vertical="top"/>
    </xf>
    <xf numFmtId="0" fontId="28" fillId="43" borderId="4" xfId="4" applyFill="1" applyBorder="1" applyAlignment="1">
      <alignment horizontal="left" vertical="top"/>
    </xf>
    <xf numFmtId="0" fontId="28" fillId="43" borderId="10" xfId="4" applyFill="1" applyBorder="1" applyAlignment="1">
      <alignment horizontal="left" vertical="top"/>
    </xf>
    <xf numFmtId="0" fontId="28" fillId="43" borderId="0" xfId="4" applyFill="1" applyAlignment="1">
      <alignment horizontal="left" vertical="top"/>
    </xf>
    <xf numFmtId="0" fontId="28" fillId="43" borderId="11" xfId="4" applyFill="1" applyBorder="1" applyAlignment="1">
      <alignment horizontal="left" vertical="top"/>
    </xf>
    <xf numFmtId="0" fontId="28" fillId="43" borderId="15" xfId="4" applyFill="1" applyBorder="1" applyAlignment="1">
      <alignment horizontal="left" vertical="top"/>
    </xf>
    <xf numFmtId="0" fontId="28" fillId="43" borderId="12" xfId="4" applyFill="1" applyBorder="1" applyAlignment="1">
      <alignment horizontal="left" vertical="top"/>
    </xf>
    <xf numFmtId="0" fontId="28" fillId="43" borderId="13" xfId="4" applyFill="1" applyBorder="1" applyAlignment="1">
      <alignment horizontal="left" vertical="top"/>
    </xf>
    <xf numFmtId="0" fontId="1" fillId="43" borderId="2" xfId="59" applyFill="1" applyBorder="1" applyAlignment="1">
      <alignment horizontal="left" vertical="top"/>
    </xf>
    <xf numFmtId="0" fontId="1" fillId="43" borderId="3" xfId="59" applyFill="1" applyBorder="1" applyAlignment="1">
      <alignment horizontal="left" vertical="top"/>
    </xf>
    <xf numFmtId="0" fontId="1" fillId="43" borderId="4" xfId="59" applyFill="1" applyBorder="1" applyAlignment="1">
      <alignment horizontal="left" vertical="top"/>
    </xf>
    <xf numFmtId="0" fontId="1" fillId="43" borderId="10" xfId="59" applyFill="1" applyBorder="1" applyAlignment="1">
      <alignment horizontal="left" vertical="top"/>
    </xf>
    <xf numFmtId="0" fontId="1" fillId="43" borderId="0" xfId="59" applyFill="1" applyAlignment="1">
      <alignment horizontal="left" vertical="top"/>
    </xf>
    <xf numFmtId="0" fontId="1" fillId="43" borderId="11" xfId="59" applyFill="1" applyBorder="1" applyAlignment="1">
      <alignment horizontal="left" vertical="top"/>
    </xf>
    <xf numFmtId="0" fontId="1" fillId="43" borderId="15" xfId="59" applyFill="1" applyBorder="1" applyAlignment="1">
      <alignment horizontal="left" vertical="top"/>
    </xf>
    <xf numFmtId="0" fontId="1" fillId="43" borderId="12" xfId="59" applyFill="1" applyBorder="1" applyAlignment="1">
      <alignment horizontal="left" vertical="top"/>
    </xf>
    <xf numFmtId="0" fontId="1" fillId="43" borderId="13" xfId="59" applyFill="1" applyBorder="1" applyAlignment="1">
      <alignment horizontal="left" vertical="top"/>
    </xf>
    <xf numFmtId="1" fontId="72" fillId="0" borderId="8" xfId="0" applyNumberFormat="1" applyFont="1" applyBorder="1" applyAlignment="1">
      <alignment horizontal="left" vertical="center" wrapText="1"/>
    </xf>
    <xf numFmtId="0" fontId="0" fillId="0" borderId="9" xfId="0" applyBorder="1" applyAlignment="1">
      <alignment horizontal="left" vertical="center" wrapText="1"/>
    </xf>
    <xf numFmtId="0" fontId="0" fillId="0" borderId="14" xfId="0" applyBorder="1" applyAlignment="1">
      <alignment horizontal="left" vertical="center" wrapText="1"/>
    </xf>
    <xf numFmtId="0" fontId="71" fillId="46" borderId="24" xfId="0" applyFont="1" applyFill="1" applyBorder="1" applyAlignment="1">
      <alignment horizontal="center" vertical="center" wrapText="1"/>
    </xf>
    <xf numFmtId="0" fontId="0" fillId="0" borderId="24" xfId="0" applyBorder="1" applyAlignment="1">
      <alignment horizontal="center" vertical="center" wrapText="1"/>
    </xf>
    <xf numFmtId="0" fontId="71" fillId="46" borderId="24" xfId="0" applyFont="1" applyFill="1" applyBorder="1" applyAlignment="1">
      <alignment horizontal="left" vertical="center" wrapText="1"/>
    </xf>
    <xf numFmtId="0" fontId="0" fillId="0" borderId="24" xfId="0" applyBorder="1"/>
  </cellXfs>
  <cellStyles count="61">
    <cellStyle name="20% - Accent1 2" xfId="7" xr:uid="{00000000-0005-0000-0000-000000000000}"/>
    <cellStyle name="20% - Accent1 3" xfId="8" xr:uid="{00000000-0005-0000-0000-000001000000}"/>
    <cellStyle name="20% - Accent2 2" xfId="9" xr:uid="{00000000-0005-0000-0000-000002000000}"/>
    <cellStyle name="20% - Accent2 3" xfId="10" xr:uid="{00000000-0005-0000-0000-000003000000}"/>
    <cellStyle name="20% - Accent3 2" xfId="11" xr:uid="{00000000-0005-0000-0000-000004000000}"/>
    <cellStyle name="20% - Accent3 3" xfId="12" xr:uid="{00000000-0005-0000-0000-000005000000}"/>
    <cellStyle name="20% - Accent4 2" xfId="13" xr:uid="{00000000-0005-0000-0000-000006000000}"/>
    <cellStyle name="20% - Accent4 3" xfId="14" xr:uid="{00000000-0005-0000-0000-000007000000}"/>
    <cellStyle name="20% - Accent5 2" xfId="15" xr:uid="{00000000-0005-0000-0000-000008000000}"/>
    <cellStyle name="20% - Accent5 3" xfId="16" xr:uid="{00000000-0005-0000-0000-000009000000}"/>
    <cellStyle name="20% - Accent6 2" xfId="17" xr:uid="{00000000-0005-0000-0000-00000A000000}"/>
    <cellStyle name="20% - Accent6 3" xfId="18" xr:uid="{00000000-0005-0000-0000-00000B000000}"/>
    <cellStyle name="40% - Accent1 2" xfId="19" xr:uid="{00000000-0005-0000-0000-00000C000000}"/>
    <cellStyle name="40% - Accent1 3" xfId="20" xr:uid="{00000000-0005-0000-0000-00000D000000}"/>
    <cellStyle name="40% - Accent2 2" xfId="21" xr:uid="{00000000-0005-0000-0000-00000E000000}"/>
    <cellStyle name="40% - Accent2 3" xfId="22" xr:uid="{00000000-0005-0000-0000-00000F000000}"/>
    <cellStyle name="40% - Accent3 2" xfId="23" xr:uid="{00000000-0005-0000-0000-000010000000}"/>
    <cellStyle name="40% - Accent3 3" xfId="24" xr:uid="{00000000-0005-0000-0000-000011000000}"/>
    <cellStyle name="40% - Accent4 2" xfId="25" xr:uid="{00000000-0005-0000-0000-000012000000}"/>
    <cellStyle name="40% - Accent4 3" xfId="26" xr:uid="{00000000-0005-0000-0000-000013000000}"/>
    <cellStyle name="40% - Accent5 2" xfId="27" xr:uid="{00000000-0005-0000-0000-000014000000}"/>
    <cellStyle name="40% - Accent5 3" xfId="28" xr:uid="{00000000-0005-0000-0000-000015000000}"/>
    <cellStyle name="40% - Accent6 2" xfId="29" xr:uid="{00000000-0005-0000-0000-000016000000}"/>
    <cellStyle name="40% - Accent6 3" xfId="30" xr:uid="{00000000-0005-0000-0000-000017000000}"/>
    <cellStyle name="Comma" xfId="58" builtinId="3"/>
    <cellStyle name="Comma 2" xfId="31" xr:uid="{00000000-0005-0000-0000-000019000000}"/>
    <cellStyle name="Hyperlink" xfId="2" builtinId="8"/>
    <cellStyle name="Hyperlink 2" xfId="5" xr:uid="{00000000-0005-0000-0000-00001B000000}"/>
    <cellStyle name="Hyperlink 3" xfId="32" xr:uid="{00000000-0005-0000-0000-00001C000000}"/>
    <cellStyle name="Hyperlink 4" xfId="33" xr:uid="{00000000-0005-0000-0000-00001D000000}"/>
    <cellStyle name="Normal" xfId="0" builtinId="0"/>
    <cellStyle name="Normal 2" xfId="4" xr:uid="{00000000-0005-0000-0000-00001F000000}"/>
    <cellStyle name="Normal 2 2" xfId="34" xr:uid="{00000000-0005-0000-0000-000020000000}"/>
    <cellStyle name="Normal 2 3" xfId="35" xr:uid="{00000000-0005-0000-0000-000021000000}"/>
    <cellStyle name="Normal 2 3 2" xfId="36" xr:uid="{00000000-0005-0000-0000-000022000000}"/>
    <cellStyle name="Normal 2 4" xfId="37" xr:uid="{00000000-0005-0000-0000-000023000000}"/>
    <cellStyle name="Normal 2 5" xfId="38" xr:uid="{00000000-0005-0000-0000-000024000000}"/>
    <cellStyle name="Normal 3" xfId="39" xr:uid="{00000000-0005-0000-0000-000025000000}"/>
    <cellStyle name="Normal 3 2" xfId="40" xr:uid="{00000000-0005-0000-0000-000026000000}"/>
    <cellStyle name="Normal 3 2 2" xfId="41" xr:uid="{00000000-0005-0000-0000-000027000000}"/>
    <cellStyle name="Normal 3 3" xfId="42" xr:uid="{00000000-0005-0000-0000-000028000000}"/>
    <cellStyle name="Normal 3 4" xfId="43" xr:uid="{00000000-0005-0000-0000-000029000000}"/>
    <cellStyle name="Normal 4" xfId="44" xr:uid="{00000000-0005-0000-0000-00002A000000}"/>
    <cellStyle name="Normal 4 2" xfId="45" xr:uid="{00000000-0005-0000-0000-00002B000000}"/>
    <cellStyle name="Normal 5" xfId="46" xr:uid="{00000000-0005-0000-0000-00002C000000}"/>
    <cellStyle name="Normal 6" xfId="47" xr:uid="{00000000-0005-0000-0000-00002D000000}"/>
    <cellStyle name="Normal 6 2" xfId="48" xr:uid="{00000000-0005-0000-0000-00002E000000}"/>
    <cellStyle name="Normal 7" xfId="49" xr:uid="{00000000-0005-0000-0000-00002F000000}"/>
    <cellStyle name="Normal 8" xfId="59" xr:uid="{00000000-0005-0000-0000-000030000000}"/>
    <cellStyle name="Normal_MoMo - ETP 2008 3.0" xfId="3" xr:uid="{00000000-0005-0000-0000-000031000000}"/>
    <cellStyle name="Note 2" xfId="50" xr:uid="{00000000-0005-0000-0000-000032000000}"/>
    <cellStyle name="Note 3" xfId="51" xr:uid="{00000000-0005-0000-0000-000033000000}"/>
    <cellStyle name="Note 4" xfId="52" xr:uid="{00000000-0005-0000-0000-000034000000}"/>
    <cellStyle name="Percent" xfId="1" builtinId="5"/>
    <cellStyle name="Percent 2" xfId="6" xr:uid="{00000000-0005-0000-0000-000036000000}"/>
    <cellStyle name="Percent 2 2" xfId="53" xr:uid="{00000000-0005-0000-0000-000037000000}"/>
    <cellStyle name="Percent 2 3" xfId="54" xr:uid="{00000000-0005-0000-0000-000038000000}"/>
    <cellStyle name="Percent 3" xfId="55" xr:uid="{00000000-0005-0000-0000-000039000000}"/>
    <cellStyle name="Percent 4" xfId="56" xr:uid="{00000000-0005-0000-0000-00003A000000}"/>
    <cellStyle name="Percent 5" xfId="57" xr:uid="{00000000-0005-0000-0000-00003B000000}"/>
    <cellStyle name="Percent 6" xfId="60" xr:uid="{00000000-0005-0000-0000-00003C000000}"/>
  </cellStyles>
  <dxfs count="0"/>
  <tableStyles count="0" defaultTableStyle="TableStyleMedium2" defaultPivotStyle="PivotStyleLight16"/>
  <colors>
    <mruColors>
      <color rgb="FFC6003A"/>
      <color rgb="FF7BC143"/>
      <color rgb="FFE2001A"/>
      <color rgb="FFCC0099"/>
      <color rgb="FF9E005D"/>
      <color rgb="FFEEA320"/>
      <color rgb="FF0090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'0_Total'!$A$77</c:f>
              <c:strCache>
                <c:ptCount val="1"/>
                <c:pt idx="0">
                  <c:v>Vehicle and battery manufacturing, assembly and disposal - Including fluids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'0_Total'!$D$77:$ED$77</c:f>
              <c:numCache>
                <c:formatCode>General</c:formatCode>
                <c:ptCount val="131"/>
                <c:pt idx="0">
                  <c:v>0.28608082351542902</c:v>
                </c:pt>
                <c:pt idx="1">
                  <c:v>3.1106262730823859</c:v>
                </c:pt>
                <c:pt idx="2">
                  <c:v>0.22766161641212609</c:v>
                </c:pt>
                <c:pt idx="3">
                  <c:v>1.5625931877532397</c:v>
                </c:pt>
                <c:pt idx="4">
                  <c:v>0.52086439591774669</c:v>
                </c:pt>
                <c:pt idx="5">
                  <c:v>0.78129659387661987</c:v>
                </c:pt>
                <c:pt idx="6">
                  <c:v>0.78129659387661987</c:v>
                </c:pt>
                <c:pt idx="7">
                  <c:v>0.78129659387661987</c:v>
                </c:pt>
                <c:pt idx="8">
                  <c:v>0.78129659387661987</c:v>
                </c:pt>
                <c:pt idx="9">
                  <c:v>0.78129659387661987</c:v>
                </c:pt>
                <c:pt idx="10">
                  <c:v>0.78129659387661987</c:v>
                </c:pt>
                <c:pt idx="11">
                  <c:v>0.43405366326478889</c:v>
                </c:pt>
                <c:pt idx="12">
                  <c:v>1.3021609897943667</c:v>
                </c:pt>
                <c:pt idx="13">
                  <c:v>0.73786373345556044</c:v>
                </c:pt>
                <c:pt idx="14">
                  <c:v>0.82472945429767897</c:v>
                </c:pt>
                <c:pt idx="15">
                  <c:v>0.93318788192471558</c:v>
                </c:pt>
                <c:pt idx="16">
                  <c:v>0.61468636431274037</c:v>
                </c:pt>
                <c:pt idx="17">
                  <c:v>0.78129659387661987</c:v>
                </c:pt>
                <c:pt idx="18">
                  <c:v>0.78129659387661987</c:v>
                </c:pt>
                <c:pt idx="19">
                  <c:v>0.78129659387661987</c:v>
                </c:pt>
                <c:pt idx="20">
                  <c:v>0.38980729437473144</c:v>
                </c:pt>
                <c:pt idx="21">
                  <c:v>0.7269247803490626</c:v>
                </c:pt>
                <c:pt idx="22">
                  <c:v>0.7269247803490626</c:v>
                </c:pt>
                <c:pt idx="23">
                  <c:v>0.4846165202327084</c:v>
                </c:pt>
                <c:pt idx="24">
                  <c:v>0.58471094156209702</c:v>
                </c:pt>
                <c:pt idx="25">
                  <c:v>0.7269247803490626</c:v>
                </c:pt>
                <c:pt idx="26">
                  <c:v>0.7269247803490626</c:v>
                </c:pt>
                <c:pt idx="27">
                  <c:v>0.7269247803490626</c:v>
                </c:pt>
                <c:pt idx="28">
                  <c:v>0.71446861253220184</c:v>
                </c:pt>
                <c:pt idx="29">
                  <c:v>8.6234710901394465E-2</c:v>
                </c:pt>
                <c:pt idx="30">
                  <c:v>0.15088575294465986</c:v>
                </c:pt>
                <c:pt idx="31">
                  <c:v>0.26933428090186151</c:v>
                </c:pt>
                <c:pt idx="32">
                  <c:v>0.44713915737079202</c:v>
                </c:pt>
                <c:pt idx="33">
                  <c:v>9.3283946638785101E-2</c:v>
                </c:pt>
                <c:pt idx="34">
                  <c:v>0.12055830855593497</c:v>
                </c:pt>
                <c:pt idx="35">
                  <c:v>0.23309094264663283</c:v>
                </c:pt>
                <c:pt idx="36">
                  <c:v>0.43619023939789026</c:v>
                </c:pt>
                <c:pt idx="37">
                  <c:v>0.28786300115290503</c:v>
                </c:pt>
                <c:pt idx="38">
                  <c:v>0.31003031186221175</c:v>
                </c:pt>
                <c:pt idx="39">
                  <c:v>0.38530792765197441</c:v>
                </c:pt>
                <c:pt idx="40">
                  <c:v>0.5534386047823634</c:v>
                </c:pt>
                <c:pt idx="41">
                  <c:v>0.5534386047823634</c:v>
                </c:pt>
                <c:pt idx="42">
                  <c:v>0.5534386047823634</c:v>
                </c:pt>
                <c:pt idx="43">
                  <c:v>0.52096136657016778</c:v>
                </c:pt>
                <c:pt idx="44">
                  <c:v>0.48334076955901589</c:v>
                </c:pt>
                <c:pt idx="45">
                  <c:v>0.62353644000571073</c:v>
                </c:pt>
                <c:pt idx="46">
                  <c:v>0.5534386047823634</c:v>
                </c:pt>
                <c:pt idx="47">
                  <c:v>0.5141582980003806</c:v>
                </c:pt>
                <c:pt idx="48">
                  <c:v>0.5141582980003806</c:v>
                </c:pt>
                <c:pt idx="49">
                  <c:v>0.5141582980003806</c:v>
                </c:pt>
                <c:pt idx="50">
                  <c:v>0.5141582980003806</c:v>
                </c:pt>
                <c:pt idx="51">
                  <c:v>0.14438892869101999</c:v>
                </c:pt>
                <c:pt idx="52">
                  <c:v>0.28771928752360137</c:v>
                </c:pt>
                <c:pt idx="53">
                  <c:v>0.20959683197083548</c:v>
                </c:pt>
                <c:pt idx="54">
                  <c:v>0.37590910745420714</c:v>
                </c:pt>
                <c:pt idx="55">
                  <c:v>0.18795455372710357</c:v>
                </c:pt>
                <c:pt idx="56">
                  <c:v>0.19401760384733269</c:v>
                </c:pt>
                <c:pt idx="57">
                  <c:v>0.24252200480916591</c:v>
                </c:pt>
                <c:pt idx="58">
                  <c:v>0.26119713793077637</c:v>
                </c:pt>
                <c:pt idx="59">
                  <c:v>0.32461080850285318</c:v>
                </c:pt>
                <c:pt idx="60">
                  <c:v>0.78364103934204288</c:v>
                </c:pt>
                <c:pt idx="61">
                  <c:v>0.39182051967102144</c:v>
                </c:pt>
                <c:pt idx="62">
                  <c:v>0.40445989127331244</c:v>
                </c:pt>
                <c:pt idx="63">
                  <c:v>0.50557486409164065</c:v>
                </c:pt>
                <c:pt idx="64">
                  <c:v>0.50557486409164065</c:v>
                </c:pt>
                <c:pt idx="65">
                  <c:v>0.47455512035818376</c:v>
                </c:pt>
                <c:pt idx="66">
                  <c:v>0.43668489260728965</c:v>
                </c:pt>
                <c:pt idx="67">
                  <c:v>0.57446483557599182</c:v>
                </c:pt>
                <c:pt idx="68">
                  <c:v>0.50557486409164065</c:v>
                </c:pt>
                <c:pt idx="69">
                  <c:v>1.210847594281721</c:v>
                </c:pt>
                <c:pt idx="70">
                  <c:v>0.60542379714086048</c:v>
                </c:pt>
                <c:pt idx="71">
                  <c:v>0.62495359704863018</c:v>
                </c:pt>
                <c:pt idx="72">
                  <c:v>0.78119199631078784</c:v>
                </c:pt>
                <c:pt idx="73">
                  <c:v>0.78119199631078784</c:v>
                </c:pt>
                <c:pt idx="74">
                  <c:v>0.72453976189353786</c:v>
                </c:pt>
                <c:pt idx="75">
                  <c:v>0.6434120533420854</c:v>
                </c:pt>
                <c:pt idx="76">
                  <c:v>0.91897193927949006</c:v>
                </c:pt>
                <c:pt idx="77">
                  <c:v>0.78119199631078784</c:v>
                </c:pt>
                <c:pt idx="78">
                  <c:v>0.43311323839436977</c:v>
                </c:pt>
                <c:pt idx="79">
                  <c:v>0.43311323839436977</c:v>
                </c:pt>
                <c:pt idx="80">
                  <c:v>0.43311323839436977</c:v>
                </c:pt>
                <c:pt idx="81">
                  <c:v>0.433121971083409</c:v>
                </c:pt>
                <c:pt idx="82">
                  <c:v>0.3150481979740074</c:v>
                </c:pt>
                <c:pt idx="83">
                  <c:v>0.33928327206459746</c:v>
                </c:pt>
                <c:pt idx="84">
                  <c:v>0.42165573308231413</c:v>
                </c:pt>
                <c:pt idx="85">
                  <c:v>0.65677115406843789</c:v>
                </c:pt>
                <c:pt idx="86">
                  <c:v>1.0147372098365095</c:v>
                </c:pt>
                <c:pt idx="87">
                  <c:v>0.56264707443825723</c:v>
                </c:pt>
                <c:pt idx="88">
                  <c:v>0.3566931758140639</c:v>
                </c:pt>
                <c:pt idx="89">
                  <c:v>0.38603904444935228</c:v>
                </c:pt>
                <c:pt idx="90">
                  <c:v>0.45412450101866203</c:v>
                </c:pt>
                <c:pt idx="91">
                  <c:v>0.6197991945317729</c:v>
                </c:pt>
                <c:pt idx="92">
                  <c:v>0.64326201814190354</c:v>
                </c:pt>
                <c:pt idx="93">
                  <c:v>0.30051187438634364</c:v>
                </c:pt>
                <c:pt idx="94">
                  <c:v>0.32523441357646415</c:v>
                </c:pt>
                <c:pt idx="95">
                  <c:v>0.38258994125799506</c:v>
                </c:pt>
                <c:pt idx="96">
                  <c:v>0.56147725708030705</c:v>
                </c:pt>
                <c:pt idx="97">
                  <c:v>0.83704117800478284</c:v>
                </c:pt>
                <c:pt idx="98">
                  <c:v>0.54187789402318076</c:v>
                </c:pt>
                <c:pt idx="99">
                  <c:v>8.6818224998381863E-2</c:v>
                </c:pt>
                <c:pt idx="100">
                  <c:v>9.3960594910792686E-2</c:v>
                </c:pt>
                <c:pt idx="101">
                  <c:v>0.11053067260680519</c:v>
                </c:pt>
                <c:pt idx="102">
                  <c:v>0.16221142321319071</c:v>
                </c:pt>
                <c:pt idx="103">
                  <c:v>0.24182215585765302</c:v>
                </c:pt>
                <c:pt idx="104">
                  <c:v>0.15654914475849319</c:v>
                </c:pt>
                <c:pt idx="105">
                  <c:v>7.5553650908723444E-2</c:v>
                </c:pt>
                <c:pt idx="106">
                  <c:v>7.8923806281140485E-2</c:v>
                </c:pt>
                <c:pt idx="108">
                  <c:v>0.15844060838136562</c:v>
                </c:pt>
                <c:pt idx="109">
                  <c:v>0.23443295465176087</c:v>
                </c:pt>
                <c:pt idx="110">
                  <c:v>0.13117940987070983</c:v>
                </c:pt>
                <c:pt idx="111">
                  <c:v>0.12888216325417512</c:v>
                </c:pt>
                <c:pt idx="112">
                  <c:v>7.7331369810924686E-2</c:v>
                </c:pt>
                <c:pt idx="113">
                  <c:v>9.6662917352143593E-2</c:v>
                </c:pt>
                <c:pt idx="114">
                  <c:v>9.6662917352143607E-2</c:v>
                </c:pt>
                <c:pt idx="115">
                  <c:v>0.19332583470428719</c:v>
                </c:pt>
                <c:pt idx="116">
                  <c:v>6.4441944901429071E-2</c:v>
                </c:pt>
                <c:pt idx="117">
                  <c:v>9.6662917352143593E-2</c:v>
                </c:pt>
                <c:pt idx="118">
                  <c:v>9.61147914242928E-2</c:v>
                </c:pt>
                <c:pt idx="119">
                  <c:v>0.2138293505618323</c:v>
                </c:pt>
                <c:pt idx="120">
                  <c:v>0.2138293505618323</c:v>
                </c:pt>
                <c:pt idx="121">
                  <c:v>0.16982379164089648</c:v>
                </c:pt>
                <c:pt idx="122">
                  <c:v>0.13403031684970204</c:v>
                </c:pt>
                <c:pt idx="123">
                  <c:v>0.13382319812544347</c:v>
                </c:pt>
                <c:pt idx="124">
                  <c:v>2.4784506467133524E-2</c:v>
                </c:pt>
                <c:pt idx="125">
                  <c:v>2.4784506467133524E-2</c:v>
                </c:pt>
                <c:pt idx="126">
                  <c:v>2.4784506467133524E-2</c:v>
                </c:pt>
                <c:pt idx="127">
                  <c:v>2.4784506467133524E-2</c:v>
                </c:pt>
                <c:pt idx="128">
                  <c:v>3.3046008622844701E-2</c:v>
                </c:pt>
                <c:pt idx="129">
                  <c:v>1.9827605173706821E-2</c:v>
                </c:pt>
                <c:pt idx="130">
                  <c:v>2.4784506467133524E-2</c:v>
                </c:pt>
              </c:numCache>
            </c:numRef>
          </c:val>
          <c:extLst>
            <c:ext xmlns:c16="http://schemas.microsoft.com/office/drawing/2014/chart" uri="{C3380CC4-5D6E-409C-BE32-E72D297353CC}">
              <c16:uniqueId val="{00000000-A90D-448A-BEFB-6D8B52E72DDC}"/>
            </c:ext>
          </c:extLst>
        </c:ser>
        <c:ser>
          <c:idx val="1"/>
          <c:order val="1"/>
          <c:tx>
            <c:strRef>
              <c:f>'0_Total'!$A$78</c:f>
              <c:strCache>
                <c:ptCount val="1"/>
                <c:pt idx="0">
                  <c:v>Vehicle delivery at point of purchase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'0_Total'!$D$78:$ED$78</c:f>
              <c:numCache>
                <c:formatCode>General</c:formatCode>
                <c:ptCount val="131"/>
                <c:pt idx="0">
                  <c:v>1.591998041596299E-2</c:v>
                </c:pt>
                <c:pt idx="1">
                  <c:v>0.14492671826945616</c:v>
                </c:pt>
                <c:pt idx="2">
                  <c:v>1.610296869660624E-2</c:v>
                </c:pt>
                <c:pt idx="3">
                  <c:v>8.6956030961673689E-2</c:v>
                </c:pt>
                <c:pt idx="4">
                  <c:v>2.8985343653891233E-2</c:v>
                </c:pt>
                <c:pt idx="5">
                  <c:v>4.3478015480836844E-2</c:v>
                </c:pt>
                <c:pt idx="6">
                  <c:v>4.3478015480836844E-2</c:v>
                </c:pt>
                <c:pt idx="7">
                  <c:v>4.3478015480836844E-2</c:v>
                </c:pt>
                <c:pt idx="8">
                  <c:v>4.3478015480836844E-2</c:v>
                </c:pt>
                <c:pt idx="9">
                  <c:v>4.3478015480836844E-2</c:v>
                </c:pt>
                <c:pt idx="10">
                  <c:v>4.3478015480836844E-2</c:v>
                </c:pt>
                <c:pt idx="11">
                  <c:v>2.415445304490936E-2</c:v>
                </c:pt>
                <c:pt idx="12">
                  <c:v>7.2463359134728081E-2</c:v>
                </c:pt>
                <c:pt idx="13">
                  <c:v>4.3478015480836844E-2</c:v>
                </c:pt>
                <c:pt idx="14">
                  <c:v>4.3478015480836844E-2</c:v>
                </c:pt>
                <c:pt idx="15">
                  <c:v>4.3478015480836844E-2</c:v>
                </c:pt>
                <c:pt idx="16">
                  <c:v>4.3478015480836844E-2</c:v>
                </c:pt>
                <c:pt idx="17">
                  <c:v>4.3478015480836844E-2</c:v>
                </c:pt>
                <c:pt idx="18">
                  <c:v>4.3478015480836844E-2</c:v>
                </c:pt>
                <c:pt idx="19">
                  <c:v>4.3478015480836844E-2</c:v>
                </c:pt>
                <c:pt idx="20">
                  <c:v>2.3701373238039173E-2</c:v>
                </c:pt>
                <c:pt idx="21">
                  <c:v>3.5552059857058754E-2</c:v>
                </c:pt>
                <c:pt idx="22">
                  <c:v>3.5552059857058754E-2</c:v>
                </c:pt>
                <c:pt idx="23">
                  <c:v>2.3701373238039173E-2</c:v>
                </c:pt>
                <c:pt idx="24">
                  <c:v>3.5552059857058754E-2</c:v>
                </c:pt>
                <c:pt idx="25">
                  <c:v>3.5552059857058754E-2</c:v>
                </c:pt>
                <c:pt idx="26">
                  <c:v>3.5552059857058754E-2</c:v>
                </c:pt>
                <c:pt idx="27">
                  <c:v>3.5552059857058754E-2</c:v>
                </c:pt>
                <c:pt idx="28">
                  <c:v>3.2454631890457365E-2</c:v>
                </c:pt>
                <c:pt idx="29">
                  <c:v>8.7429279880425134E-3</c:v>
                </c:pt>
                <c:pt idx="30">
                  <c:v>1.1743365058278861E-2</c:v>
                </c:pt>
                <c:pt idx="31">
                  <c:v>2.8644433100411596E-2</c:v>
                </c:pt>
                <c:pt idx="32">
                  <c:v>3.3854704655074112E-2</c:v>
                </c:pt>
                <c:pt idx="33">
                  <c:v>9.6572964052335127E-3</c:v>
                </c:pt>
                <c:pt idx="34">
                  <c:v>9.4500904002699851E-3</c:v>
                </c:pt>
                <c:pt idx="35">
                  <c:v>2.4130929314453958E-2</c:v>
                </c:pt>
                <c:pt idx="36">
                  <c:v>2.5953092326657934E-2</c:v>
                </c:pt>
                <c:pt idx="37">
                  <c:v>4.4685582809844832E-3</c:v>
                </c:pt>
                <c:pt idx="38">
                  <c:v>4.7747641338089048E-3</c:v>
                </c:pt>
                <c:pt idx="39">
                  <c:v>5.289410953180633E-3</c:v>
                </c:pt>
                <c:pt idx="40">
                  <c:v>5.4232055242057382E-3</c:v>
                </c:pt>
                <c:pt idx="41">
                  <c:v>5.4232055242057382E-3</c:v>
                </c:pt>
                <c:pt idx="42">
                  <c:v>5.4232055242057382E-3</c:v>
                </c:pt>
                <c:pt idx="43">
                  <c:v>5.4232055242057382E-3</c:v>
                </c:pt>
                <c:pt idx="44">
                  <c:v>5.1086559913968181E-3</c:v>
                </c:pt>
                <c:pt idx="45">
                  <c:v>5.7377550570146549E-3</c:v>
                </c:pt>
                <c:pt idx="46">
                  <c:v>5.4232055242057382E-3</c:v>
                </c:pt>
                <c:pt idx="47">
                  <c:v>5.0652736632957407E-3</c:v>
                </c:pt>
                <c:pt idx="48">
                  <c:v>5.0652736632957407E-3</c:v>
                </c:pt>
                <c:pt idx="49">
                  <c:v>5.0652736632957407E-3</c:v>
                </c:pt>
                <c:pt idx="50">
                  <c:v>5.0652736632957407E-3</c:v>
                </c:pt>
                <c:pt idx="51">
                  <c:v>2.2410666881658996E-3</c:v>
                </c:pt>
                <c:pt idx="52">
                  <c:v>4.4657032686472977E-3</c:v>
                </c:pt>
                <c:pt idx="53">
                  <c:v>3.2531613215311447E-3</c:v>
                </c:pt>
                <c:pt idx="54">
                  <c:v>5.8345012053974271E-3</c:v>
                </c:pt>
                <c:pt idx="55">
                  <c:v>2.9172506026987136E-3</c:v>
                </c:pt>
                <c:pt idx="56">
                  <c:v>3.0113554608502844E-3</c:v>
                </c:pt>
                <c:pt idx="57">
                  <c:v>3.7641943260628562E-3</c:v>
                </c:pt>
                <c:pt idx="58">
                  <c:v>4.0221339704250621E-3</c:v>
                </c:pt>
                <c:pt idx="59">
                  <c:v>4.4556587261945129E-3</c:v>
                </c:pt>
                <c:pt idx="60">
                  <c:v>7.3547641514501204E-3</c:v>
                </c:pt>
                <c:pt idx="61">
                  <c:v>3.6773820757250602E-3</c:v>
                </c:pt>
                <c:pt idx="62">
                  <c:v>3.7960073039742556E-3</c:v>
                </c:pt>
                <c:pt idx="63">
                  <c:v>4.74500912996782E-3</c:v>
                </c:pt>
                <c:pt idx="64">
                  <c:v>4.74500912996782E-3</c:v>
                </c:pt>
                <c:pt idx="65">
                  <c:v>4.74500912996782E-3</c:v>
                </c:pt>
                <c:pt idx="66">
                  <c:v>4.435879635789018E-3</c:v>
                </c:pt>
                <c:pt idx="67">
                  <c:v>5.054138624146623E-3</c:v>
                </c:pt>
                <c:pt idx="68">
                  <c:v>4.74500912996782E-3</c:v>
                </c:pt>
                <c:pt idx="69">
                  <c:v>9.2713670153586943E-3</c:v>
                </c:pt>
                <c:pt idx="70">
                  <c:v>4.6356835076793472E-3</c:v>
                </c:pt>
                <c:pt idx="71">
                  <c:v>4.7852216853464229E-3</c:v>
                </c:pt>
                <c:pt idx="72">
                  <c:v>5.9815271066830291E-3</c:v>
                </c:pt>
                <c:pt idx="73">
                  <c:v>5.9815271066830291E-3</c:v>
                </c:pt>
                <c:pt idx="74">
                  <c:v>5.9815271066830291E-3</c:v>
                </c:pt>
                <c:pt idx="75">
                  <c:v>5.3632681183254241E-3</c:v>
                </c:pt>
                <c:pt idx="76">
                  <c:v>6.5997860950406341E-3</c:v>
                </c:pt>
                <c:pt idx="77">
                  <c:v>5.9815271066830291E-3</c:v>
                </c:pt>
                <c:pt idx="78">
                  <c:v>4.2668514506054075E-3</c:v>
                </c:pt>
                <c:pt idx="79">
                  <c:v>4.2668514506054075E-3</c:v>
                </c:pt>
                <c:pt idx="80">
                  <c:v>4.2668514506054075E-3</c:v>
                </c:pt>
                <c:pt idx="81">
                  <c:v>4.2668514506054075E-3</c:v>
                </c:pt>
                <c:pt idx="82">
                  <c:v>4.8898764472248253E-3</c:v>
                </c:pt>
                <c:pt idx="83">
                  <c:v>5.2249529290736094E-3</c:v>
                </c:pt>
                <c:pt idx="84">
                  <c:v>5.7881232409377203E-3</c:v>
                </c:pt>
                <c:pt idx="85">
                  <c:v>6.1640038681969357E-3</c:v>
                </c:pt>
                <c:pt idx="86">
                  <c:v>7.7703024827623602E-3</c:v>
                </c:pt>
                <c:pt idx="87">
                  <c:v>5.5428531592165353E-3</c:v>
                </c:pt>
                <c:pt idx="88">
                  <c:v>5.6771617925760985E-3</c:v>
                </c:pt>
                <c:pt idx="89">
                  <c:v>6.0518066563382232E-3</c:v>
                </c:pt>
                <c:pt idx="90">
                  <c:v>6.6094321732002659E-3</c:v>
                </c:pt>
                <c:pt idx="91">
                  <c:v>6.5740997122420049E-3</c:v>
                </c:pt>
                <c:pt idx="92">
                  <c:v>6.4587696369331126E-3</c:v>
                </c:pt>
                <c:pt idx="93">
                  <c:v>4.7822896925600123E-3</c:v>
                </c:pt>
                <c:pt idx="94">
                  <c:v>5.097880534568968E-3</c:v>
                </c:pt>
                <c:pt idx="95">
                  <c:v>5.5676093989259811E-3</c:v>
                </c:pt>
                <c:pt idx="96">
                  <c:v>5.7144917013242343E-3</c:v>
                </c:pt>
                <c:pt idx="97">
                  <c:v>6.9510096780394442E-3</c:v>
                </c:pt>
                <c:pt idx="98">
                  <c:v>5.4406952963214801E-3</c:v>
                </c:pt>
                <c:pt idx="99">
                  <c:v>1.3816089743007684E-3</c:v>
                </c:pt>
                <c:pt idx="100">
                  <c:v>1.4727835303309158E-3</c:v>
                </c:pt>
                <c:pt idx="101">
                  <c:v>1.6084887377116823E-3</c:v>
                </c:pt>
                <c:pt idx="102">
                  <c:v>1.6509232032512955E-3</c:v>
                </c:pt>
                <c:pt idx="103">
                  <c:v>2.0081546641918069E-3</c:v>
                </c:pt>
                <c:pt idx="104">
                  <c:v>1.5718231079827891E-3</c:v>
                </c:pt>
                <c:pt idx="105">
                  <c:v>1.1523625421272217E-3</c:v>
                </c:pt>
                <c:pt idx="106">
                  <c:v>1.1836167010325547E-3</c:v>
                </c:pt>
                <c:pt idx="108">
                  <c:v>1.5381655847528822E-3</c:v>
                </c:pt>
                <c:pt idx="109">
                  <c:v>1.8791631861999577E-3</c:v>
                </c:pt>
                <c:pt idx="110">
                  <c:v>1.3381636035097598E-3</c:v>
                </c:pt>
                <c:pt idx="111">
                  <c:v>1.6768715305214873E-3</c:v>
                </c:pt>
                <c:pt idx="112">
                  <c:v>1.0061229183128924E-3</c:v>
                </c:pt>
                <c:pt idx="113">
                  <c:v>1.2576536478911156E-3</c:v>
                </c:pt>
                <c:pt idx="114">
                  <c:v>1.2576536478911156E-3</c:v>
                </c:pt>
                <c:pt idx="115">
                  <c:v>2.5153072957822312E-3</c:v>
                </c:pt>
                <c:pt idx="116">
                  <c:v>8.3843576526074378E-4</c:v>
                </c:pt>
                <c:pt idx="117">
                  <c:v>1.2576536478911156E-3</c:v>
                </c:pt>
                <c:pt idx="118">
                  <c:v>1.2582030864003689E-3</c:v>
                </c:pt>
                <c:pt idx="119">
                  <c:v>2.0820772401338155E-3</c:v>
                </c:pt>
                <c:pt idx="120">
                  <c:v>2.0820772401338155E-3</c:v>
                </c:pt>
                <c:pt idx="121">
                  <c:v>1.7429512822520082E-3</c:v>
                </c:pt>
                <c:pt idx="122">
                  <c:v>1.486106959116427E-3</c:v>
                </c:pt>
                <c:pt idx="123">
                  <c:v>1.486106959116427E-3</c:v>
                </c:pt>
                <c:pt idx="124">
                  <c:v>3.129923355303168E-4</c:v>
                </c:pt>
                <c:pt idx="125">
                  <c:v>3.129923355303168E-4</c:v>
                </c:pt>
                <c:pt idx="126">
                  <c:v>3.129923355303168E-4</c:v>
                </c:pt>
                <c:pt idx="127">
                  <c:v>3.129923355303168E-4</c:v>
                </c:pt>
                <c:pt idx="128">
                  <c:v>4.1732311404042244E-4</c:v>
                </c:pt>
                <c:pt idx="129">
                  <c:v>2.5039386842425347E-4</c:v>
                </c:pt>
                <c:pt idx="130">
                  <c:v>3.129923355303168E-4</c:v>
                </c:pt>
              </c:numCache>
            </c:numRef>
          </c:val>
          <c:extLst>
            <c:ext xmlns:c16="http://schemas.microsoft.com/office/drawing/2014/chart" uri="{C3380CC4-5D6E-409C-BE32-E72D297353CC}">
              <c16:uniqueId val="{00000001-A90D-448A-BEFB-6D8B52E72DDC}"/>
            </c:ext>
          </c:extLst>
        </c:ser>
        <c:ser>
          <c:idx val="2"/>
          <c:order val="2"/>
          <c:tx>
            <c:strRef>
              <c:f>'0_Total'!$A$79</c:f>
              <c:strCache>
                <c:ptCount val="1"/>
                <c:pt idx="0">
                  <c:v>Vehicle use (including fuel production)</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'0_Total'!$D$79:$ED$79</c:f>
              <c:numCache>
                <c:formatCode>General</c:formatCode>
                <c:ptCount val="131"/>
                <c:pt idx="0">
                  <c:v>0.10272971336374727</c:v>
                </c:pt>
                <c:pt idx="1">
                  <c:v>6.6427221653518748E-2</c:v>
                </c:pt>
                <c:pt idx="2">
                  <c:v>2.3422712933753951E-2</c:v>
                </c:pt>
                <c:pt idx="3">
                  <c:v>5.7785463767107838E-2</c:v>
                </c:pt>
                <c:pt idx="4">
                  <c:v>5.7785463767107845E-2</c:v>
                </c:pt>
                <c:pt idx="5">
                  <c:v>7.7047285022810455E-2</c:v>
                </c:pt>
                <c:pt idx="6">
                  <c:v>7.7047285022810455E-2</c:v>
                </c:pt>
                <c:pt idx="7">
                  <c:v>5.7785463767107838E-2</c:v>
                </c:pt>
                <c:pt idx="8">
                  <c:v>7.7047285022810455E-2</c:v>
                </c:pt>
                <c:pt idx="9">
                  <c:v>7.7047285022810455E-2</c:v>
                </c:pt>
                <c:pt idx="10">
                  <c:v>7.7047285022810455E-2</c:v>
                </c:pt>
                <c:pt idx="11">
                  <c:v>7.7047285022810455E-2</c:v>
                </c:pt>
                <c:pt idx="12">
                  <c:v>7.7047285022810455E-2</c:v>
                </c:pt>
                <c:pt idx="13">
                  <c:v>0.10272971336374727</c:v>
                </c:pt>
                <c:pt idx="14">
                  <c:v>0.10272971336374727</c:v>
                </c:pt>
                <c:pt idx="15">
                  <c:v>0.10272971336374727</c:v>
                </c:pt>
                <c:pt idx="16">
                  <c:v>0.10272971336374727</c:v>
                </c:pt>
                <c:pt idx="17">
                  <c:v>0.11809283849514444</c:v>
                </c:pt>
                <c:pt idx="18">
                  <c:v>4.1640378548895907E-2</c:v>
                </c:pt>
                <c:pt idx="19">
                  <c:v>0.10272971336374727</c:v>
                </c:pt>
                <c:pt idx="20">
                  <c:v>4.504731861198738E-2</c:v>
                </c:pt>
                <c:pt idx="21">
                  <c:v>4.504731861198738E-2</c:v>
                </c:pt>
                <c:pt idx="22">
                  <c:v>0.11113487172987203</c:v>
                </c:pt>
                <c:pt idx="23">
                  <c:v>0.11113487172987203</c:v>
                </c:pt>
                <c:pt idx="24">
                  <c:v>0.11113487172987203</c:v>
                </c:pt>
                <c:pt idx="25">
                  <c:v>0.11113487172987203</c:v>
                </c:pt>
                <c:pt idx="26">
                  <c:v>0.11113487172987203</c:v>
                </c:pt>
                <c:pt idx="27">
                  <c:v>0.11113487172987203</c:v>
                </c:pt>
                <c:pt idx="28">
                  <c:v>0.10110307291601824</c:v>
                </c:pt>
                <c:pt idx="29">
                  <c:v>0</c:v>
                </c:pt>
                <c:pt idx="30">
                  <c:v>0.19612036187624479</c:v>
                </c:pt>
                <c:pt idx="31">
                  <c:v>0</c:v>
                </c:pt>
                <c:pt idx="32">
                  <c:v>0.19612036187624482</c:v>
                </c:pt>
                <c:pt idx="33">
                  <c:v>0.79332529947476416</c:v>
                </c:pt>
                <c:pt idx="34">
                  <c:v>0.32699806902134998</c:v>
                </c:pt>
                <c:pt idx="35">
                  <c:v>0.79332529947476405</c:v>
                </c:pt>
                <c:pt idx="36">
                  <c:v>0.32699806902134998</c:v>
                </c:pt>
                <c:pt idx="37">
                  <c:v>1.8547222835260513</c:v>
                </c:pt>
                <c:pt idx="38">
                  <c:v>1.3815788438510384</c:v>
                </c:pt>
                <c:pt idx="39">
                  <c:v>1.251905425220138</c:v>
                </c:pt>
                <c:pt idx="40">
                  <c:v>1.1851039671375527</c:v>
                </c:pt>
                <c:pt idx="41">
                  <c:v>1.3623350714080582</c:v>
                </c:pt>
                <c:pt idx="42">
                  <c:v>0.48036907916478899</c:v>
                </c:pt>
                <c:pt idx="43">
                  <c:v>1.1851039671375527</c:v>
                </c:pt>
                <c:pt idx="44">
                  <c:v>1.1851039671375527</c:v>
                </c:pt>
                <c:pt idx="45">
                  <c:v>1.1851039671375527</c:v>
                </c:pt>
                <c:pt idx="46">
                  <c:v>1.1851039671375527</c:v>
                </c:pt>
                <c:pt idx="47">
                  <c:v>3.3594723210029813</c:v>
                </c:pt>
                <c:pt idx="48">
                  <c:v>1.93796515673786</c:v>
                </c:pt>
                <c:pt idx="49">
                  <c:v>3.7208551911816041</c:v>
                </c:pt>
                <c:pt idx="50">
                  <c:v>1.2962503991132992</c:v>
                </c:pt>
                <c:pt idx="51">
                  <c:v>1.740081612579629</c:v>
                </c:pt>
                <c:pt idx="52">
                  <c:v>3.4674060285860926</c:v>
                </c:pt>
                <c:pt idx="53">
                  <c:v>2.525924921486558</c:v>
                </c:pt>
                <c:pt idx="54">
                  <c:v>4.5302124741297227</c:v>
                </c:pt>
                <c:pt idx="55">
                  <c:v>2.2651062370648614</c:v>
                </c:pt>
                <c:pt idx="56">
                  <c:v>2.3381741801959857</c:v>
                </c:pt>
                <c:pt idx="57">
                  <c:v>2.9227177252449823</c:v>
                </c:pt>
                <c:pt idx="58">
                  <c:v>2.1771264688049361</c:v>
                </c:pt>
                <c:pt idx="59">
                  <c:v>2.06593215416029</c:v>
                </c:pt>
                <c:pt idx="60">
                  <c:v>2.8946504944451719</c:v>
                </c:pt>
                <c:pt idx="61">
                  <c:v>1.4473252472225859</c:v>
                </c:pt>
                <c:pt idx="62">
                  <c:v>1.4940131584233143</c:v>
                </c:pt>
                <c:pt idx="63">
                  <c:v>2.1468016512733583</c:v>
                </c:pt>
                <c:pt idx="64">
                  <c:v>0.75697759972204426</c:v>
                </c:pt>
                <c:pt idx="65">
                  <c:v>1.8675164480291433</c:v>
                </c:pt>
                <c:pt idx="66">
                  <c:v>1.8675164480291433</c:v>
                </c:pt>
                <c:pt idx="67">
                  <c:v>1.8675164480291433</c:v>
                </c:pt>
                <c:pt idx="68">
                  <c:v>1.8675164480291433</c:v>
                </c:pt>
                <c:pt idx="69">
                  <c:v>2.8946504944451719</c:v>
                </c:pt>
                <c:pt idx="70">
                  <c:v>1.4473252472225859</c:v>
                </c:pt>
                <c:pt idx="71">
                  <c:v>1.4940131584233143</c:v>
                </c:pt>
                <c:pt idx="72">
                  <c:v>2.1468016512733583</c:v>
                </c:pt>
                <c:pt idx="73">
                  <c:v>0.75697759972204426</c:v>
                </c:pt>
                <c:pt idx="74">
                  <c:v>1.8675164480291433</c:v>
                </c:pt>
                <c:pt idx="75">
                  <c:v>1.8675164480291433</c:v>
                </c:pt>
                <c:pt idx="76">
                  <c:v>1.8675164480291433</c:v>
                </c:pt>
                <c:pt idx="77">
                  <c:v>1.8675164480291433</c:v>
                </c:pt>
                <c:pt idx="78">
                  <c:v>5.2939404391036966</c:v>
                </c:pt>
                <c:pt idx="79">
                  <c:v>3.053893925152356</c:v>
                </c:pt>
                <c:pt idx="80">
                  <c:v>5.8634165971530656</c:v>
                </c:pt>
                <c:pt idx="81">
                  <c:v>2.0426637731670456</c:v>
                </c:pt>
                <c:pt idx="82">
                  <c:v>3.7967563118640406</c:v>
                </c:pt>
                <c:pt idx="83">
                  <c:v>2.8281960282252552</c:v>
                </c:pt>
                <c:pt idx="84">
                  <c:v>2.6837490594592004</c:v>
                </c:pt>
                <c:pt idx="85">
                  <c:v>2.4259971465325947</c:v>
                </c:pt>
                <c:pt idx="86">
                  <c:v>2.4259971465325947</c:v>
                </c:pt>
                <c:pt idx="87">
                  <c:v>2.6535222703170662</c:v>
                </c:pt>
                <c:pt idx="88">
                  <c:v>2.4138665013537572</c:v>
                </c:pt>
                <c:pt idx="89">
                  <c:v>1.7769482892448947</c:v>
                </c:pt>
                <c:pt idx="90">
                  <c:v>1.4264037514359587</c:v>
                </c:pt>
                <c:pt idx="91">
                  <c:v>1.2458202016555977</c:v>
                </c:pt>
                <c:pt idx="92">
                  <c:v>1.4812852438776514</c:v>
                </c:pt>
                <c:pt idx="93">
                  <c:v>3.8038311571203072</c:v>
                </c:pt>
                <c:pt idx="94">
                  <c:v>2.8001595214278088</c:v>
                </c:pt>
                <c:pt idx="95">
                  <c:v>2.4995693153113452</c:v>
                </c:pt>
                <c:pt idx="96">
                  <c:v>1.9631946077257285</c:v>
                </c:pt>
                <c:pt idx="97">
                  <c:v>1.9631946077257285</c:v>
                </c:pt>
                <c:pt idx="98">
                  <c:v>2.3342463057026395</c:v>
                </c:pt>
                <c:pt idx="99">
                  <c:v>1.0989311817680822</c:v>
                </c:pt>
                <c:pt idx="100">
                  <c:v>0.80896929566963038</c:v>
                </c:pt>
                <c:pt idx="101">
                  <c:v>0.71195911749637797</c:v>
                </c:pt>
                <c:pt idx="102">
                  <c:v>0.5671691726564525</c:v>
                </c:pt>
                <c:pt idx="103">
                  <c:v>0.5671691726564525</c:v>
                </c:pt>
                <c:pt idx="104">
                  <c:v>0.67436643355262649</c:v>
                </c:pt>
                <c:pt idx="105">
                  <c:v>0.83526763887226652</c:v>
                </c:pt>
                <c:pt idx="106">
                  <c:v>0.61487551242925165</c:v>
                </c:pt>
                <c:pt idx="108">
                  <c:v>0.54142239548854976</c:v>
                </c:pt>
                <c:pt idx="109">
                  <c:v>0.54142239548854976</c:v>
                </c:pt>
                <c:pt idx="110">
                  <c:v>0.5501657267278397</c:v>
                </c:pt>
                <c:pt idx="111">
                  <c:v>0.96573225110845395</c:v>
                </c:pt>
                <c:pt idx="112">
                  <c:v>0.96573225110845395</c:v>
                </c:pt>
                <c:pt idx="113">
                  <c:v>0.86915902599760864</c:v>
                </c:pt>
                <c:pt idx="114">
                  <c:v>0.96573225110845407</c:v>
                </c:pt>
                <c:pt idx="115">
                  <c:v>1.9314645022169079</c:v>
                </c:pt>
                <c:pt idx="116">
                  <c:v>0.64382150073896938</c:v>
                </c:pt>
                <c:pt idx="117">
                  <c:v>0.96573225110845395</c:v>
                </c:pt>
                <c:pt idx="118">
                  <c:v>0.71091598086032548</c:v>
                </c:pt>
                <c:pt idx="119">
                  <c:v>0.30595657821488215</c:v>
                </c:pt>
                <c:pt idx="120">
                  <c:v>0.75481618268336226</c:v>
                </c:pt>
                <c:pt idx="121">
                  <c:v>0.75481618268336226</c:v>
                </c:pt>
                <c:pt idx="122">
                  <c:v>1.0293112187045037</c:v>
                </c:pt>
                <c:pt idx="123">
                  <c:v>0.68847733067782246</c:v>
                </c:pt>
                <c:pt idx="124">
                  <c:v>0.87104529422562738</c:v>
                </c:pt>
                <c:pt idx="125">
                  <c:v>0.87104529422562738</c:v>
                </c:pt>
                <c:pt idx="126">
                  <c:v>0.87104529422562738</c:v>
                </c:pt>
                <c:pt idx="127">
                  <c:v>0.87104529422562738</c:v>
                </c:pt>
                <c:pt idx="128">
                  <c:v>1.1613937256341698</c:v>
                </c:pt>
                <c:pt idx="129">
                  <c:v>0.69683623538050188</c:v>
                </c:pt>
                <c:pt idx="130">
                  <c:v>0.87104529422562738</c:v>
                </c:pt>
              </c:numCache>
            </c:numRef>
          </c:val>
          <c:extLst>
            <c:ext xmlns:c16="http://schemas.microsoft.com/office/drawing/2014/chart" uri="{C3380CC4-5D6E-409C-BE32-E72D297353CC}">
              <c16:uniqueId val="{00000002-A90D-448A-BEFB-6D8B52E72DDC}"/>
            </c:ext>
          </c:extLst>
        </c:ser>
        <c:ser>
          <c:idx val="3"/>
          <c:order val="3"/>
          <c:tx>
            <c:strRef>
              <c:f>'0_Total'!$A$80</c:f>
              <c:strCache>
                <c:ptCount val="1"/>
                <c:pt idx="0">
                  <c:v>Operational services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'0_Total'!$D$80:$ED$80</c:f>
              <c:numCache>
                <c:formatCode>General</c:formatCode>
                <c:ptCount val="131"/>
                <c:pt idx="0">
                  <c:v>0</c:v>
                </c:pt>
                <c:pt idx="1">
                  <c:v>3.0067113331269595</c:v>
                </c:pt>
                <c:pt idx="2">
                  <c:v>5.8800565552279291E-2</c:v>
                </c:pt>
                <c:pt idx="3">
                  <c:v>1.0022371110423198</c:v>
                </c:pt>
                <c:pt idx="4">
                  <c:v>0.33407903701410657</c:v>
                </c:pt>
                <c:pt idx="5">
                  <c:v>0.1072537805997188</c:v>
                </c:pt>
                <c:pt idx="6">
                  <c:v>0.26460254498525682</c:v>
                </c:pt>
                <c:pt idx="7">
                  <c:v>0.33407903701410663</c:v>
                </c:pt>
                <c:pt idx="8">
                  <c:v>1.0022371110423198</c:v>
                </c:pt>
                <c:pt idx="9">
                  <c:v>0.25055927776057996</c:v>
                </c:pt>
                <c:pt idx="10">
                  <c:v>0.75167783328173987</c:v>
                </c:pt>
                <c:pt idx="11">
                  <c:v>0.50111855552115991</c:v>
                </c:pt>
                <c:pt idx="12">
                  <c:v>0.50111855552115991</c:v>
                </c:pt>
                <c:pt idx="13">
                  <c:v>0.50111855552115991</c:v>
                </c:pt>
                <c:pt idx="14">
                  <c:v>0.50111855552115991</c:v>
                </c:pt>
                <c:pt idx="15">
                  <c:v>0.50111855552115991</c:v>
                </c:pt>
                <c:pt idx="16">
                  <c:v>0.50111855552115991</c:v>
                </c:pt>
                <c:pt idx="17">
                  <c:v>0.50111855552115991</c:v>
                </c:pt>
                <c:pt idx="18">
                  <c:v>0.50111855552115991</c:v>
                </c:pt>
                <c:pt idx="19">
                  <c:v>0.50111855552115991</c:v>
                </c:pt>
                <c:pt idx="20">
                  <c:v>1.6953768915189696E-2</c:v>
                </c:pt>
                <c:pt idx="21">
                  <c:v>0.35645658958233067</c:v>
                </c:pt>
                <c:pt idx="22">
                  <c:v>0.17822829479116534</c:v>
                </c:pt>
                <c:pt idx="23">
                  <c:v>0.23763772638822042</c:v>
                </c:pt>
                <c:pt idx="24">
                  <c:v>0.35645658958233067</c:v>
                </c:pt>
                <c:pt idx="25">
                  <c:v>7.6291960118353624E-2</c:v>
                </c:pt>
                <c:pt idx="26">
                  <c:v>0.23763772638822045</c:v>
                </c:pt>
                <c:pt idx="27">
                  <c:v>0.35645658958233067</c:v>
                </c:pt>
                <c:pt idx="28">
                  <c:v>0.76413840782992193</c:v>
                </c:pt>
                <c:pt idx="29">
                  <c:v>0</c:v>
                </c:pt>
                <c:pt idx="30">
                  <c:v>0</c:v>
                </c:pt>
                <c:pt idx="31">
                  <c:v>0.35645658958233067</c:v>
                </c:pt>
                <c:pt idx="32">
                  <c:v>0.35645658958233067</c:v>
                </c:pt>
                <c:pt idx="33">
                  <c:v>0</c:v>
                </c:pt>
                <c:pt idx="34">
                  <c:v>0</c:v>
                </c:pt>
                <c:pt idx="35">
                  <c:v>0</c:v>
                </c:pt>
                <c:pt idx="36">
                  <c:v>0.19504228486580358</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0.30989829942624031</c:v>
                </c:pt>
                <c:pt idx="52">
                  <c:v>0.61752461718513274</c:v>
                </c:pt>
                <c:pt idx="53">
                  <c:v>0.44985237013486495</c:v>
                </c:pt>
                <c:pt idx="54">
                  <c:v>0.80680419333383235</c:v>
                </c:pt>
                <c:pt idx="55">
                  <c:v>0.40340209666691618</c:v>
                </c:pt>
                <c:pt idx="56">
                  <c:v>0.41641506752713925</c:v>
                </c:pt>
                <c:pt idx="57">
                  <c:v>0.5205188344089241</c:v>
                </c:pt>
                <c:pt idx="58">
                  <c:v>0.3877334174678721</c:v>
                </c:pt>
                <c:pt idx="59">
                  <c:v>0.36793036411386437</c:v>
                </c:pt>
                <c:pt idx="60">
                  <c:v>0.80680419333383235</c:v>
                </c:pt>
                <c:pt idx="61">
                  <c:v>0.30049339853760082</c:v>
                </c:pt>
                <c:pt idx="62">
                  <c:v>0.29434429129109146</c:v>
                </c:pt>
                <c:pt idx="63">
                  <c:v>0.38233274584677768</c:v>
                </c:pt>
                <c:pt idx="64">
                  <c:v>0.13481325770108596</c:v>
                </c:pt>
                <c:pt idx="65">
                  <c:v>0.33259369400311972</c:v>
                </c:pt>
                <c:pt idx="66">
                  <c:v>0.33259369400311972</c:v>
                </c:pt>
                <c:pt idx="67">
                  <c:v>0.33259369400311972</c:v>
                </c:pt>
                <c:pt idx="68">
                  <c:v>0.33259369400311972</c:v>
                </c:pt>
                <c:pt idx="69">
                  <c:v>0.51552022570483558</c:v>
                </c:pt>
                <c:pt idx="70">
                  <c:v>0.25776011285241779</c:v>
                </c:pt>
                <c:pt idx="71">
                  <c:v>0.26607495520249574</c:v>
                </c:pt>
                <c:pt idx="72">
                  <c:v>0.38233274584677768</c:v>
                </c:pt>
                <c:pt idx="73">
                  <c:v>0.13481325770108596</c:v>
                </c:pt>
                <c:pt idx="74">
                  <c:v>0.33259369400311972</c:v>
                </c:pt>
                <c:pt idx="75">
                  <c:v>0.33259369400311972</c:v>
                </c:pt>
                <c:pt idx="76">
                  <c:v>0.33259369400311972</c:v>
                </c:pt>
                <c:pt idx="77">
                  <c:v>0.33259369400311972</c:v>
                </c:pt>
                <c:pt idx="78">
                  <c:v>0.94281965137825618</c:v>
                </c:pt>
                <c:pt idx="79">
                  <c:v>0.54388054398772201</c:v>
                </c:pt>
                <c:pt idx="80">
                  <c:v>1.0442400052670953</c:v>
                </c:pt>
                <c:pt idx="81">
                  <c:v>0.36378640233179693</c:v>
                </c:pt>
                <c:pt idx="82">
                  <c:v>0.67617996528232771</c:v>
                </c:pt>
                <c:pt idx="83">
                  <c:v>0.50368507617969316</c:v>
                </c:pt>
                <c:pt idx="84">
                  <c:v>0.4779599207305103</c:v>
                </c:pt>
                <c:pt idx="85">
                  <c:v>0.432055821226005</c:v>
                </c:pt>
                <c:pt idx="86">
                  <c:v>0.432055821226005</c:v>
                </c:pt>
                <c:pt idx="87">
                  <c:v>0.47257670738893826</c:v>
                </c:pt>
                <c:pt idx="88">
                  <c:v>0</c:v>
                </c:pt>
                <c:pt idx="89">
                  <c:v>0</c:v>
                </c:pt>
                <c:pt idx="90">
                  <c:v>0</c:v>
                </c:pt>
                <c:pt idx="91">
                  <c:v>0</c:v>
                </c:pt>
                <c:pt idx="92">
                  <c:v>0</c:v>
                </c:pt>
                <c:pt idx="93">
                  <c:v>0.67743995360573195</c:v>
                </c:pt>
                <c:pt idx="94">
                  <c:v>0.49869193923969629</c:v>
                </c:pt>
                <c:pt idx="95">
                  <c:v>0.44515859170803707</c:v>
                </c:pt>
                <c:pt idx="96">
                  <c:v>0.34963341143237747</c:v>
                </c:pt>
                <c:pt idx="97">
                  <c:v>0.34963341143237747</c:v>
                </c:pt>
                <c:pt idx="98">
                  <c:v>0.41571553618501833</c:v>
                </c:pt>
                <c:pt idx="99">
                  <c:v>0.11192817592082319</c:v>
                </c:pt>
                <c:pt idx="100">
                  <c:v>8.2395020855240128E-2</c:v>
                </c:pt>
                <c:pt idx="101">
                  <c:v>7.251435455981628E-2</c:v>
                </c:pt>
                <c:pt idx="102">
                  <c:v>5.7767230548342388E-2</c:v>
                </c:pt>
                <c:pt idx="103">
                  <c:v>5.7767230548342388E-2</c:v>
                </c:pt>
                <c:pt idx="104">
                  <c:v>6.8685470084063796E-2</c:v>
                </c:pt>
                <c:pt idx="105">
                  <c:v>8.5073555811064183E-2</c:v>
                </c:pt>
                <c:pt idx="106">
                  <c:v>6.2626209599275617E-2</c:v>
                </c:pt>
                <c:pt idx="108">
                  <c:v>0</c:v>
                </c:pt>
                <c:pt idx="109">
                  <c:v>0</c:v>
                </c:pt>
                <c:pt idx="110">
                  <c:v>0</c:v>
                </c:pt>
                <c:pt idx="111">
                  <c:v>0.10730358345649489</c:v>
                </c:pt>
                <c:pt idx="112">
                  <c:v>0.10730358345649488</c:v>
                </c:pt>
                <c:pt idx="113">
                  <c:v>9.6573225110845415E-2</c:v>
                </c:pt>
                <c:pt idx="114">
                  <c:v>0.21460716691298981</c:v>
                </c:pt>
                <c:pt idx="115">
                  <c:v>0.21460716691298978</c:v>
                </c:pt>
                <c:pt idx="116">
                  <c:v>7.1535722304329932E-2</c:v>
                </c:pt>
                <c:pt idx="117">
                  <c:v>0.10730358345649489</c:v>
                </c:pt>
                <c:pt idx="118">
                  <c:v>7.8990664540036171E-2</c:v>
                </c:pt>
                <c:pt idx="119">
                  <c:v>3.3995175357209133E-2</c:v>
                </c:pt>
                <c:pt idx="120">
                  <c:v>8.3868464742595822E-2</c:v>
                </c:pt>
                <c:pt idx="121">
                  <c:v>8.3868464742595822E-2</c:v>
                </c:pt>
                <c:pt idx="122">
                  <c:v>0.11436791318938933</c:v>
                </c:pt>
                <c:pt idx="123">
                  <c:v>7.6497481186424715E-2</c:v>
                </c:pt>
                <c:pt idx="124">
                  <c:v>0</c:v>
                </c:pt>
                <c:pt idx="125">
                  <c:v>0</c:v>
                </c:pt>
                <c:pt idx="126">
                  <c:v>0</c:v>
                </c:pt>
                <c:pt idx="127">
                  <c:v>0</c:v>
                </c:pt>
                <c:pt idx="128">
                  <c:v>0</c:v>
                </c:pt>
                <c:pt idx="129">
                  <c:v>0</c:v>
                </c:pt>
                <c:pt idx="130">
                  <c:v>0</c:v>
                </c:pt>
              </c:numCache>
            </c:numRef>
          </c:val>
          <c:extLst>
            <c:ext xmlns:c16="http://schemas.microsoft.com/office/drawing/2014/chart" uri="{C3380CC4-5D6E-409C-BE32-E72D297353CC}">
              <c16:uniqueId val="{00000003-A90D-448A-BEFB-6D8B52E72DDC}"/>
            </c:ext>
          </c:extLst>
        </c:ser>
        <c:ser>
          <c:idx val="4"/>
          <c:order val="4"/>
          <c:tx>
            <c:strRef>
              <c:f>'0_Total'!$A$81</c:f>
              <c:strCache>
                <c:ptCount val="1"/>
                <c:pt idx="0">
                  <c:v>Infrastructure network (from the vehicleperspective)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'0_Total'!$D$81:$ED$81</c:f>
              <c:numCache>
                <c:formatCode>General</c:formatCode>
                <c:ptCount val="131"/>
                <c:pt idx="0">
                  <c:v>2.7627731661023575E-2</c:v>
                </c:pt>
                <c:pt idx="1">
                  <c:v>2.7627731661023575E-2</c:v>
                </c:pt>
                <c:pt idx="2">
                  <c:v>2.7627731661023575E-2</c:v>
                </c:pt>
                <c:pt idx="3">
                  <c:v>2.7627731661023575E-2</c:v>
                </c:pt>
                <c:pt idx="4">
                  <c:v>2.7627731661023575E-2</c:v>
                </c:pt>
                <c:pt idx="5">
                  <c:v>2.7627731661023575E-2</c:v>
                </c:pt>
                <c:pt idx="6">
                  <c:v>2.7627731661023575E-2</c:v>
                </c:pt>
                <c:pt idx="7">
                  <c:v>2.7627731661023575E-2</c:v>
                </c:pt>
                <c:pt idx="8">
                  <c:v>2.7627731661023575E-2</c:v>
                </c:pt>
                <c:pt idx="9">
                  <c:v>2.7627731661023575E-2</c:v>
                </c:pt>
                <c:pt idx="10">
                  <c:v>2.7627731661023575E-2</c:v>
                </c:pt>
                <c:pt idx="11">
                  <c:v>2.7627731661023575E-2</c:v>
                </c:pt>
                <c:pt idx="12">
                  <c:v>2.7627731661023575E-2</c:v>
                </c:pt>
                <c:pt idx="13">
                  <c:v>2.7627731661023575E-2</c:v>
                </c:pt>
                <c:pt idx="14">
                  <c:v>2.7627731661023575E-2</c:v>
                </c:pt>
                <c:pt idx="15">
                  <c:v>2.7627731661023575E-2</c:v>
                </c:pt>
                <c:pt idx="16">
                  <c:v>2.7652368632868705E-2</c:v>
                </c:pt>
                <c:pt idx="17">
                  <c:v>2.7652368632868705E-2</c:v>
                </c:pt>
                <c:pt idx="18">
                  <c:v>2.7627731661023575E-2</c:v>
                </c:pt>
                <c:pt idx="19">
                  <c:v>2.7627731661023575E-2</c:v>
                </c:pt>
                <c:pt idx="20">
                  <c:v>2.7752305233719292E-2</c:v>
                </c:pt>
                <c:pt idx="21">
                  <c:v>2.7752305233719292E-2</c:v>
                </c:pt>
                <c:pt idx="22">
                  <c:v>2.7752305233719292E-2</c:v>
                </c:pt>
                <c:pt idx="23">
                  <c:v>2.7752305233719292E-2</c:v>
                </c:pt>
                <c:pt idx="24">
                  <c:v>2.7752305233719292E-2</c:v>
                </c:pt>
                <c:pt idx="25">
                  <c:v>2.7752305233719292E-2</c:v>
                </c:pt>
                <c:pt idx="26">
                  <c:v>2.7752305233719292E-2</c:v>
                </c:pt>
                <c:pt idx="27">
                  <c:v>2.7752305233719292E-2</c:v>
                </c:pt>
                <c:pt idx="28">
                  <c:v>2.7627731661023575E-2</c:v>
                </c:pt>
                <c:pt idx="29">
                  <c:v>2.7716152958755239E-2</c:v>
                </c:pt>
                <c:pt idx="30">
                  <c:v>2.7740166028967599E-2</c:v>
                </c:pt>
                <c:pt idx="31">
                  <c:v>2.7770390396550708E-2</c:v>
                </c:pt>
                <c:pt idx="32">
                  <c:v>2.7808427605798137E-2</c:v>
                </c:pt>
                <c:pt idx="33">
                  <c:v>3.3347863362650804E-2</c:v>
                </c:pt>
                <c:pt idx="34">
                  <c:v>3.3229403147663539E-2</c:v>
                </c:pt>
                <c:pt idx="35">
                  <c:v>3.3347863362650804E-2</c:v>
                </c:pt>
                <c:pt idx="36">
                  <c:v>3.3229403147663539E-2</c:v>
                </c:pt>
                <c:pt idx="37">
                  <c:v>3.650746940283902E-2</c:v>
                </c:pt>
                <c:pt idx="38">
                  <c:v>3.7210995821514409E-2</c:v>
                </c:pt>
                <c:pt idx="39">
                  <c:v>3.7855174292086589E-2</c:v>
                </c:pt>
                <c:pt idx="40">
                  <c:v>3.5690207721515231E-2</c:v>
                </c:pt>
                <c:pt idx="41">
                  <c:v>3.5690207721515231E-2</c:v>
                </c:pt>
                <c:pt idx="42">
                  <c:v>3.5690207721515231E-2</c:v>
                </c:pt>
                <c:pt idx="43">
                  <c:v>3.5690207721515231E-2</c:v>
                </c:pt>
                <c:pt idx="44">
                  <c:v>3.5690207721515231E-2</c:v>
                </c:pt>
                <c:pt idx="45">
                  <c:v>3.5690207721515231E-2</c:v>
                </c:pt>
                <c:pt idx="46">
                  <c:v>3.5690207721515231E-2</c:v>
                </c:pt>
                <c:pt idx="47">
                  <c:v>3.7993145753810804E-2</c:v>
                </c:pt>
                <c:pt idx="48">
                  <c:v>3.7993145753810804E-2</c:v>
                </c:pt>
                <c:pt idx="49">
                  <c:v>3.7993145753810804E-2</c:v>
                </c:pt>
                <c:pt idx="50">
                  <c:v>3.7993145753810804E-2</c:v>
                </c:pt>
                <c:pt idx="51">
                  <c:v>3.5550976474342959E-2</c:v>
                </c:pt>
                <c:pt idx="52">
                  <c:v>7.0841315291249374E-2</c:v>
                </c:pt>
                <c:pt idx="53">
                  <c:v>5.1606256172433328E-2</c:v>
                </c:pt>
                <c:pt idx="54">
                  <c:v>9.2555128407341133E-2</c:v>
                </c:pt>
                <c:pt idx="55">
                  <c:v>4.6277564203670567E-2</c:v>
                </c:pt>
                <c:pt idx="56">
                  <c:v>4.7770388855401871E-2</c:v>
                </c:pt>
                <c:pt idx="57">
                  <c:v>5.971298606925235E-2</c:v>
                </c:pt>
                <c:pt idx="58">
                  <c:v>6.0863700263494684E-2</c:v>
                </c:pt>
                <c:pt idx="59">
                  <c:v>6.1917342728135025E-2</c:v>
                </c:pt>
                <c:pt idx="60">
                  <c:v>9.0483175431837454E-2</c:v>
                </c:pt>
                <c:pt idx="61">
                  <c:v>4.5241587715918727E-2</c:v>
                </c:pt>
                <c:pt idx="62">
                  <c:v>4.6700993771270939E-2</c:v>
                </c:pt>
                <c:pt idx="63">
                  <c:v>5.8376242214088679E-2</c:v>
                </c:pt>
                <c:pt idx="64">
                  <c:v>5.8376242214088679E-2</c:v>
                </c:pt>
                <c:pt idx="65">
                  <c:v>5.8376242214088679E-2</c:v>
                </c:pt>
                <c:pt idx="66">
                  <c:v>5.8376242214088679E-2</c:v>
                </c:pt>
                <c:pt idx="67">
                  <c:v>5.8376242214088679E-2</c:v>
                </c:pt>
                <c:pt idx="68">
                  <c:v>5.8376242214088679E-2</c:v>
                </c:pt>
                <c:pt idx="69">
                  <c:v>9.0483175431837454E-2</c:v>
                </c:pt>
                <c:pt idx="70">
                  <c:v>4.5241587715918727E-2</c:v>
                </c:pt>
                <c:pt idx="71">
                  <c:v>4.6700993771270939E-2</c:v>
                </c:pt>
                <c:pt idx="72">
                  <c:v>5.8376242214088679E-2</c:v>
                </c:pt>
                <c:pt idx="73">
                  <c:v>5.8376242214088679E-2</c:v>
                </c:pt>
                <c:pt idx="74">
                  <c:v>5.8376242214088679E-2</c:v>
                </c:pt>
                <c:pt idx="75">
                  <c:v>5.8376242214088679E-2</c:v>
                </c:pt>
                <c:pt idx="76">
                  <c:v>5.8376242214088679E-2</c:v>
                </c:pt>
                <c:pt idx="77">
                  <c:v>5.8376242214088679E-2</c:v>
                </c:pt>
                <c:pt idx="78">
                  <c:v>5.2748768620704663E-2</c:v>
                </c:pt>
                <c:pt idx="79">
                  <c:v>5.2748768620704663E-2</c:v>
                </c:pt>
                <c:pt idx="80">
                  <c:v>5.2748768620704663E-2</c:v>
                </c:pt>
                <c:pt idx="81">
                  <c:v>6.2143014025177926E-2</c:v>
                </c:pt>
                <c:pt idx="82">
                  <c:v>7.7570151506738502E-2</c:v>
                </c:pt>
                <c:pt idx="83">
                  <c:v>7.9064986722060193E-2</c:v>
                </c:pt>
                <c:pt idx="84">
                  <c:v>8.0433720911994966E-2</c:v>
                </c:pt>
                <c:pt idx="85">
                  <c:v>7.5833654469888073E-2</c:v>
                </c:pt>
                <c:pt idx="86">
                  <c:v>7.5833654469888073E-2</c:v>
                </c:pt>
                <c:pt idx="87">
                  <c:v>8.0726879198904922E-2</c:v>
                </c:pt>
                <c:pt idx="88">
                  <c:v>3.9761438924714593E-2</c:v>
                </c:pt>
                <c:pt idx="89">
                  <c:v>4.0599977551164235E-2</c:v>
                </c:pt>
                <c:pt idx="90">
                  <c:v>4.1364939484968714E-2</c:v>
                </c:pt>
                <c:pt idx="91">
                  <c:v>3.878880422140623E-2</c:v>
                </c:pt>
                <c:pt idx="92">
                  <c:v>4.1695659569863243E-2</c:v>
                </c:pt>
                <c:pt idx="93">
                  <c:v>6.5035300650564246E-2</c:v>
                </c:pt>
                <c:pt idx="94">
                  <c:v>6.6406845875110088E-2</c:v>
                </c:pt>
                <c:pt idx="95">
                  <c:v>6.76580463018705E-2</c:v>
                </c:pt>
                <c:pt idx="96">
                  <c:v>6.3444422853797353E-2</c:v>
                </c:pt>
                <c:pt idx="97">
                  <c:v>6.3444422853797353E-2</c:v>
                </c:pt>
                <c:pt idx="98">
                  <c:v>6.8198984475486932E-2</c:v>
                </c:pt>
                <c:pt idx="99">
                  <c:v>1.7572827090144186E-2</c:v>
                </c:pt>
                <c:pt idx="100">
                  <c:v>1.7943424701536145E-2</c:v>
                </c:pt>
                <c:pt idx="101">
                  <c:v>1.8281504614054929E-2</c:v>
                </c:pt>
                <c:pt idx="102">
                  <c:v>1.714296484357223E-2</c:v>
                </c:pt>
                <c:pt idx="103">
                  <c:v>1.714296484357223E-2</c:v>
                </c:pt>
                <c:pt idx="104">
                  <c:v>1.8427668511143597E-2</c:v>
                </c:pt>
                <c:pt idx="105">
                  <c:v>1.0453159197296153E-2</c:v>
                </c:pt>
                <c:pt idx="106">
                  <c:v>1.0534195513674875E-2</c:v>
                </c:pt>
                <c:pt idx="108">
                  <c:v>9.6857220570274478E-3</c:v>
                </c:pt>
                <c:pt idx="109">
                  <c:v>9.6857220570274478E-3</c:v>
                </c:pt>
                <c:pt idx="110">
                  <c:v>1.0246238320884737E-2</c:v>
                </c:pt>
                <c:pt idx="111">
                  <c:v>1.0543090460783534E-2</c:v>
                </c:pt>
                <c:pt idx="112">
                  <c:v>1.0543090460783534E-2</c:v>
                </c:pt>
                <c:pt idx="113">
                  <c:v>4.5006061595223842E-2</c:v>
                </c:pt>
                <c:pt idx="114">
                  <c:v>1.1597399506861891E-2</c:v>
                </c:pt>
                <c:pt idx="115">
                  <c:v>2.1086180921567069E-2</c:v>
                </c:pt>
                <c:pt idx="116">
                  <c:v>7.0287269738556904E-3</c:v>
                </c:pt>
                <c:pt idx="117">
                  <c:v>1.0543090460783534E-2</c:v>
                </c:pt>
                <c:pt idx="118">
                  <c:v>1.0411279496605943E-2</c:v>
                </c:pt>
                <c:pt idx="119">
                  <c:v>1.1491277995048165E-2</c:v>
                </c:pt>
                <c:pt idx="120">
                  <c:v>1.1491277995048165E-2</c:v>
                </c:pt>
                <c:pt idx="121">
                  <c:v>1.1491277995048165E-2</c:v>
                </c:pt>
                <c:pt idx="122">
                  <c:v>1.1889648058321935E-2</c:v>
                </c:pt>
                <c:pt idx="123">
                  <c:v>1.1889648058321935E-2</c:v>
                </c:pt>
                <c:pt idx="124">
                  <c:v>4.8356927769769575E-2</c:v>
                </c:pt>
                <c:pt idx="125">
                  <c:v>8.0594879616282603E-2</c:v>
                </c:pt>
                <c:pt idx="126">
                  <c:v>8.0594879616282603E-2</c:v>
                </c:pt>
                <c:pt idx="127">
                  <c:v>4.8356927769769575E-2</c:v>
                </c:pt>
                <c:pt idx="128">
                  <c:v>8.0594879616282616E-2</c:v>
                </c:pt>
                <c:pt idx="129">
                  <c:v>4.8356927769769568E-2</c:v>
                </c:pt>
                <c:pt idx="130">
                  <c:v>6.0446159712211962E-2</c:v>
                </c:pt>
              </c:numCache>
            </c:numRef>
          </c:val>
          <c:extLst>
            <c:ext xmlns:c16="http://schemas.microsoft.com/office/drawing/2014/chart" uri="{C3380CC4-5D6E-409C-BE32-E72D297353CC}">
              <c16:uniqueId val="{00000004-A90D-448A-BEFB-6D8B52E72DDC}"/>
            </c:ext>
          </c:extLst>
        </c:ser>
        <c:dLbls>
          <c:showLegendKey val="0"/>
          <c:showVal val="0"/>
          <c:showCatName val="0"/>
          <c:showSerName val="0"/>
          <c:showPercent val="0"/>
          <c:showBubbleSize val="0"/>
        </c:dLbls>
        <c:gapWidth val="150"/>
        <c:overlap val="100"/>
        <c:axId val="113632768"/>
        <c:axId val="113634304"/>
      </c:barChart>
      <c:catAx>
        <c:axId val="113632768"/>
        <c:scaling>
          <c:orientation val="minMax"/>
        </c:scaling>
        <c:delete val="0"/>
        <c:axPos val="b"/>
        <c:numFmt formatCode="General" sourceLinked="0"/>
        <c:majorTickMark val="out"/>
        <c:minorTickMark val="none"/>
        <c:tickLblPos val="nextTo"/>
        <c:crossAx val="113634304"/>
        <c:crosses val="autoZero"/>
        <c:auto val="1"/>
        <c:lblAlgn val="ctr"/>
        <c:lblOffset val="100"/>
        <c:noMultiLvlLbl val="0"/>
      </c:catAx>
      <c:valAx>
        <c:axId val="113634304"/>
        <c:scaling>
          <c:orientation val="minMax"/>
        </c:scaling>
        <c:delete val="0"/>
        <c:axPos val="l"/>
        <c:majorGridlines/>
        <c:title>
          <c:tx>
            <c:strRef>
              <c:f>'0_Total'!$A$76:$B$76</c:f>
              <c:strCache>
                <c:ptCount val="2"/>
                <c:pt idx="0">
                  <c:v>Energy consumption per pkm</c:v>
                </c:pt>
                <c:pt idx="1">
                  <c:v>[MJ/pkm]</c:v>
                </c:pt>
              </c:strCache>
            </c:strRef>
          </c:tx>
          <c:overlay val="0"/>
          <c:txPr>
            <a:bodyPr rot="-5400000" vert="horz"/>
            <a:lstStyle/>
            <a:p>
              <a:pPr>
                <a:defRPr/>
              </a:pPr>
              <a:endParaRPr lang="en-FI"/>
            </a:p>
          </c:txPr>
        </c:title>
        <c:numFmt formatCode="General" sourceLinked="1"/>
        <c:majorTickMark val="out"/>
        <c:minorTickMark val="none"/>
        <c:tickLblPos val="nextTo"/>
        <c:crossAx val="11363276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009203923694031"/>
          <c:y val="4.6954883665180714E-3"/>
          <c:w val="0.61466274922559305"/>
          <c:h val="0.1679013459064988"/>
        </c:manualLayout>
      </c:layout>
      <c:barChart>
        <c:barDir val="bar"/>
        <c:grouping val="stacked"/>
        <c:varyColors val="0"/>
        <c:ser>
          <c:idx val="1"/>
          <c:order val="0"/>
          <c:tx>
            <c:strRef>
              <c:f>Figure_5_MJ_per_Vkm_General!$B$45</c:f>
              <c:strCache>
                <c:ptCount val="1"/>
                <c:pt idx="0">
                  <c:v>Vehicle component</c:v>
                </c:pt>
              </c:strCache>
            </c:strRef>
          </c:tx>
          <c:spPr>
            <a:solidFill>
              <a:srgbClr val="003E7E"/>
            </a:solidFill>
          </c:spPr>
          <c:invertIfNegative val="0"/>
          <c:cat>
            <c:strRef>
              <c:f>Figure_5_MJ_per_Vkm_General!$AD$44:$AI$44</c:f>
              <c:strCache>
                <c:ptCount val="6"/>
                <c:pt idx="0">
                  <c:v>Bus - ICE</c:v>
                </c:pt>
                <c:pt idx="1">
                  <c:v>Bus - HEV</c:v>
                </c:pt>
                <c:pt idx="2">
                  <c:v>Bus - BEV</c:v>
                </c:pt>
                <c:pt idx="3">
                  <c:v>Bus - BEV (two packs)</c:v>
                </c:pt>
                <c:pt idx="4">
                  <c:v>Bus - FCEV</c:v>
                </c:pt>
                <c:pt idx="5">
                  <c:v>Metro/urban train</c:v>
                </c:pt>
              </c:strCache>
            </c:strRef>
          </c:cat>
          <c:val>
            <c:numRef>
              <c:f>Figure_5_MJ_per_Vkm_General!$AD$45:$AI$45</c:f>
              <c:numCache>
                <c:formatCode>0</c:formatCode>
                <c:ptCount val="6"/>
                <c:pt idx="0">
                  <c:v>1.4981847363005312</c:v>
                </c:pt>
                <c:pt idx="1">
                  <c:v>1.4898068160136055</c:v>
                </c:pt>
                <c:pt idx="2">
                  <c:v>2.6249711667241717</c:v>
                </c:pt>
                <c:pt idx="3">
                  <c:v>3.3034448453700818</c:v>
                </c:pt>
                <c:pt idx="4">
                  <c:v>2.0702323677937664</c:v>
                </c:pt>
                <c:pt idx="5">
                  <c:v>4.7685247725061295</c:v>
                </c:pt>
              </c:numCache>
            </c:numRef>
          </c:val>
          <c:extLst>
            <c:ext xmlns:c16="http://schemas.microsoft.com/office/drawing/2014/chart" uri="{C3380CC4-5D6E-409C-BE32-E72D297353CC}">
              <c16:uniqueId val="{00000000-DFD2-4D30-9539-166377D0804D}"/>
            </c:ext>
          </c:extLst>
        </c:ser>
        <c:ser>
          <c:idx val="2"/>
          <c:order val="1"/>
          <c:tx>
            <c:strRef>
              <c:f>Figure_5_MJ_per_Vkm_General!$B$46</c:f>
              <c:strCache>
                <c:ptCount val="1"/>
                <c:pt idx="0">
                  <c:v>Fuel component</c:v>
                </c:pt>
              </c:strCache>
            </c:strRef>
          </c:tx>
          <c:spPr>
            <a:solidFill>
              <a:srgbClr val="7BC143"/>
            </a:solidFill>
          </c:spPr>
          <c:invertIfNegative val="0"/>
          <c:cat>
            <c:strRef>
              <c:f>Figure_5_MJ_per_Vkm_General!$AD$44:$AI$44</c:f>
              <c:strCache>
                <c:ptCount val="6"/>
                <c:pt idx="0">
                  <c:v>Bus - ICE</c:v>
                </c:pt>
                <c:pt idx="1">
                  <c:v>Bus - HEV</c:v>
                </c:pt>
                <c:pt idx="2">
                  <c:v>Bus - BEV</c:v>
                </c:pt>
                <c:pt idx="3">
                  <c:v>Bus - BEV (two packs)</c:v>
                </c:pt>
                <c:pt idx="4">
                  <c:v>Bus - FCEV</c:v>
                </c:pt>
                <c:pt idx="5">
                  <c:v>Metro/urban train</c:v>
                </c:pt>
              </c:strCache>
            </c:strRef>
          </c:cat>
          <c:val>
            <c:numRef>
              <c:f>Figure_5_MJ_per_Vkm_General!$AD$46:$AI$46</c:f>
              <c:numCache>
                <c:formatCode>0</c:formatCode>
                <c:ptCount val="6"/>
                <c:pt idx="0">
                  <c:v>14.775703441959346</c:v>
                </c:pt>
                <c:pt idx="1">
                  <c:v>10.877014507162981</c:v>
                </c:pt>
                <c:pt idx="2">
                  <c:v>11.548687595055442</c:v>
                </c:pt>
                <c:pt idx="3">
                  <c:v>11.548687595055442</c:v>
                </c:pt>
                <c:pt idx="4">
                  <c:v>10.533703159370685</c:v>
                </c:pt>
                <c:pt idx="5">
                  <c:v>165.4986059028692</c:v>
                </c:pt>
              </c:numCache>
            </c:numRef>
          </c:val>
          <c:extLst>
            <c:ext xmlns:c16="http://schemas.microsoft.com/office/drawing/2014/chart" uri="{C3380CC4-5D6E-409C-BE32-E72D297353CC}">
              <c16:uniqueId val="{00000001-DFD2-4D30-9539-166377D0804D}"/>
            </c:ext>
          </c:extLst>
        </c:ser>
        <c:ser>
          <c:idx val="3"/>
          <c:order val="2"/>
          <c:tx>
            <c:strRef>
              <c:f>Figure_5_MJ_per_Vkm_General!$B$47</c:f>
              <c:strCache>
                <c:ptCount val="1"/>
                <c:pt idx="0">
                  <c:v>Infrastructure component</c:v>
                </c:pt>
              </c:strCache>
            </c:strRef>
          </c:tx>
          <c:spPr>
            <a:solidFill>
              <a:srgbClr val="939598"/>
            </a:solidFill>
          </c:spPr>
          <c:invertIfNegative val="0"/>
          <c:cat>
            <c:strRef>
              <c:f>Figure_5_MJ_per_Vkm_General!$AD$44:$AI$44</c:f>
              <c:strCache>
                <c:ptCount val="6"/>
                <c:pt idx="0">
                  <c:v>Bus - ICE</c:v>
                </c:pt>
                <c:pt idx="1">
                  <c:v>Bus - HEV</c:v>
                </c:pt>
                <c:pt idx="2">
                  <c:v>Bus - BEV</c:v>
                </c:pt>
                <c:pt idx="3">
                  <c:v>Bus - BEV (two packs)</c:v>
                </c:pt>
                <c:pt idx="4">
                  <c:v>Bus - FCEV</c:v>
                </c:pt>
                <c:pt idx="5">
                  <c:v>Metro/urban train</c:v>
                </c:pt>
              </c:strCache>
            </c:strRef>
          </c:cat>
          <c:val>
            <c:numRef>
              <c:f>Figure_5_MJ_per_Vkm_General!$AD$47:$AI$47</c:f>
              <c:numCache>
                <c:formatCode>0</c:formatCode>
                <c:ptCount val="6"/>
                <c:pt idx="0">
                  <c:v>0.16130928404998809</c:v>
                </c:pt>
                <c:pt idx="1">
                  <c:v>0.15929257629807092</c:v>
                </c:pt>
                <c:pt idx="2">
                  <c:v>0.17581655332423693</c:v>
                </c:pt>
                <c:pt idx="3">
                  <c:v>0.17581655332423693</c:v>
                </c:pt>
                <c:pt idx="4">
                  <c:v>0.18191161529232561</c:v>
                </c:pt>
                <c:pt idx="5">
                  <c:v>11.484770345320273</c:v>
                </c:pt>
              </c:numCache>
            </c:numRef>
          </c:val>
          <c:extLst>
            <c:ext xmlns:c16="http://schemas.microsoft.com/office/drawing/2014/chart" uri="{C3380CC4-5D6E-409C-BE32-E72D297353CC}">
              <c16:uniqueId val="{00000002-DFD2-4D30-9539-166377D0804D}"/>
            </c:ext>
          </c:extLst>
        </c:ser>
        <c:ser>
          <c:idx val="4"/>
          <c:order val="3"/>
          <c:tx>
            <c:strRef>
              <c:f>Figure_5_MJ_per_Vkm_General!$B$48</c:f>
              <c:strCache>
                <c:ptCount val="1"/>
                <c:pt idx="0">
                  <c:v>Operational services</c:v>
                </c:pt>
              </c:strCache>
            </c:strRef>
          </c:tx>
          <c:spPr>
            <a:solidFill>
              <a:srgbClr val="007DC3"/>
            </a:solidFill>
          </c:spPr>
          <c:invertIfNegative val="0"/>
          <c:cat>
            <c:strRef>
              <c:f>Figure_5_MJ_per_Vkm_General!$AD$44:$AI$44</c:f>
              <c:strCache>
                <c:ptCount val="6"/>
                <c:pt idx="0">
                  <c:v>Bus - ICE</c:v>
                </c:pt>
                <c:pt idx="1">
                  <c:v>Bus - HEV</c:v>
                </c:pt>
                <c:pt idx="2">
                  <c:v>Bus - BEV</c:v>
                </c:pt>
                <c:pt idx="3">
                  <c:v>Bus - BEV (two packs)</c:v>
                </c:pt>
                <c:pt idx="4">
                  <c:v>Bus - FCEV</c:v>
                </c:pt>
                <c:pt idx="5">
                  <c:v>Metro/urban train</c:v>
                </c:pt>
              </c:strCache>
            </c:strRef>
          </c:cat>
          <c:val>
            <c:numRef>
              <c:f>Figure_5_MJ_per_Vkm_General!$AD$48:$AI$48</c:f>
              <c:numCache>
                <c:formatCode>0</c:formatCode>
                <c:ptCount val="6"/>
                <c:pt idx="0">
                  <c:v>1.641744826884372</c:v>
                </c:pt>
                <c:pt idx="1">
                  <c:v>1.2085571674625535</c:v>
                </c:pt>
                <c:pt idx="2">
                  <c:v>1.2831875105617161</c:v>
                </c:pt>
                <c:pt idx="3">
                  <c:v>1.2831875105617161</c:v>
                </c:pt>
                <c:pt idx="4">
                  <c:v>1.1704114621522983</c:v>
                </c:pt>
                <c:pt idx="5">
                  <c:v>0</c:v>
                </c:pt>
              </c:numCache>
            </c:numRef>
          </c:val>
          <c:extLst>
            <c:ext xmlns:c16="http://schemas.microsoft.com/office/drawing/2014/chart" uri="{C3380CC4-5D6E-409C-BE32-E72D297353CC}">
              <c16:uniqueId val="{00000003-DFD2-4D30-9539-166377D0804D}"/>
            </c:ext>
          </c:extLst>
        </c:ser>
        <c:dLbls>
          <c:showLegendKey val="0"/>
          <c:showVal val="0"/>
          <c:showCatName val="0"/>
          <c:showSerName val="0"/>
          <c:showPercent val="0"/>
          <c:showBubbleSize val="0"/>
        </c:dLbls>
        <c:gapWidth val="70"/>
        <c:overlap val="100"/>
        <c:axId val="113136768"/>
        <c:axId val="113138304"/>
      </c:barChart>
      <c:catAx>
        <c:axId val="113136768"/>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3138304"/>
        <c:crosses val="autoZero"/>
        <c:auto val="1"/>
        <c:lblAlgn val="ctr"/>
        <c:lblOffset val="100"/>
        <c:noMultiLvlLbl val="0"/>
      </c:catAx>
      <c:valAx>
        <c:axId val="113138304"/>
        <c:scaling>
          <c:orientation val="minMax"/>
        </c:scaling>
        <c:delete val="0"/>
        <c:axPos val="b"/>
        <c:majorGridlines>
          <c:spPr>
            <a:ln w="12700" cap="rnd">
              <a:solidFill>
                <a:schemeClr val="tx1"/>
              </a:solidFill>
              <a:prstDash val="sysDot"/>
            </a:ln>
          </c:spPr>
        </c:majorGridlines>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3136768"/>
        <c:crosses val="autoZero"/>
        <c:crossBetween val="between"/>
        <c:majorUnit val="25"/>
      </c:valAx>
      <c:spPr>
        <a:solidFill>
          <a:srgbClr val="F9F8F7"/>
        </a:solidFill>
        <a:ln>
          <a:noFill/>
        </a:ln>
      </c:spPr>
    </c:plotArea>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009203923694031"/>
          <c:y val="2.8480513767860052E-2"/>
          <c:w val="0.61466274922559305"/>
          <c:h val="0.83728715305268386"/>
        </c:manualLayout>
      </c:layout>
      <c:barChart>
        <c:barDir val="bar"/>
        <c:grouping val="stacked"/>
        <c:varyColors val="0"/>
        <c:ser>
          <c:idx val="1"/>
          <c:order val="0"/>
          <c:tx>
            <c:strRef>
              <c:f>Figure_5_MJ_per_Vkm_General!$B$45</c:f>
              <c:strCache>
                <c:ptCount val="1"/>
                <c:pt idx="0">
                  <c:v>Vehicle component</c:v>
                </c:pt>
              </c:strCache>
            </c:strRef>
          </c:tx>
          <c:spPr>
            <a:solidFill>
              <a:srgbClr val="003E7E"/>
            </a:solidFill>
          </c:spPr>
          <c:invertIfNegative val="0"/>
          <c:cat>
            <c:strRef>
              <c:f>Figure_5_MJ_per_Vkm_General!$C$44:$AC$44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Figure_5_MJ_per_Vkm_General!$C$45:$AC$45</c:f>
              <c:numCache>
                <c:formatCode>0</c:formatCode>
                <c:ptCount val="27"/>
                <c:pt idx="0">
                  <c:v>0.302000803931392</c:v>
                </c:pt>
                <c:pt idx="1">
                  <c:v>0.82477460935745672</c:v>
                </c:pt>
                <c:pt idx="2">
                  <c:v>0.76247684020612139</c:v>
                </c:pt>
                <c:pt idx="3">
                  <c:v>9.4977638889436972E-2</c:v>
                </c:pt>
                <c:pt idx="4">
                  <c:v>0.2979787140022731</c:v>
                </c:pt>
                <c:pt idx="5">
                  <c:v>0.16262911800293872</c:v>
                </c:pt>
                <c:pt idx="6">
                  <c:v>0.48099386202586614</c:v>
                </c:pt>
                <c:pt idx="7">
                  <c:v>0.10294124304401861</c:v>
                </c:pt>
                <c:pt idx="8">
                  <c:v>0.13000839895620495</c:v>
                </c:pt>
                <c:pt idx="9">
                  <c:v>0.25722187196108681</c:v>
                </c:pt>
                <c:pt idx="10">
                  <c:v>0.46214333172454819</c:v>
                </c:pt>
                <c:pt idx="11">
                  <c:v>0.43849733915083422</c:v>
                </c:pt>
                <c:pt idx="12">
                  <c:v>0.47220761399403099</c:v>
                </c:pt>
                <c:pt idx="13">
                  <c:v>0.58589600790773255</c:v>
                </c:pt>
                <c:pt idx="14">
                  <c:v>0.83829271545985373</c:v>
                </c:pt>
                <c:pt idx="15">
                  <c:v>0.77883535749551447</c:v>
                </c:pt>
                <c:pt idx="16">
                  <c:v>0.21427772792732969</c:v>
                </c:pt>
                <c:pt idx="17">
                  <c:v>0.26586215278641023</c:v>
                </c:pt>
                <c:pt idx="18">
                  <c:v>0.41233337580958246</c:v>
                </c:pt>
                <c:pt idx="19">
                  <c:v>0.63598071289132418</c:v>
                </c:pt>
                <c:pt idx="20">
                  <c:v>0.35340359934517473</c:v>
                </c:pt>
                <c:pt idx="21">
                  <c:v>0.19899554986150472</c:v>
                </c:pt>
                <c:pt idx="22">
                  <c:v>0.21429318829541444</c:v>
                </c:pt>
                <c:pt idx="23">
                  <c:v>0.26588076318183157</c:v>
                </c:pt>
                <c:pt idx="24">
                  <c:v>0.41233079292936087</c:v>
                </c:pt>
                <c:pt idx="25">
                  <c:v>0.63602438414695284</c:v>
                </c:pt>
                <c:pt idx="26">
                  <c:v>0.35340359934517473</c:v>
                </c:pt>
              </c:numCache>
            </c:numRef>
          </c:val>
          <c:extLst>
            <c:ext xmlns:c16="http://schemas.microsoft.com/office/drawing/2014/chart" uri="{C3380CC4-5D6E-409C-BE32-E72D297353CC}">
              <c16:uniqueId val="{00000000-BDDE-4DA7-B503-1EB3A4CF32C0}"/>
            </c:ext>
          </c:extLst>
        </c:ser>
        <c:ser>
          <c:idx val="2"/>
          <c:order val="1"/>
          <c:tx>
            <c:strRef>
              <c:f>Figure_5_MJ_per_Vkm_General!$B$46</c:f>
              <c:strCache>
                <c:ptCount val="1"/>
                <c:pt idx="0">
                  <c:v>Fuel component</c:v>
                </c:pt>
              </c:strCache>
            </c:strRef>
          </c:tx>
          <c:spPr>
            <a:solidFill>
              <a:srgbClr val="7BC143"/>
            </a:solidFill>
          </c:spPr>
          <c:invertIfNegative val="0"/>
          <c:cat>
            <c:strRef>
              <c:f>Figure_5_MJ_per_Vkm_General!$C$44:$AC$44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Figure_5_MJ_per_Vkm_General!$C$46:$AC$46</c:f>
              <c:numCache>
                <c:formatCode>0</c:formatCode>
                <c:ptCount val="27"/>
                <c:pt idx="0">
                  <c:v>0.10272971336374727</c:v>
                </c:pt>
                <c:pt idx="1">
                  <c:v>0.10272971336374727</c:v>
                </c:pt>
                <c:pt idx="2">
                  <c:v>0.11113487172987203</c:v>
                </c:pt>
                <c:pt idx="3">
                  <c:v>0</c:v>
                </c:pt>
                <c:pt idx="4">
                  <c:v>0</c:v>
                </c:pt>
                <c:pt idx="5">
                  <c:v>0.19612036187624479</c:v>
                </c:pt>
                <c:pt idx="6">
                  <c:v>0.19612036187624482</c:v>
                </c:pt>
                <c:pt idx="7">
                  <c:v>0.79332529947476416</c:v>
                </c:pt>
                <c:pt idx="8">
                  <c:v>0.32699806902134998</c:v>
                </c:pt>
                <c:pt idx="9">
                  <c:v>0.79332529947476405</c:v>
                </c:pt>
                <c:pt idx="10">
                  <c:v>0.32699806902134998</c:v>
                </c:pt>
                <c:pt idx="11">
                  <c:v>2.7820834252890769</c:v>
                </c:pt>
                <c:pt idx="12">
                  <c:v>2.0723682657765576</c:v>
                </c:pt>
                <c:pt idx="13">
                  <c:v>1.8778581378302071</c:v>
                </c:pt>
                <c:pt idx="14">
                  <c:v>1.7776559507063292</c:v>
                </c:pt>
                <c:pt idx="15">
                  <c:v>1.9443755986699489</c:v>
                </c:pt>
                <c:pt idx="16">
                  <c:v>1.0802854408270217</c:v>
                </c:pt>
                <c:pt idx="17">
                  <c:v>1.025111062611278</c:v>
                </c:pt>
                <c:pt idx="18">
                  <c:v>0.92665761875482222</c:v>
                </c:pt>
                <c:pt idx="19">
                  <c:v>0.92665761875482222</c:v>
                </c:pt>
                <c:pt idx="20">
                  <c:v>1.0135653423332933</c:v>
                </c:pt>
                <c:pt idx="21">
                  <c:v>1.4502462082335359</c:v>
                </c:pt>
                <c:pt idx="22">
                  <c:v>1.0802854408270217</c:v>
                </c:pt>
                <c:pt idx="23">
                  <c:v>1.025111062611278</c:v>
                </c:pt>
                <c:pt idx="24">
                  <c:v>0.92665761875482222</c:v>
                </c:pt>
                <c:pt idx="25">
                  <c:v>0.92665761875482222</c:v>
                </c:pt>
                <c:pt idx="26">
                  <c:v>1.0135653423332933</c:v>
                </c:pt>
              </c:numCache>
            </c:numRef>
          </c:val>
          <c:extLst>
            <c:ext xmlns:c16="http://schemas.microsoft.com/office/drawing/2014/chart" uri="{C3380CC4-5D6E-409C-BE32-E72D297353CC}">
              <c16:uniqueId val="{00000001-BDDE-4DA7-B503-1EB3A4CF32C0}"/>
            </c:ext>
          </c:extLst>
        </c:ser>
        <c:ser>
          <c:idx val="3"/>
          <c:order val="2"/>
          <c:tx>
            <c:strRef>
              <c:f>Figure_5_MJ_per_Vkm_General!$B$47</c:f>
              <c:strCache>
                <c:ptCount val="1"/>
                <c:pt idx="0">
                  <c:v>Infrastructure component</c:v>
                </c:pt>
              </c:strCache>
            </c:strRef>
          </c:tx>
          <c:spPr>
            <a:solidFill>
              <a:srgbClr val="939598"/>
            </a:solidFill>
          </c:spPr>
          <c:invertIfNegative val="0"/>
          <c:cat>
            <c:strRef>
              <c:f>Figure_5_MJ_per_Vkm_General!$C$44:$AC$44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Figure_5_MJ_per_Vkm_General!$C$47:$AC$47</c:f>
              <c:numCache>
                <c:formatCode>0</c:formatCode>
                <c:ptCount val="27"/>
                <c:pt idx="0">
                  <c:v>2.7627731661023575E-2</c:v>
                </c:pt>
                <c:pt idx="1">
                  <c:v>2.7627731661023575E-2</c:v>
                </c:pt>
                <c:pt idx="2">
                  <c:v>2.7752305233719292E-2</c:v>
                </c:pt>
                <c:pt idx="3">
                  <c:v>2.7716152958755239E-2</c:v>
                </c:pt>
                <c:pt idx="4">
                  <c:v>2.7770390396550708E-2</c:v>
                </c:pt>
                <c:pt idx="5">
                  <c:v>2.7740166028967599E-2</c:v>
                </c:pt>
                <c:pt idx="6">
                  <c:v>2.7808427605798137E-2</c:v>
                </c:pt>
                <c:pt idx="7">
                  <c:v>3.3347863362650804E-2</c:v>
                </c:pt>
                <c:pt idx="8">
                  <c:v>3.3229403147663539E-2</c:v>
                </c:pt>
                <c:pt idx="9">
                  <c:v>3.3347863362650804E-2</c:v>
                </c:pt>
                <c:pt idx="10">
                  <c:v>3.3229403147663539E-2</c:v>
                </c:pt>
                <c:pt idx="11">
                  <c:v>5.4761204104258526E-2</c:v>
                </c:pt>
                <c:pt idx="12">
                  <c:v>5.5816493732271613E-2</c:v>
                </c:pt>
                <c:pt idx="13">
                  <c:v>5.6782761438129888E-2</c:v>
                </c:pt>
                <c:pt idx="14">
                  <c:v>5.353531158227285E-2</c:v>
                </c:pt>
                <c:pt idx="15">
                  <c:v>5.698971863071621E-2</c:v>
                </c:pt>
                <c:pt idx="16">
                  <c:v>4.9176955684349148E-2</c:v>
                </c:pt>
                <c:pt idx="17">
                  <c:v>5.0028282970834295E-2</c:v>
                </c:pt>
                <c:pt idx="18">
                  <c:v>4.7167126940241617E-2</c:v>
                </c:pt>
                <c:pt idx="19">
                  <c:v>4.7167126940241617E-2</c:v>
                </c:pt>
                <c:pt idx="20">
                  <c:v>5.0210621989426052E-2</c:v>
                </c:pt>
                <c:pt idx="21">
                  <c:v>4.8247195898292433E-2</c:v>
                </c:pt>
                <c:pt idx="22">
                  <c:v>4.9176955684349148E-2</c:v>
                </c:pt>
                <c:pt idx="23">
                  <c:v>5.0028282970834295E-2</c:v>
                </c:pt>
                <c:pt idx="24">
                  <c:v>4.7167126940241617E-2</c:v>
                </c:pt>
                <c:pt idx="25">
                  <c:v>4.7167126940241617E-2</c:v>
                </c:pt>
                <c:pt idx="26">
                  <c:v>5.0210621989426052E-2</c:v>
                </c:pt>
              </c:numCache>
            </c:numRef>
          </c:val>
          <c:extLst>
            <c:ext xmlns:c16="http://schemas.microsoft.com/office/drawing/2014/chart" uri="{C3380CC4-5D6E-409C-BE32-E72D297353CC}">
              <c16:uniqueId val="{00000002-BDDE-4DA7-B503-1EB3A4CF32C0}"/>
            </c:ext>
          </c:extLst>
        </c:ser>
        <c:ser>
          <c:idx val="4"/>
          <c:order val="3"/>
          <c:tx>
            <c:strRef>
              <c:f>Figure_5_MJ_per_Vkm_General!$B$48</c:f>
              <c:strCache>
                <c:ptCount val="1"/>
                <c:pt idx="0">
                  <c:v>Operational services</c:v>
                </c:pt>
              </c:strCache>
            </c:strRef>
          </c:tx>
          <c:spPr>
            <a:solidFill>
              <a:srgbClr val="007DC3"/>
            </a:solidFill>
          </c:spPr>
          <c:invertIfNegative val="0"/>
          <c:cat>
            <c:strRef>
              <c:f>Figure_5_MJ_per_Vkm_General!$C$44:$AC$44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Figure_5_MJ_per_Vkm_General!$C$48:$AC$48</c:f>
              <c:numCache>
                <c:formatCode>0</c:formatCode>
                <c:ptCount val="27"/>
                <c:pt idx="0">
                  <c:v>0</c:v>
                </c:pt>
                <c:pt idx="1">
                  <c:v>0.50111855552115991</c:v>
                </c:pt>
                <c:pt idx="2">
                  <c:v>0.35645658958233067</c:v>
                </c:pt>
                <c:pt idx="3">
                  <c:v>0</c:v>
                </c:pt>
                <c:pt idx="4">
                  <c:v>0.35645658958233067</c:v>
                </c:pt>
                <c:pt idx="5">
                  <c:v>0</c:v>
                </c:pt>
                <c:pt idx="6">
                  <c:v>0.35645658958233067</c:v>
                </c:pt>
                <c:pt idx="7">
                  <c:v>0</c:v>
                </c:pt>
                <c:pt idx="8">
                  <c:v>0</c:v>
                </c:pt>
                <c:pt idx="9">
                  <c:v>0</c:v>
                </c:pt>
                <c:pt idx="10">
                  <c:v>0.19504228486580358</c:v>
                </c:pt>
                <c:pt idx="11">
                  <c:v>0</c:v>
                </c:pt>
                <c:pt idx="12">
                  <c:v>0</c:v>
                </c:pt>
                <c:pt idx="13">
                  <c:v>0</c:v>
                </c:pt>
                <c:pt idx="14">
                  <c:v>0</c:v>
                </c:pt>
                <c:pt idx="15">
                  <c:v>0</c:v>
                </c:pt>
                <c:pt idx="16">
                  <c:v>0.9920828249495357</c:v>
                </c:pt>
                <c:pt idx="17">
                  <c:v>0.94141329730765211</c:v>
                </c:pt>
                <c:pt idx="18">
                  <c:v>0.85099833195150709</c:v>
                </c:pt>
                <c:pt idx="19">
                  <c:v>0.85099833195150709</c:v>
                </c:pt>
                <c:pt idx="20">
                  <c:v>0.93081025633665559</c:v>
                </c:pt>
                <c:pt idx="21">
                  <c:v>1.331837217055541</c:v>
                </c:pt>
                <c:pt idx="22">
                  <c:v>0.9920828249495357</c:v>
                </c:pt>
                <c:pt idx="23">
                  <c:v>0.94141329730765211</c:v>
                </c:pt>
                <c:pt idx="24">
                  <c:v>0.85099833195150709</c:v>
                </c:pt>
                <c:pt idx="25">
                  <c:v>0.85099833195150709</c:v>
                </c:pt>
                <c:pt idx="26">
                  <c:v>0.93081025633665559</c:v>
                </c:pt>
              </c:numCache>
            </c:numRef>
          </c:val>
          <c:extLst>
            <c:ext xmlns:c16="http://schemas.microsoft.com/office/drawing/2014/chart" uri="{C3380CC4-5D6E-409C-BE32-E72D297353CC}">
              <c16:uniqueId val="{00000003-BDDE-4DA7-B503-1EB3A4CF32C0}"/>
            </c:ext>
          </c:extLst>
        </c:ser>
        <c:dLbls>
          <c:showLegendKey val="0"/>
          <c:showVal val="0"/>
          <c:showCatName val="0"/>
          <c:showSerName val="0"/>
          <c:showPercent val="0"/>
          <c:showBubbleSize val="0"/>
        </c:dLbls>
        <c:gapWidth val="70"/>
        <c:overlap val="100"/>
        <c:axId val="113173248"/>
        <c:axId val="113174784"/>
      </c:barChart>
      <c:catAx>
        <c:axId val="113173248"/>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3174784"/>
        <c:crosses val="autoZero"/>
        <c:auto val="1"/>
        <c:lblAlgn val="ctr"/>
        <c:lblOffset val="100"/>
        <c:noMultiLvlLbl val="0"/>
      </c:catAx>
      <c:valAx>
        <c:axId val="113174784"/>
        <c:scaling>
          <c:orientation val="minMax"/>
          <c:max val="4.5"/>
        </c:scaling>
        <c:delete val="0"/>
        <c:axPos val="b"/>
        <c:majorGridlines>
          <c:spPr>
            <a:ln w="12700" cap="rnd">
              <a:solidFill>
                <a:schemeClr val="tx1"/>
              </a:solidFill>
              <a:prstDash val="sysDot"/>
            </a:ln>
          </c:spPr>
        </c:majorGridlines>
        <c:title>
          <c:tx>
            <c:strRef>
              <c:f>Figure_5_MJ_per_Vkm_General!$C$12</c:f>
              <c:strCache>
                <c:ptCount val="1"/>
                <c:pt idx="0">
                  <c:v>Energy consumption per vkm [MJ/vkm]</c:v>
                </c:pt>
              </c:strCache>
            </c:strRef>
          </c:tx>
          <c:overlay val="0"/>
          <c:txPr>
            <a:bodyPr/>
            <a:lstStyle/>
            <a:p>
              <a:pPr>
                <a:defRPr sz="1100"/>
              </a:pPr>
              <a:endParaRPr lang="en-FI"/>
            </a:p>
          </c:txPr>
        </c:title>
        <c:numFmt formatCode="#\ ##0.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3173248"/>
        <c:crosses val="autoZero"/>
        <c:crossBetween val="between"/>
      </c:valAx>
      <c:spPr>
        <a:solidFill>
          <a:srgbClr val="F9F8F7"/>
        </a:solidFill>
        <a:ln>
          <a:noFill/>
        </a:ln>
      </c:spPr>
    </c:plotArea>
    <c:legend>
      <c:legendPos val="b"/>
      <c:layout>
        <c:manualLayout>
          <c:xMode val="edge"/>
          <c:yMode val="edge"/>
          <c:x val="0.19659420496558383"/>
          <c:y val="0.95754201920009219"/>
          <c:w val="0.75724488084020314"/>
          <c:h val="3.5303681823001427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05027442171337E-2"/>
          <c:y val="2.8480513767860052E-2"/>
          <c:w val="0.87464983114769335"/>
          <c:h val="0.5215418883450379"/>
        </c:manualLayout>
      </c:layout>
      <c:barChart>
        <c:barDir val="col"/>
        <c:grouping val="clustered"/>
        <c:varyColors val="0"/>
        <c:ser>
          <c:idx val="1"/>
          <c:order val="0"/>
          <c:tx>
            <c:strRef>
              <c:f>Figure_6_GHG_per_pkm_by_people!$B$45</c:f>
              <c:strCache>
                <c:ptCount val="1"/>
                <c:pt idx="0">
                  <c:v>Single occupant</c:v>
                </c:pt>
              </c:strCache>
            </c:strRef>
          </c:tx>
          <c:spPr>
            <a:solidFill>
              <a:srgbClr val="003E7E"/>
            </a:solidFill>
          </c:spPr>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Figure_6_GHG_per_pkm_by_people!$I$45:$AB$45</c:f>
              <c:numCache>
                <c:formatCode>0</c:formatCode>
                <c:ptCount val="20"/>
                <c:pt idx="0">
                  <c:v>73.116667945061394</c:v>
                </c:pt>
                <c:pt idx="1">
                  <c:v>25.685414916413087</c:v>
                </c:pt>
                <c:pt idx="2">
                  <c:v>85.084207329638076</c:v>
                </c:pt>
                <c:pt idx="3">
                  <c:v>63.965388596873368</c:v>
                </c:pt>
                <c:pt idx="4">
                  <c:v>242.95805508422671</c:v>
                </c:pt>
                <c:pt idx="5">
                  <c:v>198.41664951334906</c:v>
                </c:pt>
                <c:pt idx="6">
                  <c:v>131.03579889280746</c:v>
                </c:pt>
                <c:pt idx="7">
                  <c:v>105.40940965441584</c:v>
                </c:pt>
                <c:pt idx="8">
                  <c:v>200.1132106258072</c:v>
                </c:pt>
                <c:pt idx="9">
                  <c:v>176.23867917808408</c:v>
                </c:pt>
                <c:pt idx="10">
                  <c:v>138.79023689694424</c:v>
                </c:pt>
                <c:pt idx="11">
                  <c:v>72.085929411706061</c:v>
                </c:pt>
                <c:pt idx="12">
                  <c:v>88.483677381517737</c:v>
                </c:pt>
                <c:pt idx="13">
                  <c:v>167.40102377908784</c:v>
                </c:pt>
                <c:pt idx="14">
                  <c:v>222.96032365470072</c:v>
                </c:pt>
                <c:pt idx="15">
                  <c:v>176.74790331496078</c:v>
                </c:pt>
                <c:pt idx="16">
                  <c:v>139.50475911329761</c:v>
                </c:pt>
                <c:pt idx="17">
                  <c:v>71.890095032257506</c:v>
                </c:pt>
                <c:pt idx="18">
                  <c:v>91.168482671730686</c:v>
                </c:pt>
                <c:pt idx="19">
                  <c:v>167.40102377908784</c:v>
                </c:pt>
              </c:numCache>
            </c:numRef>
          </c:val>
          <c:extLst>
            <c:ext xmlns:c16="http://schemas.microsoft.com/office/drawing/2014/chart" uri="{C3380CC4-5D6E-409C-BE32-E72D297353CC}">
              <c16:uniqueId val="{00000000-EA92-4060-96F3-AAF7E20621B9}"/>
            </c:ext>
          </c:extLst>
        </c:ser>
        <c:ser>
          <c:idx val="2"/>
          <c:order val="1"/>
          <c:tx>
            <c:strRef>
              <c:f>Figure_6_GHG_per_pkm_by_people!$B$46</c:f>
              <c:strCache>
                <c:ptCount val="1"/>
                <c:pt idx="0">
                  <c:v>Two occupants</c:v>
                </c:pt>
              </c:strCache>
            </c:strRef>
          </c:tx>
          <c:spPr>
            <a:solidFill>
              <a:srgbClr val="7BC143"/>
            </a:solidFill>
          </c:spPr>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Figure_6_GHG_per_pkm_by_people!$I$46:$AB$46</c:f>
              <c:numCache>
                <c:formatCode>0</c:formatCode>
                <c:ptCount val="20"/>
                <c:pt idx="0">
                  <c:v>36.558333972530697</c:v>
                </c:pt>
                <c:pt idx="1">
                  <c:v>12.842707458206544</c:v>
                </c:pt>
                <c:pt idx="2">
                  <c:v>42.542103664819038</c:v>
                </c:pt>
                <c:pt idx="3">
                  <c:v>31.982694298436684</c:v>
                </c:pt>
                <c:pt idx="4">
                  <c:v>121.47902754211336</c:v>
                </c:pt>
                <c:pt idx="5">
                  <c:v>99.208324756674529</c:v>
                </c:pt>
                <c:pt idx="6">
                  <c:v>65.517899446403732</c:v>
                </c:pt>
                <c:pt idx="7">
                  <c:v>52.704704827207919</c:v>
                </c:pt>
                <c:pt idx="8">
                  <c:v>100.0566053129036</c:v>
                </c:pt>
                <c:pt idx="9">
                  <c:v>88.119339589042042</c:v>
                </c:pt>
                <c:pt idx="10">
                  <c:v>69.395118448472118</c:v>
                </c:pt>
                <c:pt idx="11">
                  <c:v>36.042964705853031</c:v>
                </c:pt>
                <c:pt idx="12">
                  <c:v>44.241838690758868</c:v>
                </c:pt>
                <c:pt idx="13">
                  <c:v>83.700511889543918</c:v>
                </c:pt>
                <c:pt idx="14">
                  <c:v>111.48016182735036</c:v>
                </c:pt>
                <c:pt idx="15">
                  <c:v>88.37395165748039</c:v>
                </c:pt>
                <c:pt idx="16">
                  <c:v>69.752379556648805</c:v>
                </c:pt>
                <c:pt idx="17">
                  <c:v>35.945047516128753</c:v>
                </c:pt>
                <c:pt idx="18">
                  <c:v>45.584241335865343</c:v>
                </c:pt>
                <c:pt idx="19">
                  <c:v>83.700511889543918</c:v>
                </c:pt>
              </c:numCache>
            </c:numRef>
          </c:val>
          <c:extLst>
            <c:ext xmlns:c16="http://schemas.microsoft.com/office/drawing/2014/chart" uri="{C3380CC4-5D6E-409C-BE32-E72D297353CC}">
              <c16:uniqueId val="{00000001-EA92-4060-96F3-AAF7E20621B9}"/>
            </c:ext>
          </c:extLst>
        </c:ser>
        <c:ser>
          <c:idx val="3"/>
          <c:order val="2"/>
          <c:tx>
            <c:strRef>
              <c:f>Figure_6_GHG_per_pkm_by_people!$B$47</c:f>
              <c:strCache>
                <c:ptCount val="1"/>
                <c:pt idx="0">
                  <c:v>Three occupants</c:v>
                </c:pt>
              </c:strCache>
            </c:strRef>
          </c:tx>
          <c:spPr>
            <a:solidFill>
              <a:srgbClr val="939598"/>
            </a:solidFill>
          </c:spPr>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Figure_6_GHG_per_pkm_by_people!$I$47:$AB$47</c:f>
              <c:numCache>
                <c:formatCode>0</c:formatCode>
                <c:ptCount val="20"/>
                <c:pt idx="4">
                  <c:v>80.98601836140891</c:v>
                </c:pt>
                <c:pt idx="5">
                  <c:v>66.138883171116348</c:v>
                </c:pt>
                <c:pt idx="6">
                  <c:v>43.678599630935821</c:v>
                </c:pt>
                <c:pt idx="7">
                  <c:v>35.13646988480528</c:v>
                </c:pt>
                <c:pt idx="8">
                  <c:v>66.704403541935733</c:v>
                </c:pt>
                <c:pt idx="9">
                  <c:v>58.746226392694695</c:v>
                </c:pt>
                <c:pt idx="10">
                  <c:v>46.263412298981414</c:v>
                </c:pt>
                <c:pt idx="11">
                  <c:v>24.028643137235353</c:v>
                </c:pt>
                <c:pt idx="12">
                  <c:v>29.494559127172579</c:v>
                </c:pt>
                <c:pt idx="13">
                  <c:v>55.800341259695948</c:v>
                </c:pt>
                <c:pt idx="14">
                  <c:v>74.320107884900239</c:v>
                </c:pt>
                <c:pt idx="15">
                  <c:v>58.915967771653591</c:v>
                </c:pt>
                <c:pt idx="16">
                  <c:v>46.501586371099201</c:v>
                </c:pt>
                <c:pt idx="17">
                  <c:v>23.963365010752501</c:v>
                </c:pt>
                <c:pt idx="18">
                  <c:v>30.38949422391023</c:v>
                </c:pt>
                <c:pt idx="19">
                  <c:v>55.800341259695948</c:v>
                </c:pt>
              </c:numCache>
            </c:numRef>
          </c:val>
          <c:extLst>
            <c:ext xmlns:c16="http://schemas.microsoft.com/office/drawing/2014/chart" uri="{C3380CC4-5D6E-409C-BE32-E72D297353CC}">
              <c16:uniqueId val="{00000002-EA92-4060-96F3-AAF7E20621B9}"/>
            </c:ext>
          </c:extLst>
        </c:ser>
        <c:ser>
          <c:idx val="4"/>
          <c:order val="3"/>
          <c:tx>
            <c:strRef>
              <c:f>Figure_6_GHG_per_pkm_by_people!$B$48</c:f>
              <c:strCache>
                <c:ptCount val="1"/>
                <c:pt idx="0">
                  <c:v>Four occupants</c:v>
                </c:pt>
              </c:strCache>
            </c:strRef>
          </c:tx>
          <c:spPr>
            <a:solidFill>
              <a:srgbClr val="007DC3"/>
            </a:solidFill>
          </c:spPr>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Figure_6_GHG_per_pkm_by_people!$I$48:$AB$48</c:f>
              <c:numCache>
                <c:formatCode>0</c:formatCode>
                <c:ptCount val="20"/>
                <c:pt idx="4">
                  <c:v>60.739513771056679</c:v>
                </c:pt>
                <c:pt idx="5">
                  <c:v>49.604162378337264</c:v>
                </c:pt>
                <c:pt idx="6">
                  <c:v>32.758949723201866</c:v>
                </c:pt>
                <c:pt idx="7">
                  <c:v>26.35235241360396</c:v>
                </c:pt>
                <c:pt idx="8">
                  <c:v>50.0283026564518</c:v>
                </c:pt>
                <c:pt idx="9">
                  <c:v>44.059669794521021</c:v>
                </c:pt>
                <c:pt idx="10">
                  <c:v>34.697559224236059</c:v>
                </c:pt>
                <c:pt idx="11">
                  <c:v>18.021482352926515</c:v>
                </c:pt>
                <c:pt idx="12">
                  <c:v>22.120919345379434</c:v>
                </c:pt>
                <c:pt idx="13">
                  <c:v>41.850255944771959</c:v>
                </c:pt>
                <c:pt idx="14">
                  <c:v>55.740080913675179</c:v>
                </c:pt>
                <c:pt idx="15">
                  <c:v>44.186975828740195</c:v>
                </c:pt>
                <c:pt idx="16">
                  <c:v>34.876189778324402</c:v>
                </c:pt>
                <c:pt idx="17">
                  <c:v>17.972523758064376</c:v>
                </c:pt>
                <c:pt idx="18">
                  <c:v>22.792120667932672</c:v>
                </c:pt>
                <c:pt idx="19">
                  <c:v>41.850255944771959</c:v>
                </c:pt>
              </c:numCache>
            </c:numRef>
          </c:val>
          <c:extLst>
            <c:ext xmlns:c16="http://schemas.microsoft.com/office/drawing/2014/chart" uri="{C3380CC4-5D6E-409C-BE32-E72D297353CC}">
              <c16:uniqueId val="{00000003-EA92-4060-96F3-AAF7E20621B9}"/>
            </c:ext>
          </c:extLst>
        </c:ser>
        <c:ser>
          <c:idx val="0"/>
          <c:order val="4"/>
          <c:tx>
            <c:strRef>
              <c:f>Figure_6_GHG_per_pkm_by_people!$B$49</c:f>
              <c:strCache>
                <c:ptCount val="1"/>
                <c:pt idx="0">
                  <c:v>Column 5</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Figure_6_GHG_per_pkm_by_people!$I$49:$AB$49</c:f>
            </c:numRef>
          </c:val>
          <c:extLst>
            <c:ext xmlns:c16="http://schemas.microsoft.com/office/drawing/2014/chart" uri="{C3380CC4-5D6E-409C-BE32-E72D297353CC}">
              <c16:uniqueId val="{00000004-EA92-4060-96F3-AAF7E20621B9}"/>
            </c:ext>
          </c:extLst>
        </c:ser>
        <c:ser>
          <c:idx val="5"/>
          <c:order val="5"/>
          <c:tx>
            <c:strRef>
              <c:f>Figure_6_GHG_per_pkm_by_people!$B$50</c:f>
              <c:strCache>
                <c:ptCount val="1"/>
                <c:pt idx="0">
                  <c:v>Column 6</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Figure_6_GHG_per_pkm_by_people!$I$50:$AB$50</c:f>
            </c:numRef>
          </c:val>
          <c:extLst>
            <c:ext xmlns:c16="http://schemas.microsoft.com/office/drawing/2014/chart" uri="{C3380CC4-5D6E-409C-BE32-E72D297353CC}">
              <c16:uniqueId val="{00000005-EA92-4060-96F3-AAF7E20621B9}"/>
            </c:ext>
          </c:extLst>
        </c:ser>
        <c:ser>
          <c:idx val="6"/>
          <c:order val="6"/>
          <c:tx>
            <c:strRef>
              <c:f>Figure_6_GHG_per_pkm_by_people!$B$51</c:f>
              <c:strCache>
                <c:ptCount val="1"/>
                <c:pt idx="0">
                  <c:v>Column 7</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Figure_6_GHG_per_pkm_by_people!$I$51:$AB$51</c:f>
            </c:numRef>
          </c:val>
          <c:extLst>
            <c:ext xmlns:c16="http://schemas.microsoft.com/office/drawing/2014/chart" uri="{C3380CC4-5D6E-409C-BE32-E72D297353CC}">
              <c16:uniqueId val="{00000006-EA92-4060-96F3-AAF7E20621B9}"/>
            </c:ext>
          </c:extLst>
        </c:ser>
        <c:ser>
          <c:idx val="7"/>
          <c:order val="7"/>
          <c:tx>
            <c:strRef>
              <c:f>Figure_6_GHG_per_pkm_by_people!$B$52</c:f>
              <c:strCache>
                <c:ptCount val="1"/>
                <c:pt idx="0">
                  <c:v>Column 8</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Figure_6_GHG_per_pkm_by_people!$I$52:$AB$52</c:f>
            </c:numRef>
          </c:val>
          <c:extLst>
            <c:ext xmlns:c16="http://schemas.microsoft.com/office/drawing/2014/chart" uri="{C3380CC4-5D6E-409C-BE32-E72D297353CC}">
              <c16:uniqueId val="{00000007-EA92-4060-96F3-AAF7E20621B9}"/>
            </c:ext>
          </c:extLst>
        </c:ser>
        <c:ser>
          <c:idx val="8"/>
          <c:order val="8"/>
          <c:tx>
            <c:strRef>
              <c:f>Figure_6_GHG_per_pkm_by_people!$B$53</c:f>
              <c:strCache>
                <c:ptCount val="1"/>
                <c:pt idx="0">
                  <c:v>Column 9</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Figure_6_GHG_per_pkm_by_people!$I$53:$AB$53</c:f>
            </c:numRef>
          </c:val>
          <c:extLst>
            <c:ext xmlns:c16="http://schemas.microsoft.com/office/drawing/2014/chart" uri="{C3380CC4-5D6E-409C-BE32-E72D297353CC}">
              <c16:uniqueId val="{00000008-EA92-4060-96F3-AAF7E20621B9}"/>
            </c:ext>
          </c:extLst>
        </c:ser>
        <c:ser>
          <c:idx val="9"/>
          <c:order val="9"/>
          <c:tx>
            <c:strRef>
              <c:f>Figure_6_GHG_per_pkm_by_people!$B$54</c:f>
              <c:strCache>
                <c:ptCount val="1"/>
                <c:pt idx="0">
                  <c:v>Column 10</c:v>
                </c:pt>
              </c:strCache>
            </c:strRef>
          </c:tx>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Figure_6_GHG_per_pkm_by_people!$I$54:$AB$54</c:f>
            </c:numRef>
          </c:val>
          <c:extLst>
            <c:ext xmlns:c16="http://schemas.microsoft.com/office/drawing/2014/chart" uri="{C3380CC4-5D6E-409C-BE32-E72D297353CC}">
              <c16:uniqueId val="{00000009-EA92-4060-96F3-AAF7E20621B9}"/>
            </c:ext>
          </c:extLst>
        </c:ser>
        <c:ser>
          <c:idx val="10"/>
          <c:order val="10"/>
          <c:tx>
            <c:strRef>
              <c:f>Figure_6_GHG_per_pkm_by_people!$B$55</c:f>
              <c:strCache>
                <c:ptCount val="1"/>
                <c:pt idx="0">
                  <c:v>Five occupants</c:v>
                </c:pt>
              </c:strCache>
            </c:strRef>
          </c:tx>
          <c:spPr>
            <a:solidFill>
              <a:srgbClr val="C6003A"/>
            </a:solidFill>
          </c:spPr>
          <c:invertIfNegative val="0"/>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Figure_6_GHG_per_pkm_by_people!$I$55:$AB$55</c:f>
              <c:numCache>
                <c:formatCode>0</c:formatCode>
                <c:ptCount val="20"/>
                <c:pt idx="4">
                  <c:v>48.591611016845341</c:v>
                </c:pt>
                <c:pt idx="5">
                  <c:v>39.683329902669811</c:v>
                </c:pt>
                <c:pt idx="6">
                  <c:v>26.207159778561493</c:v>
                </c:pt>
                <c:pt idx="7">
                  <c:v>21.081881930883167</c:v>
                </c:pt>
                <c:pt idx="8">
                  <c:v>40.02264212516144</c:v>
                </c:pt>
                <c:pt idx="9">
                  <c:v>35.247735835616815</c:v>
                </c:pt>
                <c:pt idx="10">
                  <c:v>27.758047379388849</c:v>
                </c:pt>
                <c:pt idx="11">
                  <c:v>14.417185882341212</c:v>
                </c:pt>
                <c:pt idx="12">
                  <c:v>17.696735476303548</c:v>
                </c:pt>
                <c:pt idx="13">
                  <c:v>33.480204755817567</c:v>
                </c:pt>
                <c:pt idx="14">
                  <c:v>44.592064730940145</c:v>
                </c:pt>
                <c:pt idx="15">
                  <c:v>35.349580662992153</c:v>
                </c:pt>
                <c:pt idx="16">
                  <c:v>27.900951822659522</c:v>
                </c:pt>
                <c:pt idx="17">
                  <c:v>14.378019006451501</c:v>
                </c:pt>
                <c:pt idx="18">
                  <c:v>18.233696534346137</c:v>
                </c:pt>
                <c:pt idx="19">
                  <c:v>33.480204755817567</c:v>
                </c:pt>
              </c:numCache>
            </c:numRef>
          </c:val>
          <c:extLst>
            <c:ext xmlns:c16="http://schemas.microsoft.com/office/drawing/2014/chart" uri="{C3380CC4-5D6E-409C-BE32-E72D297353CC}">
              <c16:uniqueId val="{0000000A-EA92-4060-96F3-AAF7E20621B9}"/>
            </c:ext>
          </c:extLst>
        </c:ser>
        <c:dLbls>
          <c:showLegendKey val="0"/>
          <c:showVal val="0"/>
          <c:showCatName val="0"/>
          <c:showSerName val="0"/>
          <c:showPercent val="0"/>
          <c:showBubbleSize val="0"/>
        </c:dLbls>
        <c:gapWidth val="70"/>
        <c:axId val="111766912"/>
        <c:axId val="111776896"/>
      </c:barChart>
      <c:lineChart>
        <c:grouping val="standard"/>
        <c:varyColors val="0"/>
        <c:ser>
          <c:idx val="11"/>
          <c:order val="11"/>
          <c:tx>
            <c:strRef>
              <c:f>Figure_6_GHG_per_pkm_by_people!$B$56</c:f>
              <c:strCache>
                <c:ptCount val="1"/>
                <c:pt idx="0">
                  <c:v>Bus - ICE</c:v>
                </c:pt>
              </c:strCache>
            </c:strRef>
          </c:tx>
          <c:marker>
            <c:symbol val="none"/>
          </c:marker>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Figure_6_GHG_per_pkm_by_people!$I$56:$AB$56</c:f>
              <c:numCache>
                <c:formatCode>0</c:formatCode>
                <c:ptCount val="20"/>
                <c:pt idx="0">
                  <c:v>91.433521668933466</c:v>
                </c:pt>
                <c:pt idx="1">
                  <c:v>91.433521668933466</c:v>
                </c:pt>
                <c:pt idx="2">
                  <c:v>91.433521668933466</c:v>
                </c:pt>
                <c:pt idx="3">
                  <c:v>91.433521668933466</c:v>
                </c:pt>
                <c:pt idx="4">
                  <c:v>91.433521668933466</c:v>
                </c:pt>
                <c:pt idx="5">
                  <c:v>91.433521668933466</c:v>
                </c:pt>
                <c:pt idx="6">
                  <c:v>91.433521668933466</c:v>
                </c:pt>
                <c:pt idx="7">
                  <c:v>91.433521668933466</c:v>
                </c:pt>
                <c:pt idx="8">
                  <c:v>91.433521668933466</c:v>
                </c:pt>
                <c:pt idx="9">
                  <c:v>91.433521668933466</c:v>
                </c:pt>
                <c:pt idx="10">
                  <c:v>91.433521668933466</c:v>
                </c:pt>
                <c:pt idx="11">
                  <c:v>91.433521668933466</c:v>
                </c:pt>
                <c:pt idx="12">
                  <c:v>91.433521668933466</c:v>
                </c:pt>
                <c:pt idx="13">
                  <c:v>91.433521668933466</c:v>
                </c:pt>
                <c:pt idx="14">
                  <c:v>91.433521668933466</c:v>
                </c:pt>
                <c:pt idx="15">
                  <c:v>91.433521668933466</c:v>
                </c:pt>
                <c:pt idx="16">
                  <c:v>91.433521668933466</c:v>
                </c:pt>
                <c:pt idx="17">
                  <c:v>91.433521668933466</c:v>
                </c:pt>
                <c:pt idx="18">
                  <c:v>91.433521668933466</c:v>
                </c:pt>
                <c:pt idx="19">
                  <c:v>91.433521668933466</c:v>
                </c:pt>
              </c:numCache>
            </c:numRef>
          </c:val>
          <c:smooth val="0"/>
          <c:extLst>
            <c:ext xmlns:c16="http://schemas.microsoft.com/office/drawing/2014/chart" uri="{C3380CC4-5D6E-409C-BE32-E72D297353CC}">
              <c16:uniqueId val="{00000000-EB93-4847-A692-C5A086502923}"/>
            </c:ext>
          </c:extLst>
        </c:ser>
        <c:ser>
          <c:idx val="12"/>
          <c:order val="12"/>
          <c:tx>
            <c:strRef>
              <c:f>Figure_6_GHG_per_pkm_by_people!$B$57</c:f>
              <c:strCache>
                <c:ptCount val="1"/>
                <c:pt idx="0">
                  <c:v>Metro/urban train</c:v>
                </c:pt>
              </c:strCache>
            </c:strRef>
          </c:tx>
          <c:spPr>
            <a:ln>
              <a:solidFill>
                <a:schemeClr val="tx1"/>
              </a:solidFill>
            </a:ln>
          </c:spPr>
          <c:marker>
            <c:symbol val="none"/>
          </c:marker>
          <c:cat>
            <c:strRef>
              <c:f>Figure_6_GHG_per_pkm_by_people!$I$44:$AB$44</c:f>
              <c:strCache>
                <c:ptCount val="20"/>
                <c:pt idx="0">
                  <c:v>Private moped - ICE</c:v>
                </c:pt>
                <c:pt idx="1">
                  <c:v>Private moped - BEV</c:v>
                </c:pt>
                <c:pt idx="2">
                  <c:v>Shared moped - ICE</c:v>
                </c:pt>
                <c:pt idx="3">
                  <c:v>Shared moped - BEV</c:v>
                </c:pt>
                <c:pt idx="4">
                  <c:v>Private car - ICE</c:v>
                </c:pt>
                <c:pt idx="5">
                  <c:v>Private car - HEV</c:v>
                </c:pt>
                <c:pt idx="6">
                  <c:v>Private car - PHEV</c:v>
                </c:pt>
                <c:pt idx="7">
                  <c:v>Private car - BEV</c:v>
                </c:pt>
                <c:pt idx="8">
                  <c:v>Private car - FCEV</c:v>
                </c:pt>
                <c:pt idx="9">
                  <c:v>Taxi  HEV</c:v>
                </c:pt>
                <c:pt idx="10">
                  <c:v>Taxi  PHEV</c:v>
                </c:pt>
                <c:pt idx="11">
                  <c:v>Taxi  BEV</c:v>
                </c:pt>
                <c:pt idx="12">
                  <c:v>Taxi  BEV (two packs)</c:v>
                </c:pt>
                <c:pt idx="13">
                  <c:v>Taxi - FCEV</c:v>
                </c:pt>
                <c:pt idx="14">
                  <c:v>Ridesourcing - car - ICE</c:v>
                </c:pt>
                <c:pt idx="15">
                  <c:v>Ridesourcing - car - HEV</c:v>
                </c:pt>
                <c:pt idx="16">
                  <c:v>Ridesourcing - car - PHEV</c:v>
                </c:pt>
                <c:pt idx="17">
                  <c:v>Ridesourcing - car - BEV</c:v>
                </c:pt>
                <c:pt idx="18">
                  <c:v>Ridesourcing - car - BEV (two packs)</c:v>
                </c:pt>
                <c:pt idx="19">
                  <c:v>Ridesourcing - car - FCEV</c:v>
                </c:pt>
              </c:strCache>
            </c:strRef>
          </c:cat>
          <c:val>
            <c:numRef>
              <c:f>Figure_6_GHG_per_pkm_by_people!$I$57:$AB$57</c:f>
              <c:numCache>
                <c:formatCode>0</c:formatCode>
                <c:ptCount val="20"/>
                <c:pt idx="0">
                  <c:v>25.105063716070894</c:v>
                </c:pt>
                <c:pt idx="1">
                  <c:v>25.105063716070894</c:v>
                </c:pt>
                <c:pt idx="2">
                  <c:v>25.105063716070894</c:v>
                </c:pt>
                <c:pt idx="3">
                  <c:v>25.105063716070894</c:v>
                </c:pt>
                <c:pt idx="4">
                  <c:v>25.105063716070894</c:v>
                </c:pt>
                <c:pt idx="5">
                  <c:v>25.105063716070894</c:v>
                </c:pt>
                <c:pt idx="6">
                  <c:v>25.105063716070894</c:v>
                </c:pt>
                <c:pt idx="7">
                  <c:v>25.105063716070894</c:v>
                </c:pt>
                <c:pt idx="8">
                  <c:v>25.105063716070894</c:v>
                </c:pt>
                <c:pt idx="9">
                  <c:v>25.105063716070894</c:v>
                </c:pt>
                <c:pt idx="10">
                  <c:v>25.105063716070894</c:v>
                </c:pt>
                <c:pt idx="11">
                  <c:v>25.105063716070894</c:v>
                </c:pt>
                <c:pt idx="12">
                  <c:v>25.105063716070894</c:v>
                </c:pt>
                <c:pt idx="13">
                  <c:v>25.105063716070894</c:v>
                </c:pt>
                <c:pt idx="14">
                  <c:v>25.105063716070894</c:v>
                </c:pt>
                <c:pt idx="15">
                  <c:v>25.105063716070894</c:v>
                </c:pt>
                <c:pt idx="16">
                  <c:v>25.105063716070894</c:v>
                </c:pt>
                <c:pt idx="17">
                  <c:v>25.105063716070894</c:v>
                </c:pt>
                <c:pt idx="18">
                  <c:v>25.105063716070894</c:v>
                </c:pt>
                <c:pt idx="19">
                  <c:v>25.105063716070894</c:v>
                </c:pt>
              </c:numCache>
            </c:numRef>
          </c:val>
          <c:smooth val="0"/>
          <c:extLst>
            <c:ext xmlns:c16="http://schemas.microsoft.com/office/drawing/2014/chart" uri="{C3380CC4-5D6E-409C-BE32-E72D297353CC}">
              <c16:uniqueId val="{00000001-EB93-4847-A692-C5A086502923}"/>
            </c:ext>
          </c:extLst>
        </c:ser>
        <c:dLbls>
          <c:showLegendKey val="0"/>
          <c:showVal val="0"/>
          <c:showCatName val="0"/>
          <c:showSerName val="0"/>
          <c:showPercent val="0"/>
          <c:showBubbleSize val="0"/>
        </c:dLbls>
        <c:marker val="1"/>
        <c:smooth val="0"/>
        <c:axId val="111766912"/>
        <c:axId val="111776896"/>
      </c:lineChart>
      <c:catAx>
        <c:axId val="111766912"/>
        <c:scaling>
          <c:orientation val="minMax"/>
        </c:scaling>
        <c:delete val="0"/>
        <c:axPos val="b"/>
        <c:numFmt formatCode="General" sourceLinked="1"/>
        <c:majorTickMark val="none"/>
        <c:minorTickMark val="none"/>
        <c:tickLblPos val="nextTo"/>
        <c:spPr>
          <a:ln>
            <a:solidFill>
              <a:schemeClr val="tx1"/>
            </a:solidFill>
          </a:ln>
        </c:spPr>
        <c:txPr>
          <a:bodyPr rot="-5400000" vert="horz"/>
          <a:lstStyle/>
          <a:p>
            <a:pPr>
              <a:defRPr sz="1100">
                <a:latin typeface="Calibri Light" panose="020F0302020204030204" pitchFamily="34" charset="0"/>
                <a:cs typeface="Calibri Light" panose="020F0302020204030204" pitchFamily="34" charset="0"/>
              </a:defRPr>
            </a:pPr>
            <a:endParaRPr lang="en-FI"/>
          </a:p>
        </c:txPr>
        <c:crossAx val="111776896"/>
        <c:crosses val="autoZero"/>
        <c:auto val="1"/>
        <c:lblAlgn val="ctr"/>
        <c:lblOffset val="100"/>
        <c:noMultiLvlLbl val="0"/>
      </c:catAx>
      <c:valAx>
        <c:axId val="111776896"/>
        <c:scaling>
          <c:orientation val="minMax"/>
        </c:scaling>
        <c:delete val="0"/>
        <c:axPos val="l"/>
        <c:majorGridlines>
          <c:spPr>
            <a:ln w="12700" cap="rnd">
              <a:solidFill>
                <a:schemeClr val="tx1"/>
              </a:solidFill>
              <a:prstDash val="sysDot"/>
            </a:ln>
          </c:spPr>
        </c:majorGridlines>
        <c:title>
          <c:tx>
            <c:strRef>
              <c:f>Figure_6_GHG_per_pkm_by_people!$C$12</c:f>
              <c:strCache>
                <c:ptCount val="1"/>
                <c:pt idx="0">
                  <c:v>GHG emissions per pkm [g CO₂/pkm]
(deadheading excluded, except for public transport)</c:v>
                </c:pt>
              </c:strCache>
            </c:strRef>
          </c:tx>
          <c:layout>
            <c:manualLayout>
              <c:xMode val="edge"/>
              <c:yMode val="edge"/>
              <c:x val="6.9714466116503069E-3"/>
              <c:y val="2.054148636825803E-3"/>
            </c:manualLayout>
          </c:layout>
          <c:overlay val="0"/>
          <c:txPr>
            <a:bodyPr/>
            <a:lstStyle/>
            <a:p>
              <a:pPr>
                <a:defRPr sz="1100"/>
              </a:pPr>
              <a:endParaRPr lang="en-FI"/>
            </a:p>
          </c:txPr>
        </c:title>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1766912"/>
        <c:crosses val="autoZero"/>
        <c:crossBetween val="between"/>
      </c:valAx>
      <c:spPr>
        <a:solidFill>
          <a:srgbClr val="F9F8F7"/>
        </a:solidFill>
        <a:ln>
          <a:noFill/>
        </a:ln>
      </c:spPr>
    </c:plotArea>
    <c:legend>
      <c:legendPos val="b"/>
      <c:layout>
        <c:manualLayout>
          <c:xMode val="edge"/>
          <c:yMode val="edge"/>
          <c:x val="4.6180030422029381E-2"/>
          <c:y val="0.95754201920009219"/>
          <c:w val="0.93817689915497104"/>
          <c:h val="4.2458017072190303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4536496907953901E-2"/>
          <c:w val="0.89983162277673712"/>
          <c:h val="0.5638676357739838"/>
        </c:manualLayout>
      </c:layout>
      <c:barChart>
        <c:barDir val="col"/>
        <c:grouping val="stacked"/>
        <c:varyColors val="0"/>
        <c:ser>
          <c:idx val="1"/>
          <c:order val="0"/>
          <c:tx>
            <c:strRef>
              <c:f>Figure_7_GHG_per_pkm_Microm!$C$44</c:f>
              <c:strCache>
                <c:ptCount val="1"/>
                <c:pt idx="0">
                  <c:v>Vehicle component</c:v>
                </c:pt>
              </c:strCache>
            </c:strRef>
          </c:tx>
          <c:spPr>
            <a:solidFill>
              <a:srgbClr val="003E7E"/>
            </a:solidFill>
          </c:spPr>
          <c:invertIfNegative val="0"/>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Figure_7_GHG_per_pkm_Microm!$C$48:$C$62</c:f>
              <c:numCache>
                <c:formatCode>0</c:formatCode>
                <c:ptCount val="15"/>
                <c:pt idx="0">
                  <c:v>47.637111001886801</c:v>
                </c:pt>
                <c:pt idx="1">
                  <c:v>39.697592501572338</c:v>
                </c:pt>
                <c:pt idx="2">
                  <c:v>43.922944546665057</c:v>
                </c:pt>
                <c:pt idx="3">
                  <c:v>71.455666502830198</c:v>
                </c:pt>
                <c:pt idx="4">
                  <c:v>71.455666502830198</c:v>
                </c:pt>
                <c:pt idx="5">
                  <c:v>71.455666502830198</c:v>
                </c:pt>
                <c:pt idx="6">
                  <c:v>71.455666502830198</c:v>
                </c:pt>
                <c:pt idx="7">
                  <c:v>68.279260028958461</c:v>
                </c:pt>
                <c:pt idx="8">
                  <c:v>74.63207297670192</c:v>
                </c:pt>
                <c:pt idx="9">
                  <c:v>71.455666502830198</c:v>
                </c:pt>
                <c:pt idx="10">
                  <c:v>85.167834908996767</c:v>
                </c:pt>
                <c:pt idx="11">
                  <c:v>71.455666502830198</c:v>
                </c:pt>
                <c:pt idx="12">
                  <c:v>71.455666502830198</c:v>
                </c:pt>
                <c:pt idx="13">
                  <c:v>119.09277750471701</c:v>
                </c:pt>
                <c:pt idx="14">
                  <c:v>142.9113330056604</c:v>
                </c:pt>
              </c:numCache>
            </c:numRef>
          </c:val>
          <c:extLst>
            <c:ext xmlns:c16="http://schemas.microsoft.com/office/drawing/2014/chart" uri="{C3380CC4-5D6E-409C-BE32-E72D297353CC}">
              <c16:uniqueId val="{00000000-EFB5-4FFA-B901-8AE294F6D865}"/>
            </c:ext>
          </c:extLst>
        </c:ser>
        <c:ser>
          <c:idx val="2"/>
          <c:order val="1"/>
          <c:tx>
            <c:strRef>
              <c:f>Figure_7_GHG_per_pkm_Microm!$D$44</c:f>
              <c:strCache>
                <c:ptCount val="1"/>
                <c:pt idx="0">
                  <c:v>Fuel component</c:v>
                </c:pt>
              </c:strCache>
            </c:strRef>
          </c:tx>
          <c:spPr>
            <a:solidFill>
              <a:srgbClr val="7BC143"/>
            </a:solidFill>
          </c:spPr>
          <c:invertIfNegative val="0"/>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Figure_7_GHG_per_pkm_Microm!$D$48:$D$62</c:f>
              <c:numCache>
                <c:formatCode>0</c:formatCode>
                <c:ptCount val="15"/>
                <c:pt idx="0">
                  <c:v>0.80095368933974942</c:v>
                </c:pt>
                <c:pt idx="1">
                  <c:v>1.067938252452999</c:v>
                </c:pt>
                <c:pt idx="2">
                  <c:v>1.4239176699373322</c:v>
                </c:pt>
                <c:pt idx="3">
                  <c:v>1.067938252452999</c:v>
                </c:pt>
                <c:pt idx="4">
                  <c:v>1.067938252452999</c:v>
                </c:pt>
                <c:pt idx="5">
                  <c:v>0.80095368933974942</c:v>
                </c:pt>
                <c:pt idx="6">
                  <c:v>0</c:v>
                </c:pt>
                <c:pt idx="7">
                  <c:v>1.4239176699373322</c:v>
                </c:pt>
                <c:pt idx="8">
                  <c:v>1.4239176699373322</c:v>
                </c:pt>
                <c:pt idx="9">
                  <c:v>11.679759289442709</c:v>
                </c:pt>
                <c:pt idx="10">
                  <c:v>1.4239176699373322</c:v>
                </c:pt>
                <c:pt idx="11">
                  <c:v>1.067938252452999</c:v>
                </c:pt>
                <c:pt idx="12">
                  <c:v>1.067938252452999</c:v>
                </c:pt>
                <c:pt idx="13">
                  <c:v>1.067938252452999</c:v>
                </c:pt>
                <c:pt idx="14">
                  <c:v>0.80095368933974942</c:v>
                </c:pt>
              </c:numCache>
            </c:numRef>
          </c:val>
          <c:extLst>
            <c:ext xmlns:c16="http://schemas.microsoft.com/office/drawing/2014/chart" uri="{C3380CC4-5D6E-409C-BE32-E72D297353CC}">
              <c16:uniqueId val="{00000001-EFB5-4FFA-B901-8AE294F6D865}"/>
            </c:ext>
          </c:extLst>
        </c:ser>
        <c:ser>
          <c:idx val="3"/>
          <c:order val="2"/>
          <c:tx>
            <c:strRef>
              <c:f>Figure_7_GHG_per_pkm_Microm!$E$44</c:f>
              <c:strCache>
                <c:ptCount val="1"/>
                <c:pt idx="0">
                  <c:v>Infrastructure component</c:v>
                </c:pt>
              </c:strCache>
            </c:strRef>
          </c:tx>
          <c:spPr>
            <a:solidFill>
              <a:srgbClr val="939598"/>
            </a:solidFill>
          </c:spPr>
          <c:invertIfNegative val="0"/>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Figure_7_GHG_per_pkm_Microm!$E$48:$E$62</c:f>
              <c:numCache>
                <c:formatCode>0</c:formatCode>
                <c:ptCount val="15"/>
                <c:pt idx="0">
                  <c:v>9.4409392749428456</c:v>
                </c:pt>
                <c:pt idx="1">
                  <c:v>9.4409392749428456</c:v>
                </c:pt>
                <c:pt idx="2">
                  <c:v>9.4493582127681535</c:v>
                </c:pt>
                <c:pt idx="3">
                  <c:v>9.4409392749428456</c:v>
                </c:pt>
                <c:pt idx="4">
                  <c:v>9.4409392749428456</c:v>
                </c:pt>
                <c:pt idx="5">
                  <c:v>9.4409392749428456</c:v>
                </c:pt>
                <c:pt idx="6">
                  <c:v>9.4409392749428456</c:v>
                </c:pt>
                <c:pt idx="7">
                  <c:v>9.4409392749428456</c:v>
                </c:pt>
                <c:pt idx="8">
                  <c:v>9.4409392749428456</c:v>
                </c:pt>
                <c:pt idx="9">
                  <c:v>9.4493582127681535</c:v>
                </c:pt>
                <c:pt idx="10">
                  <c:v>9.4409392749428456</c:v>
                </c:pt>
                <c:pt idx="11">
                  <c:v>9.4409392749428456</c:v>
                </c:pt>
                <c:pt idx="12">
                  <c:v>9.4409392749428456</c:v>
                </c:pt>
                <c:pt idx="13">
                  <c:v>9.4409392749428456</c:v>
                </c:pt>
                <c:pt idx="14">
                  <c:v>9.4409392749428456</c:v>
                </c:pt>
              </c:numCache>
            </c:numRef>
          </c:val>
          <c:extLst>
            <c:ext xmlns:c16="http://schemas.microsoft.com/office/drawing/2014/chart" uri="{C3380CC4-5D6E-409C-BE32-E72D297353CC}">
              <c16:uniqueId val="{00000002-EFB5-4FFA-B901-8AE294F6D865}"/>
            </c:ext>
          </c:extLst>
        </c:ser>
        <c:ser>
          <c:idx val="4"/>
          <c:order val="3"/>
          <c:tx>
            <c:strRef>
              <c:f>Figure_7_GHG_per_pkm_Microm!$F$44</c:f>
              <c:strCache>
                <c:ptCount val="1"/>
                <c:pt idx="0">
                  <c:v>Operational services</c:v>
                </c:pt>
              </c:strCache>
            </c:strRef>
          </c:tx>
          <c:spPr>
            <a:solidFill>
              <a:srgbClr val="007DC3"/>
            </a:solidFill>
          </c:spPr>
          <c:invertIfNegative val="0"/>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Figure_7_GHG_per_pkm_Microm!$F$48:$F$62</c:f>
              <c:numCache>
                <c:formatCode>0</c:formatCode>
                <c:ptCount val="15"/>
                <c:pt idx="0">
                  <c:v>23.151677265077584</c:v>
                </c:pt>
                <c:pt idx="1">
                  <c:v>34.727515897616378</c:v>
                </c:pt>
                <c:pt idx="2">
                  <c:v>34.727515897616378</c:v>
                </c:pt>
                <c:pt idx="3">
                  <c:v>3.6676072285027495</c:v>
                </c:pt>
                <c:pt idx="4">
                  <c:v>17.363757948808189</c:v>
                </c:pt>
                <c:pt idx="5">
                  <c:v>23.151677265077588</c:v>
                </c:pt>
                <c:pt idx="6">
                  <c:v>34.727515897616378</c:v>
                </c:pt>
                <c:pt idx="7">
                  <c:v>34.727515897616378</c:v>
                </c:pt>
                <c:pt idx="8">
                  <c:v>34.727515897616378</c:v>
                </c:pt>
                <c:pt idx="9">
                  <c:v>34.727515897616378</c:v>
                </c:pt>
                <c:pt idx="10">
                  <c:v>34.727515897616378</c:v>
                </c:pt>
                <c:pt idx="11">
                  <c:v>52.091273846424563</c:v>
                </c:pt>
                <c:pt idx="12">
                  <c:v>69.455031795232756</c:v>
                </c:pt>
                <c:pt idx="13">
                  <c:v>34.727515897616378</c:v>
                </c:pt>
                <c:pt idx="14">
                  <c:v>69.455031795232756</c:v>
                </c:pt>
              </c:numCache>
            </c:numRef>
          </c:val>
          <c:extLst>
            <c:ext xmlns:c16="http://schemas.microsoft.com/office/drawing/2014/chart" uri="{C3380CC4-5D6E-409C-BE32-E72D297353CC}">
              <c16:uniqueId val="{00000003-EFB5-4FFA-B901-8AE294F6D865}"/>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5"/>
          <c:order val="4"/>
          <c:tx>
            <c:strRef>
              <c:f>Figure_7_GHG_per_pkm_Microm!$G$44</c:f>
              <c:strCache>
                <c:ptCount val="1"/>
                <c:pt idx="0">
                  <c:v>Shared e-scooter (first generati) - Central case</c:v>
                </c:pt>
              </c:strCache>
            </c:strRef>
          </c:tx>
          <c:spPr>
            <a:ln>
              <a:solidFill>
                <a:srgbClr val="E2001A"/>
              </a:solidFill>
            </a:ln>
          </c:spPr>
          <c:marker>
            <c:symbol val="none"/>
          </c:marker>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Figure_7_GHG_per_pkm_Microm!$G$48:$G$62</c:f>
              <c:numCache>
                <c:formatCode>0</c:formatCode>
                <c:ptCount val="15"/>
                <c:pt idx="0">
                  <c:v>117.04803934532677</c:v>
                </c:pt>
                <c:pt idx="1">
                  <c:v>117.04803934532677</c:v>
                </c:pt>
                <c:pt idx="2">
                  <c:v>117.04803934532677</c:v>
                </c:pt>
                <c:pt idx="3">
                  <c:v>117.04803934532677</c:v>
                </c:pt>
                <c:pt idx="4">
                  <c:v>117.04803934532677</c:v>
                </c:pt>
                <c:pt idx="5">
                  <c:v>117.04803934532677</c:v>
                </c:pt>
                <c:pt idx="6">
                  <c:v>117.04803934532677</c:v>
                </c:pt>
                <c:pt idx="7">
                  <c:v>117.04803934532677</c:v>
                </c:pt>
                <c:pt idx="8">
                  <c:v>117.04803934532677</c:v>
                </c:pt>
                <c:pt idx="9">
                  <c:v>117.04803934532677</c:v>
                </c:pt>
                <c:pt idx="10">
                  <c:v>117.04803934532677</c:v>
                </c:pt>
                <c:pt idx="11">
                  <c:v>117.04803934532677</c:v>
                </c:pt>
                <c:pt idx="12">
                  <c:v>117.04803934532677</c:v>
                </c:pt>
                <c:pt idx="13">
                  <c:v>117.04803934532677</c:v>
                </c:pt>
                <c:pt idx="14">
                  <c:v>117.04803934532677</c:v>
                </c:pt>
              </c:numCache>
            </c:numRef>
          </c:val>
          <c:smooth val="0"/>
          <c:extLst>
            <c:ext xmlns:c16="http://schemas.microsoft.com/office/drawing/2014/chart" uri="{C3380CC4-5D6E-409C-BE32-E72D297353CC}">
              <c16:uniqueId val="{00000004-EFB5-4FFA-B901-8AE294F6D865}"/>
            </c:ext>
          </c:extLst>
        </c:ser>
        <c:ser>
          <c:idx val="8"/>
          <c:order val="5"/>
          <c:tx>
            <c:strRef>
              <c:f>Figure_7_GHG_per_pkm_Microm!$H$44</c:f>
              <c:strCache>
                <c:ptCount val="1"/>
                <c:pt idx="0">
                  <c:v>Private car - ICE - Central case</c:v>
                </c:pt>
              </c:strCache>
            </c:strRef>
          </c:tx>
          <c:spPr>
            <a:ln>
              <a:solidFill>
                <a:srgbClr val="EEA320"/>
              </a:solidFill>
            </a:ln>
          </c:spPr>
          <c:marker>
            <c:symbol val="none"/>
          </c:marker>
          <c:cat>
            <c:strRef>
              <c:f>Figure_7_GHG_per_pkm_Microm!$B$48:$B$62</c:f>
              <c:strCache>
                <c:ptCount val="15"/>
                <c:pt idx="0">
                  <c:v>Daily distance 50% higher than in central estimate</c:v>
                </c:pt>
                <c:pt idx="1">
                  <c:v>50% higher lifetime than in central estimate</c:v>
                </c:pt>
                <c:pt idx="2">
                  <c:v>Low carbon Al smelting</c:v>
                </c:pt>
                <c:pt idx="3">
                  <c:v>EVs for operational services</c:v>
                </c:pt>
                <c:pt idx="4">
                  <c:v>Vehicle servicing distance 50% lower than in central estimate</c:v>
                </c:pt>
                <c:pt idx="5">
                  <c:v>50% more vehicles per servicing trip than in central estimate</c:v>
                </c:pt>
                <c:pt idx="6">
                  <c:v>Low carbon electricity in use phase</c:v>
                </c:pt>
                <c:pt idx="7">
                  <c:v>25% less battery capacity than in central estimate</c:v>
                </c:pt>
                <c:pt idx="8">
                  <c:v>25% more battery capacity than in central estimate</c:v>
                </c:pt>
                <c:pt idx="9">
                  <c:v>High carbon electricity in use phase</c:v>
                </c:pt>
                <c:pt idx="10">
                  <c:v>25% heavier vehicle than in central estimate</c:v>
                </c:pt>
                <c:pt idx="11">
                  <c:v>Vehicle servicing distance 50% higher than in central estimate</c:v>
                </c:pt>
                <c:pt idx="12">
                  <c:v>50% less vehicles per servcing trip than in central estimate</c:v>
                </c:pt>
                <c:pt idx="13">
                  <c:v>50% lower lifetime than in central estimate</c:v>
                </c:pt>
                <c:pt idx="14">
                  <c:v>Daily distance 50% lower than in central estimate</c:v>
                </c:pt>
              </c:strCache>
            </c:strRef>
          </c:cat>
          <c:val>
            <c:numRef>
              <c:f>Figure_7_GHG_per_pkm_Microm!$H$48:$H$62</c:f>
              <c:numCache>
                <c:formatCode>0</c:formatCode>
                <c:ptCount val="15"/>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pt idx="10">
                  <c:v>161.97203672281782</c:v>
                </c:pt>
                <c:pt idx="11">
                  <c:v>161.97203672281782</c:v>
                </c:pt>
                <c:pt idx="12">
                  <c:v>161.97203672281782</c:v>
                </c:pt>
                <c:pt idx="13">
                  <c:v>161.97203672281782</c:v>
                </c:pt>
                <c:pt idx="14">
                  <c:v>161.97203672281782</c:v>
                </c:pt>
              </c:numCache>
            </c:numRef>
          </c:val>
          <c:smooth val="0"/>
          <c:extLst>
            <c:ext xmlns:c16="http://schemas.microsoft.com/office/drawing/2014/chart" uri="{C3380CC4-5D6E-409C-BE32-E72D297353CC}">
              <c16:uniqueId val="{00000005-EFB5-4FFA-B901-8AE294F6D865}"/>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Figure_7_GHG_per_pkm_Microm!$C$11</c:f>
              <c:strCache>
                <c:ptCount val="1"/>
                <c:pt idx="0">
                  <c:v>GHG emissions per pkm [g CO₂/pkm]</c:v>
                </c:pt>
              </c:strCache>
            </c:strRef>
          </c:tx>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20"/>
      </c:valAx>
      <c:spPr>
        <a:solidFill>
          <a:srgbClr val="F9F8F7"/>
        </a:solidFill>
        <a:ln>
          <a:noFill/>
        </a:ln>
      </c:spPr>
    </c:plotArea>
    <c:legend>
      <c:legendPos val="b"/>
      <c:layout>
        <c:manualLayout>
          <c:xMode val="edge"/>
          <c:yMode val="edge"/>
          <c:x val="6.0777412532171345E-2"/>
          <c:y val="0.89794146300976807"/>
          <c:w val="0.92398919552531666"/>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61464923503861468"/>
        </c:manualLayout>
      </c:layout>
      <c:barChart>
        <c:barDir val="col"/>
        <c:grouping val="stacked"/>
        <c:varyColors val="0"/>
        <c:ser>
          <c:idx val="1"/>
          <c:order val="0"/>
          <c:tx>
            <c:strRef>
              <c:f>Figure_7_GHG_per_pkm_Microm!$C$44</c:f>
              <c:strCache>
                <c:ptCount val="1"/>
                <c:pt idx="0">
                  <c:v>Vehicle component</c:v>
                </c:pt>
              </c:strCache>
            </c:strRef>
          </c:tx>
          <c:spPr>
            <a:solidFill>
              <a:srgbClr val="003E7E"/>
            </a:solidFill>
          </c:spPr>
          <c:invertIfNegative val="0"/>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Figure_7_GHG_per_pkm_Microm!$C$47:$C$63</c:f>
              <c:numCache>
                <c:formatCode>0</c:formatCode>
                <c:ptCount val="17"/>
                <c:pt idx="0">
                  <c:v>16.267757239505578</c:v>
                </c:pt>
                <c:pt idx="1">
                  <c:v>47.637111001886801</c:v>
                </c:pt>
                <c:pt idx="2">
                  <c:v>39.697592501572338</c:v>
                </c:pt>
                <c:pt idx="3">
                  <c:v>43.922944546665057</c:v>
                </c:pt>
                <c:pt idx="4">
                  <c:v>71.455666502830198</c:v>
                </c:pt>
                <c:pt idx="5">
                  <c:v>71.455666502830198</c:v>
                </c:pt>
                <c:pt idx="6">
                  <c:v>71.455666502830198</c:v>
                </c:pt>
                <c:pt idx="7">
                  <c:v>71.455666502830198</c:v>
                </c:pt>
                <c:pt idx="8">
                  <c:v>68.279260028958461</c:v>
                </c:pt>
                <c:pt idx="9">
                  <c:v>74.63207297670192</c:v>
                </c:pt>
                <c:pt idx="10">
                  <c:v>71.455666502830198</c:v>
                </c:pt>
                <c:pt idx="11">
                  <c:v>85.167834908996767</c:v>
                </c:pt>
                <c:pt idx="12">
                  <c:v>71.455666502830198</c:v>
                </c:pt>
                <c:pt idx="13">
                  <c:v>71.455666502830198</c:v>
                </c:pt>
                <c:pt idx="14">
                  <c:v>119.09277750471701</c:v>
                </c:pt>
                <c:pt idx="15">
                  <c:v>142.9113330056604</c:v>
                </c:pt>
                <c:pt idx="16">
                  <c:v>283.89278302998923</c:v>
                </c:pt>
              </c:numCache>
            </c:numRef>
          </c:val>
          <c:extLst>
            <c:ext xmlns:c16="http://schemas.microsoft.com/office/drawing/2014/chart" uri="{C3380CC4-5D6E-409C-BE32-E72D297353CC}">
              <c16:uniqueId val="{00000000-1610-4409-B025-60C3FD19E7CA}"/>
            </c:ext>
          </c:extLst>
        </c:ser>
        <c:ser>
          <c:idx val="2"/>
          <c:order val="1"/>
          <c:tx>
            <c:strRef>
              <c:f>Figure_7_GHG_per_pkm_Microm!$D$44</c:f>
              <c:strCache>
                <c:ptCount val="1"/>
                <c:pt idx="0">
                  <c:v>Fuel component</c:v>
                </c:pt>
              </c:strCache>
            </c:strRef>
          </c:tx>
          <c:spPr>
            <a:solidFill>
              <a:srgbClr val="7BC143"/>
            </a:solidFill>
          </c:spPr>
          <c:invertIfNegative val="0"/>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Figure_7_GHG_per_pkm_Microm!$D$47:$D$63</c:f>
              <c:numCache>
                <c:formatCode>0</c:formatCode>
                <c:ptCount val="17"/>
                <c:pt idx="0">
                  <c:v>0</c:v>
                </c:pt>
                <c:pt idx="1">
                  <c:v>0.80095368933974942</c:v>
                </c:pt>
                <c:pt idx="2">
                  <c:v>1.067938252452999</c:v>
                </c:pt>
                <c:pt idx="3">
                  <c:v>1.4239176699373322</c:v>
                </c:pt>
                <c:pt idx="4">
                  <c:v>1.067938252452999</c:v>
                </c:pt>
                <c:pt idx="5">
                  <c:v>1.067938252452999</c:v>
                </c:pt>
                <c:pt idx="6">
                  <c:v>0.80095368933974942</c:v>
                </c:pt>
                <c:pt idx="7">
                  <c:v>0</c:v>
                </c:pt>
                <c:pt idx="8">
                  <c:v>1.4239176699373322</c:v>
                </c:pt>
                <c:pt idx="9">
                  <c:v>1.4239176699373322</c:v>
                </c:pt>
                <c:pt idx="10">
                  <c:v>11.679759289442709</c:v>
                </c:pt>
                <c:pt idx="11">
                  <c:v>1.4239176699373322</c:v>
                </c:pt>
                <c:pt idx="12">
                  <c:v>1.067938252452999</c:v>
                </c:pt>
                <c:pt idx="13">
                  <c:v>1.067938252452999</c:v>
                </c:pt>
                <c:pt idx="14">
                  <c:v>1.067938252452999</c:v>
                </c:pt>
                <c:pt idx="15">
                  <c:v>0.80095368933974942</c:v>
                </c:pt>
                <c:pt idx="16">
                  <c:v>6.5698646003115231</c:v>
                </c:pt>
              </c:numCache>
            </c:numRef>
          </c:val>
          <c:extLst>
            <c:ext xmlns:c16="http://schemas.microsoft.com/office/drawing/2014/chart" uri="{C3380CC4-5D6E-409C-BE32-E72D297353CC}">
              <c16:uniqueId val="{00000001-1610-4409-B025-60C3FD19E7CA}"/>
            </c:ext>
          </c:extLst>
        </c:ser>
        <c:ser>
          <c:idx val="3"/>
          <c:order val="2"/>
          <c:tx>
            <c:strRef>
              <c:f>Figure_7_GHG_per_pkm_Microm!$E$44</c:f>
              <c:strCache>
                <c:ptCount val="1"/>
                <c:pt idx="0">
                  <c:v>Infrastructure component</c:v>
                </c:pt>
              </c:strCache>
            </c:strRef>
          </c:tx>
          <c:spPr>
            <a:solidFill>
              <a:srgbClr val="939598"/>
            </a:solidFill>
          </c:spPr>
          <c:invertIfNegative val="0"/>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Figure_7_GHG_per_pkm_Microm!$E$47:$E$63</c:f>
              <c:numCache>
                <c:formatCode>0</c:formatCode>
                <c:ptCount val="17"/>
                <c:pt idx="0">
                  <c:v>9.4409392749428456</c:v>
                </c:pt>
                <c:pt idx="1">
                  <c:v>9.4409392749428456</c:v>
                </c:pt>
                <c:pt idx="2">
                  <c:v>9.4409392749428456</c:v>
                </c:pt>
                <c:pt idx="3">
                  <c:v>9.4493582127681535</c:v>
                </c:pt>
                <c:pt idx="4">
                  <c:v>9.4409392749428456</c:v>
                </c:pt>
                <c:pt idx="5">
                  <c:v>9.4409392749428456</c:v>
                </c:pt>
                <c:pt idx="6">
                  <c:v>9.4409392749428456</c:v>
                </c:pt>
                <c:pt idx="7">
                  <c:v>9.4409392749428456</c:v>
                </c:pt>
                <c:pt idx="8">
                  <c:v>9.4409392749428456</c:v>
                </c:pt>
                <c:pt idx="9">
                  <c:v>9.4409392749428456</c:v>
                </c:pt>
                <c:pt idx="10">
                  <c:v>9.4493582127681535</c:v>
                </c:pt>
                <c:pt idx="11">
                  <c:v>9.4409392749428456</c:v>
                </c:pt>
                <c:pt idx="12">
                  <c:v>9.4409392749428456</c:v>
                </c:pt>
                <c:pt idx="13">
                  <c:v>9.4409392749428456</c:v>
                </c:pt>
                <c:pt idx="14">
                  <c:v>9.4409392749428456</c:v>
                </c:pt>
                <c:pt idx="15">
                  <c:v>9.4409392749428456</c:v>
                </c:pt>
                <c:pt idx="16">
                  <c:v>9.4409392749428456</c:v>
                </c:pt>
              </c:numCache>
            </c:numRef>
          </c:val>
          <c:extLst>
            <c:ext xmlns:c16="http://schemas.microsoft.com/office/drawing/2014/chart" uri="{C3380CC4-5D6E-409C-BE32-E72D297353CC}">
              <c16:uniqueId val="{00000002-1610-4409-B025-60C3FD19E7CA}"/>
            </c:ext>
          </c:extLst>
        </c:ser>
        <c:ser>
          <c:idx val="4"/>
          <c:order val="3"/>
          <c:tx>
            <c:strRef>
              <c:f>Figure_7_GHG_per_pkm_Microm!$F$44</c:f>
              <c:strCache>
                <c:ptCount val="1"/>
                <c:pt idx="0">
                  <c:v>Operational services</c:v>
                </c:pt>
              </c:strCache>
            </c:strRef>
          </c:tx>
          <c:spPr>
            <a:solidFill>
              <a:srgbClr val="007DC3"/>
            </a:solidFill>
          </c:spPr>
          <c:invertIfNegative val="0"/>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Figure_7_GHG_per_pkm_Microm!$F$47:$F$63</c:f>
              <c:numCache>
                <c:formatCode>0</c:formatCode>
                <c:ptCount val="17"/>
                <c:pt idx="0">
                  <c:v>0.81502382855616651</c:v>
                </c:pt>
                <c:pt idx="1">
                  <c:v>23.151677265077584</c:v>
                </c:pt>
                <c:pt idx="2">
                  <c:v>34.727515897616378</c:v>
                </c:pt>
                <c:pt idx="3">
                  <c:v>34.727515897616378</c:v>
                </c:pt>
                <c:pt idx="4">
                  <c:v>3.6676072285027495</c:v>
                </c:pt>
                <c:pt idx="5">
                  <c:v>17.363757948808189</c:v>
                </c:pt>
                <c:pt idx="6">
                  <c:v>23.151677265077588</c:v>
                </c:pt>
                <c:pt idx="7">
                  <c:v>34.727515897616378</c:v>
                </c:pt>
                <c:pt idx="8">
                  <c:v>34.727515897616378</c:v>
                </c:pt>
                <c:pt idx="9">
                  <c:v>34.727515897616378</c:v>
                </c:pt>
                <c:pt idx="10">
                  <c:v>34.727515897616378</c:v>
                </c:pt>
                <c:pt idx="11">
                  <c:v>34.727515897616378</c:v>
                </c:pt>
                <c:pt idx="12">
                  <c:v>52.091273846424563</c:v>
                </c:pt>
                <c:pt idx="13">
                  <c:v>69.455031795232756</c:v>
                </c:pt>
                <c:pt idx="14">
                  <c:v>34.727515897616378</c:v>
                </c:pt>
                <c:pt idx="15">
                  <c:v>69.455031795232756</c:v>
                </c:pt>
                <c:pt idx="16">
                  <c:v>208.36509538569825</c:v>
                </c:pt>
              </c:numCache>
            </c:numRef>
          </c:val>
          <c:extLst>
            <c:ext xmlns:c16="http://schemas.microsoft.com/office/drawing/2014/chart" uri="{C3380CC4-5D6E-409C-BE32-E72D297353CC}">
              <c16:uniqueId val="{00000003-1610-4409-B025-60C3FD19E7CA}"/>
            </c:ext>
          </c:extLst>
        </c:ser>
        <c:dLbls>
          <c:showLegendKey val="0"/>
          <c:showVal val="0"/>
          <c:showCatName val="0"/>
          <c:showSerName val="0"/>
          <c:showPercent val="0"/>
          <c:showBubbleSize val="0"/>
        </c:dLbls>
        <c:gapWidth val="70"/>
        <c:overlap val="100"/>
        <c:axId val="148674816"/>
        <c:axId val="77959168"/>
      </c:barChart>
      <c:lineChart>
        <c:grouping val="standard"/>
        <c:varyColors val="0"/>
        <c:ser>
          <c:idx val="5"/>
          <c:order val="4"/>
          <c:tx>
            <c:strRef>
              <c:f>Figure_7_GHG_per_pkm_Microm!$G$44</c:f>
              <c:strCache>
                <c:ptCount val="1"/>
                <c:pt idx="0">
                  <c:v>Shared e-scooter (first generati) - Central case</c:v>
                </c:pt>
              </c:strCache>
            </c:strRef>
          </c:tx>
          <c:spPr>
            <a:ln>
              <a:solidFill>
                <a:srgbClr val="E2001A"/>
              </a:solidFill>
            </a:ln>
          </c:spPr>
          <c:marker>
            <c:symbol val="none"/>
          </c:marker>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Figure_7_GHG_per_pkm_Microm!$G$47:$G$63</c:f>
              <c:numCache>
                <c:formatCode>0</c:formatCode>
                <c:ptCount val="17"/>
                <c:pt idx="0">
                  <c:v>117.04803934532677</c:v>
                </c:pt>
                <c:pt idx="1">
                  <c:v>117.04803934532677</c:v>
                </c:pt>
                <c:pt idx="2">
                  <c:v>117.04803934532677</c:v>
                </c:pt>
                <c:pt idx="3">
                  <c:v>117.04803934532677</c:v>
                </c:pt>
                <c:pt idx="4">
                  <c:v>117.04803934532677</c:v>
                </c:pt>
                <c:pt idx="5">
                  <c:v>117.04803934532677</c:v>
                </c:pt>
                <c:pt idx="6">
                  <c:v>117.04803934532677</c:v>
                </c:pt>
                <c:pt idx="7">
                  <c:v>117.04803934532677</c:v>
                </c:pt>
                <c:pt idx="8">
                  <c:v>117.04803934532677</c:v>
                </c:pt>
                <c:pt idx="9">
                  <c:v>117.04803934532677</c:v>
                </c:pt>
                <c:pt idx="10">
                  <c:v>117.04803934532677</c:v>
                </c:pt>
                <c:pt idx="11">
                  <c:v>117.04803934532677</c:v>
                </c:pt>
                <c:pt idx="12">
                  <c:v>117.04803934532677</c:v>
                </c:pt>
                <c:pt idx="13">
                  <c:v>117.04803934532677</c:v>
                </c:pt>
                <c:pt idx="14">
                  <c:v>117.04803934532677</c:v>
                </c:pt>
                <c:pt idx="15">
                  <c:v>117.04803934532677</c:v>
                </c:pt>
                <c:pt idx="16">
                  <c:v>117.04803934532677</c:v>
                </c:pt>
              </c:numCache>
            </c:numRef>
          </c:val>
          <c:smooth val="0"/>
          <c:extLst>
            <c:ext xmlns:c16="http://schemas.microsoft.com/office/drawing/2014/chart" uri="{C3380CC4-5D6E-409C-BE32-E72D297353CC}">
              <c16:uniqueId val="{00000004-1610-4409-B025-60C3FD19E7CA}"/>
            </c:ext>
          </c:extLst>
        </c:ser>
        <c:ser>
          <c:idx val="8"/>
          <c:order val="5"/>
          <c:tx>
            <c:strRef>
              <c:f>Figure_7_GHG_per_pkm_Microm!$H$44</c:f>
              <c:strCache>
                <c:ptCount val="1"/>
                <c:pt idx="0">
                  <c:v>Private car - ICE - Central case</c:v>
                </c:pt>
              </c:strCache>
            </c:strRef>
          </c:tx>
          <c:spPr>
            <a:ln>
              <a:solidFill>
                <a:srgbClr val="EEA320"/>
              </a:solidFill>
            </a:ln>
          </c:spPr>
          <c:marker>
            <c:symbol val="none"/>
          </c:marker>
          <c:cat>
            <c:strRef>
              <c:f>Figure_7_GHG_per_pkm_Microm!$B$47:$B$63</c:f>
              <c:strCache>
                <c:ptCount val="17"/>
                <c:pt idx="0">
                  <c:v>Best case</c:v>
                </c:pt>
                <c:pt idx="1">
                  <c:v>Daily distance 50% higher than in central estimate</c:v>
                </c:pt>
                <c:pt idx="2">
                  <c:v>50% higher lifetime than in central estimate</c:v>
                </c:pt>
                <c:pt idx="3">
                  <c:v>Low carbon Al smelting</c:v>
                </c:pt>
                <c:pt idx="4">
                  <c:v>EVs for operational services</c:v>
                </c:pt>
                <c:pt idx="5">
                  <c:v>Vehicle servicing distance 50% lower than in central estimate</c:v>
                </c:pt>
                <c:pt idx="6">
                  <c:v>50% more vehicles per servicing trip than in central estimate</c:v>
                </c:pt>
                <c:pt idx="7">
                  <c:v>Low carbon electricity in use phase</c:v>
                </c:pt>
                <c:pt idx="8">
                  <c:v>25% less battery capacity than in central estimate</c:v>
                </c:pt>
                <c:pt idx="9">
                  <c:v>25% more battery capacity than in central estimate</c:v>
                </c:pt>
                <c:pt idx="10">
                  <c:v>High carbon electricity in use phase</c:v>
                </c:pt>
                <c:pt idx="11">
                  <c:v>25% heavier vehicle than in central estimate</c:v>
                </c:pt>
                <c:pt idx="12">
                  <c:v>Vehicle servicing distance 50% higher than in central estimate</c:v>
                </c:pt>
                <c:pt idx="13">
                  <c:v>50% less vehicles per servcing trip than in central estimate</c:v>
                </c:pt>
                <c:pt idx="14">
                  <c:v>50% lower lifetime than in central estimate</c:v>
                </c:pt>
                <c:pt idx="15">
                  <c:v>Daily distance 50% lower than in central estimate</c:v>
                </c:pt>
                <c:pt idx="16">
                  <c:v>Worst case</c:v>
                </c:pt>
              </c:strCache>
            </c:strRef>
          </c:cat>
          <c:val>
            <c:numRef>
              <c:f>Figure_7_GHG_per_pkm_Microm!$H$47:$H$63</c:f>
              <c:numCache>
                <c:formatCode>0</c:formatCode>
                <c:ptCount val="17"/>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pt idx="10">
                  <c:v>161.97203672281782</c:v>
                </c:pt>
                <c:pt idx="11">
                  <c:v>161.97203672281782</c:v>
                </c:pt>
                <c:pt idx="12">
                  <c:v>161.97203672281782</c:v>
                </c:pt>
                <c:pt idx="13">
                  <c:v>161.97203672281782</c:v>
                </c:pt>
                <c:pt idx="14">
                  <c:v>161.97203672281782</c:v>
                </c:pt>
                <c:pt idx="15">
                  <c:v>161.97203672281782</c:v>
                </c:pt>
                <c:pt idx="16">
                  <c:v>161.97203672281782</c:v>
                </c:pt>
              </c:numCache>
            </c:numRef>
          </c:val>
          <c:smooth val="0"/>
          <c:extLst>
            <c:ext xmlns:c16="http://schemas.microsoft.com/office/drawing/2014/chart" uri="{C3380CC4-5D6E-409C-BE32-E72D297353CC}">
              <c16:uniqueId val="{00000005-1610-4409-B025-60C3FD19E7CA}"/>
            </c:ext>
          </c:extLst>
        </c:ser>
        <c:dLbls>
          <c:showLegendKey val="0"/>
          <c:showVal val="0"/>
          <c:showCatName val="0"/>
          <c:showSerName val="0"/>
          <c:showPercent val="0"/>
          <c:showBubbleSize val="0"/>
        </c:dLbls>
        <c:marker val="1"/>
        <c:smooth val="0"/>
        <c:axId val="148674816"/>
        <c:axId val="77959168"/>
      </c:lineChart>
      <c:catAx>
        <c:axId val="148674816"/>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77959168"/>
        <c:crosses val="autoZero"/>
        <c:auto val="1"/>
        <c:lblAlgn val="ctr"/>
        <c:lblOffset val="100"/>
        <c:noMultiLvlLbl val="0"/>
      </c:catAx>
      <c:valAx>
        <c:axId val="77959168"/>
        <c:scaling>
          <c:orientation val="minMax"/>
        </c:scaling>
        <c:delete val="0"/>
        <c:axPos val="l"/>
        <c:majorGridlines>
          <c:spPr>
            <a:ln w="12700" cap="rnd">
              <a:solidFill>
                <a:schemeClr val="tx1"/>
              </a:solidFill>
              <a:prstDash val="sysDot"/>
            </a:ln>
          </c:spPr>
        </c:majorGridlines>
        <c:title>
          <c:tx>
            <c:strRef>
              <c:f>Figure_7_GHG_per_pkm_Microm!$C$11</c:f>
              <c:strCache>
                <c:ptCount val="1"/>
                <c:pt idx="0">
                  <c:v>GHG emissions per pkm [g CO₂/pkm]</c:v>
                </c:pt>
              </c:strCache>
            </c:strRef>
          </c:tx>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48674816"/>
        <c:crosses val="autoZero"/>
        <c:crossBetween val="between"/>
      </c:valAx>
      <c:spPr>
        <a:solidFill>
          <a:srgbClr val="F9F8F7"/>
        </a:solidFill>
        <a:ln>
          <a:noFill/>
        </a:ln>
      </c:spPr>
    </c:plotArea>
    <c:legend>
      <c:legendPos val="b"/>
      <c:layout>
        <c:manualLayout>
          <c:xMode val="edge"/>
          <c:yMode val="edge"/>
          <c:x val="7.15587128249104E-2"/>
          <c:y val="0.89794146300976807"/>
          <c:w val="0.91160766585061803"/>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54742439564856349"/>
        </c:manualLayout>
      </c:layout>
      <c:barChart>
        <c:barDir val="col"/>
        <c:grouping val="stacked"/>
        <c:varyColors val="0"/>
        <c:ser>
          <c:idx val="1"/>
          <c:order val="0"/>
          <c:tx>
            <c:strRef>
              <c:f>MJ_per_pkm_Microm!$C$44</c:f>
              <c:strCache>
                <c:ptCount val="1"/>
                <c:pt idx="0">
                  <c:v>Vehicle component</c:v>
                </c:pt>
              </c:strCache>
            </c:strRef>
          </c:tx>
          <c:spPr>
            <a:solidFill>
              <a:srgbClr val="003E7E"/>
            </a:solidFill>
          </c:spPr>
          <c:invertIfNegative val="0"/>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MJ_per_pkm_Microm!$C$48:$C$62</c:f>
              <c:numCache>
                <c:formatCode>0.0</c:formatCode>
                <c:ptCount val="15"/>
                <c:pt idx="0">
                  <c:v>0.54984973957163796</c:v>
                </c:pt>
                <c:pt idx="1">
                  <c:v>0.45820811630969827</c:v>
                </c:pt>
                <c:pt idx="2">
                  <c:v>0.82477460935745672</c:v>
                </c:pt>
                <c:pt idx="3">
                  <c:v>0.82477460935745672</c:v>
                </c:pt>
                <c:pt idx="4">
                  <c:v>0.82477460935745672</c:v>
                </c:pt>
                <c:pt idx="5">
                  <c:v>0.65816437979357723</c:v>
                </c:pt>
                <c:pt idx="6">
                  <c:v>0.7813417489363973</c:v>
                </c:pt>
                <c:pt idx="7">
                  <c:v>0.86820746977851582</c:v>
                </c:pt>
                <c:pt idx="8">
                  <c:v>0.82477460935745672</c:v>
                </c:pt>
                <c:pt idx="9">
                  <c:v>0.82477460935745672</c:v>
                </c:pt>
                <c:pt idx="10">
                  <c:v>0.97666589740555243</c:v>
                </c:pt>
                <c:pt idx="11">
                  <c:v>0.82477460935745672</c:v>
                </c:pt>
                <c:pt idx="12">
                  <c:v>0.82477460935745672</c:v>
                </c:pt>
                <c:pt idx="13">
                  <c:v>1.3746243489290948</c:v>
                </c:pt>
                <c:pt idx="14">
                  <c:v>1.6495492187149134</c:v>
                </c:pt>
              </c:numCache>
            </c:numRef>
          </c:val>
          <c:extLst>
            <c:ext xmlns:c16="http://schemas.microsoft.com/office/drawing/2014/chart" uri="{C3380CC4-5D6E-409C-BE32-E72D297353CC}">
              <c16:uniqueId val="{00000000-D400-4543-A9AD-3DBCFCF11164}"/>
            </c:ext>
          </c:extLst>
        </c:ser>
        <c:ser>
          <c:idx val="2"/>
          <c:order val="1"/>
          <c:tx>
            <c:strRef>
              <c:f>MJ_per_pkm_Microm!$D$44</c:f>
              <c:strCache>
                <c:ptCount val="1"/>
                <c:pt idx="0">
                  <c:v>Fuel component</c:v>
                </c:pt>
              </c:strCache>
            </c:strRef>
          </c:tx>
          <c:spPr>
            <a:solidFill>
              <a:srgbClr val="7BC143"/>
            </a:solidFill>
          </c:spPr>
          <c:invertIfNegative val="0"/>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MJ_per_pkm_Microm!$D$48:$D$62</c:f>
              <c:numCache>
                <c:formatCode>0.0</c:formatCode>
                <c:ptCount val="15"/>
                <c:pt idx="0">
                  <c:v>5.7785463767107845E-2</c:v>
                </c:pt>
                <c:pt idx="1">
                  <c:v>7.7047285022810455E-2</c:v>
                </c:pt>
                <c:pt idx="2">
                  <c:v>7.7047285022810455E-2</c:v>
                </c:pt>
                <c:pt idx="3">
                  <c:v>5.7785463767107838E-2</c:v>
                </c:pt>
                <c:pt idx="4">
                  <c:v>7.7047285022810455E-2</c:v>
                </c:pt>
                <c:pt idx="5">
                  <c:v>0.10272971336374727</c:v>
                </c:pt>
                <c:pt idx="6">
                  <c:v>0.10272971336374727</c:v>
                </c:pt>
                <c:pt idx="7">
                  <c:v>0.10272971336374727</c:v>
                </c:pt>
                <c:pt idx="8">
                  <c:v>4.1640378548895907E-2</c:v>
                </c:pt>
                <c:pt idx="9">
                  <c:v>0.11809283849514444</c:v>
                </c:pt>
                <c:pt idx="10">
                  <c:v>0.10272971336374727</c:v>
                </c:pt>
                <c:pt idx="11">
                  <c:v>7.7047285022810455E-2</c:v>
                </c:pt>
                <c:pt idx="12">
                  <c:v>7.7047285022810455E-2</c:v>
                </c:pt>
                <c:pt idx="13">
                  <c:v>7.7047285022810455E-2</c:v>
                </c:pt>
                <c:pt idx="14">
                  <c:v>5.7785463767107838E-2</c:v>
                </c:pt>
              </c:numCache>
            </c:numRef>
          </c:val>
          <c:extLst>
            <c:ext xmlns:c16="http://schemas.microsoft.com/office/drawing/2014/chart" uri="{C3380CC4-5D6E-409C-BE32-E72D297353CC}">
              <c16:uniqueId val="{00000001-D400-4543-A9AD-3DBCFCF11164}"/>
            </c:ext>
          </c:extLst>
        </c:ser>
        <c:ser>
          <c:idx val="3"/>
          <c:order val="2"/>
          <c:tx>
            <c:strRef>
              <c:f>MJ_per_pkm_Microm!$E$44</c:f>
              <c:strCache>
                <c:ptCount val="1"/>
                <c:pt idx="0">
                  <c:v>Infrastructure component</c:v>
                </c:pt>
              </c:strCache>
            </c:strRef>
          </c:tx>
          <c:spPr>
            <a:solidFill>
              <a:srgbClr val="939598"/>
            </a:solidFill>
          </c:spPr>
          <c:invertIfNegative val="0"/>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MJ_per_pkm_Microm!$E$48:$E$62</c:f>
              <c:numCache>
                <c:formatCode>0.0</c:formatCode>
                <c:ptCount val="15"/>
                <c:pt idx="0">
                  <c:v>2.7627731661023575E-2</c:v>
                </c:pt>
                <c:pt idx="1">
                  <c:v>2.7627731661023575E-2</c:v>
                </c:pt>
                <c:pt idx="2">
                  <c:v>2.7627731661023575E-2</c:v>
                </c:pt>
                <c:pt idx="3">
                  <c:v>2.7627731661023575E-2</c:v>
                </c:pt>
                <c:pt idx="4">
                  <c:v>2.7627731661023575E-2</c:v>
                </c:pt>
                <c:pt idx="5">
                  <c:v>2.7652368632868705E-2</c:v>
                </c:pt>
                <c:pt idx="6">
                  <c:v>2.7627731661023575E-2</c:v>
                </c:pt>
                <c:pt idx="7">
                  <c:v>2.7627731661023575E-2</c:v>
                </c:pt>
                <c:pt idx="8">
                  <c:v>2.7627731661023575E-2</c:v>
                </c:pt>
                <c:pt idx="9">
                  <c:v>2.7652368632868705E-2</c:v>
                </c:pt>
                <c:pt idx="10">
                  <c:v>2.7627731661023575E-2</c:v>
                </c:pt>
                <c:pt idx="11">
                  <c:v>2.7627731661023575E-2</c:v>
                </c:pt>
                <c:pt idx="12">
                  <c:v>2.7627731661023575E-2</c:v>
                </c:pt>
                <c:pt idx="13">
                  <c:v>2.7627731661023575E-2</c:v>
                </c:pt>
                <c:pt idx="14">
                  <c:v>2.7627731661023575E-2</c:v>
                </c:pt>
              </c:numCache>
            </c:numRef>
          </c:val>
          <c:extLst>
            <c:ext xmlns:c16="http://schemas.microsoft.com/office/drawing/2014/chart" uri="{C3380CC4-5D6E-409C-BE32-E72D297353CC}">
              <c16:uniqueId val="{00000002-D400-4543-A9AD-3DBCFCF11164}"/>
            </c:ext>
          </c:extLst>
        </c:ser>
        <c:ser>
          <c:idx val="4"/>
          <c:order val="3"/>
          <c:tx>
            <c:strRef>
              <c:f>MJ_per_pkm_Microm!$F$44</c:f>
              <c:strCache>
                <c:ptCount val="1"/>
                <c:pt idx="0">
                  <c:v>Operational services</c:v>
                </c:pt>
              </c:strCache>
            </c:strRef>
          </c:tx>
          <c:spPr>
            <a:solidFill>
              <a:srgbClr val="007DC3"/>
            </a:solidFill>
          </c:spPr>
          <c:invertIfNegative val="0"/>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MJ_per_pkm_Microm!$F$48:$F$62</c:f>
              <c:numCache>
                <c:formatCode>0.0</c:formatCode>
                <c:ptCount val="15"/>
                <c:pt idx="0">
                  <c:v>0.33407903701410657</c:v>
                </c:pt>
                <c:pt idx="1">
                  <c:v>0.50111855552115991</c:v>
                </c:pt>
                <c:pt idx="2">
                  <c:v>0.26460254498525682</c:v>
                </c:pt>
                <c:pt idx="3">
                  <c:v>0.33407903701410663</c:v>
                </c:pt>
                <c:pt idx="4">
                  <c:v>0.25055927776057996</c:v>
                </c:pt>
                <c:pt idx="5">
                  <c:v>0.50111855552115991</c:v>
                </c:pt>
                <c:pt idx="6">
                  <c:v>0.50111855552115991</c:v>
                </c:pt>
                <c:pt idx="7">
                  <c:v>0.50111855552115991</c:v>
                </c:pt>
                <c:pt idx="8">
                  <c:v>0.50111855552115991</c:v>
                </c:pt>
                <c:pt idx="9">
                  <c:v>0.50111855552115991</c:v>
                </c:pt>
                <c:pt idx="10">
                  <c:v>0.50111855552115991</c:v>
                </c:pt>
                <c:pt idx="11">
                  <c:v>0.75167783328173987</c:v>
                </c:pt>
                <c:pt idx="12">
                  <c:v>1.0022371110423198</c:v>
                </c:pt>
                <c:pt idx="13">
                  <c:v>0.50111855552115991</c:v>
                </c:pt>
                <c:pt idx="14">
                  <c:v>1.0022371110423198</c:v>
                </c:pt>
              </c:numCache>
            </c:numRef>
          </c:val>
          <c:extLst>
            <c:ext xmlns:c16="http://schemas.microsoft.com/office/drawing/2014/chart" uri="{C3380CC4-5D6E-409C-BE32-E72D297353CC}">
              <c16:uniqueId val="{00000003-D400-4543-A9AD-3DBCFCF11164}"/>
            </c:ext>
          </c:extLst>
        </c:ser>
        <c:dLbls>
          <c:showLegendKey val="0"/>
          <c:showVal val="0"/>
          <c:showCatName val="0"/>
          <c:showSerName val="0"/>
          <c:showPercent val="0"/>
          <c:showBubbleSize val="0"/>
        </c:dLbls>
        <c:gapWidth val="70"/>
        <c:overlap val="100"/>
        <c:axId val="101879808"/>
        <c:axId val="101881344"/>
      </c:barChart>
      <c:lineChart>
        <c:grouping val="standard"/>
        <c:varyColors val="0"/>
        <c:ser>
          <c:idx val="5"/>
          <c:order val="4"/>
          <c:tx>
            <c:strRef>
              <c:f>MJ_per_pkm_Microm!$G$44</c:f>
              <c:strCache>
                <c:ptCount val="1"/>
                <c:pt idx="0">
                  <c:v>Shared e-scooter  - Central case</c:v>
                </c:pt>
              </c:strCache>
            </c:strRef>
          </c:tx>
          <c:spPr>
            <a:ln>
              <a:solidFill>
                <a:srgbClr val="E2001A"/>
              </a:solidFill>
            </a:ln>
          </c:spPr>
          <c:marker>
            <c:symbol val="none"/>
          </c:marker>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MJ_per_pkm_Microm!$G$48:$G$62</c:f>
              <c:numCache>
                <c:formatCode>0.0</c:formatCode>
                <c:ptCount val="15"/>
                <c:pt idx="0">
                  <c:v>1.4562506099033876</c:v>
                </c:pt>
                <c:pt idx="1">
                  <c:v>1.4562506099033876</c:v>
                </c:pt>
                <c:pt idx="2">
                  <c:v>1.4562506099033876</c:v>
                </c:pt>
                <c:pt idx="3">
                  <c:v>1.4562506099033876</c:v>
                </c:pt>
                <c:pt idx="4">
                  <c:v>1.4562506099033876</c:v>
                </c:pt>
                <c:pt idx="5">
                  <c:v>1.4562506099033876</c:v>
                </c:pt>
                <c:pt idx="6">
                  <c:v>1.4562506099033876</c:v>
                </c:pt>
                <c:pt idx="7">
                  <c:v>1.4562506099033876</c:v>
                </c:pt>
                <c:pt idx="8">
                  <c:v>1.4562506099033876</c:v>
                </c:pt>
                <c:pt idx="9">
                  <c:v>1.4562506099033876</c:v>
                </c:pt>
                <c:pt idx="10">
                  <c:v>1.4562506099033876</c:v>
                </c:pt>
                <c:pt idx="11">
                  <c:v>1.4562506099033876</c:v>
                </c:pt>
                <c:pt idx="12">
                  <c:v>1.4562506099033876</c:v>
                </c:pt>
                <c:pt idx="13">
                  <c:v>1.4562506099033876</c:v>
                </c:pt>
                <c:pt idx="14">
                  <c:v>1.4562506099033876</c:v>
                </c:pt>
              </c:numCache>
            </c:numRef>
          </c:val>
          <c:smooth val="0"/>
          <c:extLst>
            <c:ext xmlns:c16="http://schemas.microsoft.com/office/drawing/2014/chart" uri="{C3380CC4-5D6E-409C-BE32-E72D297353CC}">
              <c16:uniqueId val="{00000004-D400-4543-A9AD-3DBCFCF11164}"/>
            </c:ext>
          </c:extLst>
        </c:ser>
        <c:ser>
          <c:idx val="8"/>
          <c:order val="5"/>
          <c:tx>
            <c:strRef>
              <c:f>MJ_per_pkm_Microm!$H$44</c:f>
              <c:strCache>
                <c:ptCount val="1"/>
                <c:pt idx="0">
                  <c:v>Private car - ICE - Central case</c:v>
                </c:pt>
              </c:strCache>
            </c:strRef>
          </c:tx>
          <c:spPr>
            <a:ln>
              <a:solidFill>
                <a:srgbClr val="EEA320"/>
              </a:solidFill>
            </a:ln>
          </c:spPr>
          <c:marker>
            <c:symbol val="none"/>
          </c:marker>
          <c:cat>
            <c:strRef>
              <c:f>MJ_per_pkm_Microm!$B$48:$B$62</c:f>
              <c:strCache>
                <c:ptCount val="15"/>
                <c:pt idx="0">
                  <c:v>First generation central case, daily distance 50% higher</c:v>
                </c:pt>
                <c:pt idx="1">
                  <c:v>First generation central case, 50% higher lifetime</c:v>
                </c:pt>
                <c:pt idx="2">
                  <c:v>First generation central case, EVs for operational services</c:v>
                </c:pt>
                <c:pt idx="3">
                  <c:v>First generation central case, 50% more vehicles per servicing trip</c:v>
                </c:pt>
                <c:pt idx="4">
                  <c:v>First generation central case, vehicle servicing distance 50% down</c:v>
                </c:pt>
                <c:pt idx="5">
                  <c:v>First generation central case, low carbon Al smelting</c:v>
                </c:pt>
                <c:pt idx="6">
                  <c:v>First generation central case, 25% less battery capacity</c:v>
                </c:pt>
                <c:pt idx="7">
                  <c:v>First generation central case, 25% more battery capacity</c:v>
                </c:pt>
                <c:pt idx="8">
                  <c:v>First generation central case, low carbon electricity in use phase</c:v>
                </c:pt>
                <c:pt idx="9">
                  <c:v>First generation central case, high carbon electricity in use phase</c:v>
                </c:pt>
                <c:pt idx="10">
                  <c:v>First generation central case, 25% heavier vehicle</c:v>
                </c:pt>
                <c:pt idx="11">
                  <c:v>First generation central case, vehicle servicing distance 50% up</c:v>
                </c:pt>
                <c:pt idx="12">
                  <c:v>First generation central case, 50% less vehicles per servcing trip</c:v>
                </c:pt>
                <c:pt idx="13">
                  <c:v>First generation central case, 50% lower lifetime</c:v>
                </c:pt>
                <c:pt idx="14">
                  <c:v>First generation central case, daily distance 50% lower</c:v>
                </c:pt>
              </c:strCache>
            </c:strRef>
          </c:cat>
          <c:val>
            <c:numRef>
              <c:f>MJ_per_pkm_Microm!$H$48:$H$62</c:f>
              <c:numCache>
                <c:formatCode>0.0</c:formatCode>
                <c:ptCount val="15"/>
                <c:pt idx="0">
                  <c:v>2.1835613123627797</c:v>
                </c:pt>
                <c:pt idx="1">
                  <c:v>2.1835613123627797</c:v>
                </c:pt>
                <c:pt idx="2">
                  <c:v>2.1835613123627797</c:v>
                </c:pt>
                <c:pt idx="3">
                  <c:v>2.1835613123627797</c:v>
                </c:pt>
                <c:pt idx="4">
                  <c:v>2.1835613123627797</c:v>
                </c:pt>
                <c:pt idx="5">
                  <c:v>2.1835613123627797</c:v>
                </c:pt>
                <c:pt idx="6">
                  <c:v>2.1835613123627797</c:v>
                </c:pt>
                <c:pt idx="7">
                  <c:v>2.1835613123627797</c:v>
                </c:pt>
                <c:pt idx="8">
                  <c:v>2.1835613123627797</c:v>
                </c:pt>
                <c:pt idx="9">
                  <c:v>2.1835613123627797</c:v>
                </c:pt>
                <c:pt idx="10">
                  <c:v>2.1835613123627797</c:v>
                </c:pt>
                <c:pt idx="11">
                  <c:v>2.1835613123627797</c:v>
                </c:pt>
                <c:pt idx="12">
                  <c:v>2.1835613123627797</c:v>
                </c:pt>
                <c:pt idx="13">
                  <c:v>2.1835613123627797</c:v>
                </c:pt>
                <c:pt idx="14">
                  <c:v>2.1835613123627797</c:v>
                </c:pt>
              </c:numCache>
            </c:numRef>
          </c:val>
          <c:smooth val="0"/>
          <c:extLst>
            <c:ext xmlns:c16="http://schemas.microsoft.com/office/drawing/2014/chart" uri="{C3380CC4-5D6E-409C-BE32-E72D297353CC}">
              <c16:uniqueId val="{00000005-D400-4543-A9AD-3DBCFCF11164}"/>
            </c:ext>
          </c:extLst>
        </c:ser>
        <c:dLbls>
          <c:showLegendKey val="0"/>
          <c:showVal val="0"/>
          <c:showCatName val="0"/>
          <c:showSerName val="0"/>
          <c:showPercent val="0"/>
          <c:showBubbleSize val="0"/>
        </c:dLbls>
        <c:marker val="1"/>
        <c:smooth val="0"/>
        <c:axId val="101879808"/>
        <c:axId val="101881344"/>
      </c:lineChart>
      <c:catAx>
        <c:axId val="101879808"/>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101881344"/>
        <c:crosses val="autoZero"/>
        <c:auto val="1"/>
        <c:lblAlgn val="ctr"/>
        <c:lblOffset val="100"/>
        <c:noMultiLvlLbl val="0"/>
      </c:catAx>
      <c:valAx>
        <c:axId val="101881344"/>
        <c:scaling>
          <c:orientation val="minMax"/>
          <c:max val="3"/>
        </c:scaling>
        <c:delete val="0"/>
        <c:axPos val="l"/>
        <c:majorGridlines>
          <c:spPr>
            <a:ln w="12700" cap="rnd">
              <a:solidFill>
                <a:schemeClr val="tx1"/>
              </a:solidFill>
              <a:prstDash val="sysDot"/>
            </a:ln>
          </c:spPr>
        </c:majorGridlines>
        <c:title>
          <c:tx>
            <c:strRef>
              <c:f>MJ_per_pkm_Microm!$C$11</c:f>
              <c:strCache>
                <c:ptCount val="1"/>
                <c:pt idx="0">
                  <c:v>Energy consumption per pkm [MJ/pkm]</c:v>
                </c:pt>
              </c:strCache>
            </c:strRef>
          </c:tx>
          <c:overlay val="0"/>
          <c:txPr>
            <a:bodyPr rot="-5400000" vert="horz"/>
            <a:lstStyle/>
            <a:p>
              <a:pPr>
                <a:defRPr/>
              </a:pPr>
              <a:endParaRPr lang="en-FI"/>
            </a:p>
          </c:txPr>
        </c:title>
        <c:numFmt formatCode="#\ ##0.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01879808"/>
        <c:crosses val="autoZero"/>
        <c:crossBetween val="between"/>
      </c:valAx>
      <c:spPr>
        <a:solidFill>
          <a:srgbClr val="F9F8F7"/>
        </a:solidFill>
        <a:ln>
          <a:noFill/>
        </a:ln>
      </c:spPr>
    </c:plotArea>
    <c:legend>
      <c:legendPos val="b"/>
      <c:layout>
        <c:manualLayout>
          <c:xMode val="edge"/>
          <c:yMode val="edge"/>
          <c:x val="7.15587128249104E-2"/>
          <c:y val="0.89794146300976807"/>
          <c:w val="0.87647040799228282"/>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57635865714011669"/>
        </c:manualLayout>
      </c:layout>
      <c:barChart>
        <c:barDir val="col"/>
        <c:grouping val="stacked"/>
        <c:varyColors val="0"/>
        <c:ser>
          <c:idx val="1"/>
          <c:order val="0"/>
          <c:tx>
            <c:strRef>
              <c:f>MJ_per_pkm_Microm!$C$44</c:f>
              <c:strCache>
                <c:ptCount val="1"/>
                <c:pt idx="0">
                  <c:v>Vehicle component</c:v>
                </c:pt>
              </c:strCache>
            </c:strRef>
          </c:tx>
          <c:spPr>
            <a:solidFill>
              <a:srgbClr val="003E7E"/>
            </a:solidFill>
          </c:spPr>
          <c:invertIfNegative val="0"/>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MJ_per_pkm_Microm!$C$47:$C$63</c:f>
              <c:numCache>
                <c:formatCode>0.0</c:formatCode>
                <c:ptCount val="17"/>
                <c:pt idx="0">
                  <c:v>0.24376458510873233</c:v>
                </c:pt>
                <c:pt idx="1">
                  <c:v>0.54984973957163796</c:v>
                </c:pt>
                <c:pt idx="2">
                  <c:v>0.45820811630969827</c:v>
                </c:pt>
                <c:pt idx="3">
                  <c:v>0.82477460935745672</c:v>
                </c:pt>
                <c:pt idx="4">
                  <c:v>0.82477460935745672</c:v>
                </c:pt>
                <c:pt idx="5">
                  <c:v>0.82477460935745672</c:v>
                </c:pt>
                <c:pt idx="6">
                  <c:v>0.65816437979357723</c:v>
                </c:pt>
                <c:pt idx="7">
                  <c:v>0.7813417489363973</c:v>
                </c:pt>
                <c:pt idx="8">
                  <c:v>0.86820746977851582</c:v>
                </c:pt>
                <c:pt idx="9">
                  <c:v>0.82477460935745672</c:v>
                </c:pt>
                <c:pt idx="10">
                  <c:v>0.82477460935745672</c:v>
                </c:pt>
                <c:pt idx="11">
                  <c:v>0.97666589740555243</c:v>
                </c:pt>
                <c:pt idx="12">
                  <c:v>0.82477460935745672</c:v>
                </c:pt>
                <c:pt idx="13">
                  <c:v>0.82477460935745672</c:v>
                </c:pt>
                <c:pt idx="14">
                  <c:v>1.3746243489290948</c:v>
                </c:pt>
                <c:pt idx="15">
                  <c:v>1.6495492187149134</c:v>
                </c:pt>
                <c:pt idx="16">
                  <c:v>3.2555529913518422</c:v>
                </c:pt>
              </c:numCache>
            </c:numRef>
          </c:val>
          <c:extLst>
            <c:ext xmlns:c16="http://schemas.microsoft.com/office/drawing/2014/chart" uri="{C3380CC4-5D6E-409C-BE32-E72D297353CC}">
              <c16:uniqueId val="{00000000-AF73-4435-BFBF-A72777660570}"/>
            </c:ext>
          </c:extLst>
        </c:ser>
        <c:ser>
          <c:idx val="2"/>
          <c:order val="1"/>
          <c:tx>
            <c:strRef>
              <c:f>MJ_per_pkm_Microm!$D$44</c:f>
              <c:strCache>
                <c:ptCount val="1"/>
                <c:pt idx="0">
                  <c:v>Fuel component</c:v>
                </c:pt>
              </c:strCache>
            </c:strRef>
          </c:tx>
          <c:spPr>
            <a:solidFill>
              <a:srgbClr val="7BC143"/>
            </a:solidFill>
          </c:spPr>
          <c:invertIfNegative val="0"/>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MJ_per_pkm_Microm!$D$47:$D$63</c:f>
              <c:numCache>
                <c:formatCode>0.0</c:formatCode>
                <c:ptCount val="17"/>
                <c:pt idx="0">
                  <c:v>2.3422712933753951E-2</c:v>
                </c:pt>
                <c:pt idx="1">
                  <c:v>5.7785463767107845E-2</c:v>
                </c:pt>
                <c:pt idx="2">
                  <c:v>7.7047285022810455E-2</c:v>
                </c:pt>
                <c:pt idx="3">
                  <c:v>7.7047285022810455E-2</c:v>
                </c:pt>
                <c:pt idx="4">
                  <c:v>5.7785463767107838E-2</c:v>
                </c:pt>
                <c:pt idx="5">
                  <c:v>7.7047285022810455E-2</c:v>
                </c:pt>
                <c:pt idx="6">
                  <c:v>0.10272971336374727</c:v>
                </c:pt>
                <c:pt idx="7">
                  <c:v>0.10272971336374727</c:v>
                </c:pt>
                <c:pt idx="8">
                  <c:v>0.10272971336374727</c:v>
                </c:pt>
                <c:pt idx="9">
                  <c:v>4.1640378548895907E-2</c:v>
                </c:pt>
                <c:pt idx="10">
                  <c:v>0.11809283849514444</c:v>
                </c:pt>
                <c:pt idx="11">
                  <c:v>0.10272971336374727</c:v>
                </c:pt>
                <c:pt idx="12">
                  <c:v>7.7047285022810455E-2</c:v>
                </c:pt>
                <c:pt idx="13">
                  <c:v>7.7047285022810455E-2</c:v>
                </c:pt>
                <c:pt idx="14">
                  <c:v>7.7047285022810455E-2</c:v>
                </c:pt>
                <c:pt idx="15">
                  <c:v>5.7785463767107838E-2</c:v>
                </c:pt>
                <c:pt idx="16">
                  <c:v>6.6427221653518748E-2</c:v>
                </c:pt>
              </c:numCache>
            </c:numRef>
          </c:val>
          <c:extLst>
            <c:ext xmlns:c16="http://schemas.microsoft.com/office/drawing/2014/chart" uri="{C3380CC4-5D6E-409C-BE32-E72D297353CC}">
              <c16:uniqueId val="{00000001-AF73-4435-BFBF-A72777660570}"/>
            </c:ext>
          </c:extLst>
        </c:ser>
        <c:ser>
          <c:idx val="3"/>
          <c:order val="2"/>
          <c:tx>
            <c:strRef>
              <c:f>MJ_per_pkm_Microm!$E$44</c:f>
              <c:strCache>
                <c:ptCount val="1"/>
                <c:pt idx="0">
                  <c:v>Infrastructure component</c:v>
                </c:pt>
              </c:strCache>
            </c:strRef>
          </c:tx>
          <c:spPr>
            <a:solidFill>
              <a:srgbClr val="939598"/>
            </a:solidFill>
          </c:spPr>
          <c:invertIfNegative val="0"/>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MJ_per_pkm_Microm!$E$47:$E$63</c:f>
              <c:numCache>
                <c:formatCode>0.0</c:formatCode>
                <c:ptCount val="17"/>
                <c:pt idx="0">
                  <c:v>2.7627731661023575E-2</c:v>
                </c:pt>
                <c:pt idx="1">
                  <c:v>2.7627731661023575E-2</c:v>
                </c:pt>
                <c:pt idx="2">
                  <c:v>2.7627731661023575E-2</c:v>
                </c:pt>
                <c:pt idx="3">
                  <c:v>2.7627731661023575E-2</c:v>
                </c:pt>
                <c:pt idx="4">
                  <c:v>2.7627731661023575E-2</c:v>
                </c:pt>
                <c:pt idx="5">
                  <c:v>2.7627731661023575E-2</c:v>
                </c:pt>
                <c:pt idx="6">
                  <c:v>2.7652368632868705E-2</c:v>
                </c:pt>
                <c:pt idx="7">
                  <c:v>2.7627731661023575E-2</c:v>
                </c:pt>
                <c:pt idx="8">
                  <c:v>2.7627731661023575E-2</c:v>
                </c:pt>
                <c:pt idx="9">
                  <c:v>2.7627731661023575E-2</c:v>
                </c:pt>
                <c:pt idx="10">
                  <c:v>2.7652368632868705E-2</c:v>
                </c:pt>
                <c:pt idx="11">
                  <c:v>2.7627731661023575E-2</c:v>
                </c:pt>
                <c:pt idx="12">
                  <c:v>2.7627731661023575E-2</c:v>
                </c:pt>
                <c:pt idx="13">
                  <c:v>2.7627731661023575E-2</c:v>
                </c:pt>
                <c:pt idx="14">
                  <c:v>2.7627731661023575E-2</c:v>
                </c:pt>
                <c:pt idx="15">
                  <c:v>2.7627731661023575E-2</c:v>
                </c:pt>
                <c:pt idx="16">
                  <c:v>2.7627731661023575E-2</c:v>
                </c:pt>
              </c:numCache>
            </c:numRef>
          </c:val>
          <c:extLst>
            <c:ext xmlns:c16="http://schemas.microsoft.com/office/drawing/2014/chart" uri="{C3380CC4-5D6E-409C-BE32-E72D297353CC}">
              <c16:uniqueId val="{00000002-AF73-4435-BFBF-A72777660570}"/>
            </c:ext>
          </c:extLst>
        </c:ser>
        <c:ser>
          <c:idx val="4"/>
          <c:order val="3"/>
          <c:tx>
            <c:strRef>
              <c:f>MJ_per_pkm_Microm!$F$44</c:f>
              <c:strCache>
                <c:ptCount val="1"/>
                <c:pt idx="0">
                  <c:v>Operational services</c:v>
                </c:pt>
              </c:strCache>
            </c:strRef>
          </c:tx>
          <c:spPr>
            <a:solidFill>
              <a:srgbClr val="007DC3"/>
            </a:solidFill>
          </c:spPr>
          <c:invertIfNegative val="0"/>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MJ_per_pkm_Microm!$F$47:$F$63</c:f>
              <c:numCache>
                <c:formatCode>0.0</c:formatCode>
                <c:ptCount val="17"/>
                <c:pt idx="0">
                  <c:v>5.8800565552279291E-2</c:v>
                </c:pt>
                <c:pt idx="1">
                  <c:v>0.33407903701410657</c:v>
                </c:pt>
                <c:pt idx="2">
                  <c:v>0.50111855552115991</c:v>
                </c:pt>
                <c:pt idx="3">
                  <c:v>0.26460254498525682</c:v>
                </c:pt>
                <c:pt idx="4">
                  <c:v>0.33407903701410663</c:v>
                </c:pt>
                <c:pt idx="5">
                  <c:v>0.25055927776057996</c:v>
                </c:pt>
                <c:pt idx="6">
                  <c:v>0.50111855552115991</c:v>
                </c:pt>
                <c:pt idx="7">
                  <c:v>0.50111855552115991</c:v>
                </c:pt>
                <c:pt idx="8">
                  <c:v>0.50111855552115991</c:v>
                </c:pt>
                <c:pt idx="9">
                  <c:v>0.50111855552115991</c:v>
                </c:pt>
                <c:pt idx="10">
                  <c:v>0.50111855552115991</c:v>
                </c:pt>
                <c:pt idx="11">
                  <c:v>0.50111855552115991</c:v>
                </c:pt>
                <c:pt idx="12">
                  <c:v>0.75167783328173987</c:v>
                </c:pt>
                <c:pt idx="13">
                  <c:v>1.0022371110423198</c:v>
                </c:pt>
                <c:pt idx="14">
                  <c:v>0.50111855552115991</c:v>
                </c:pt>
                <c:pt idx="15">
                  <c:v>1.0022371110423198</c:v>
                </c:pt>
                <c:pt idx="16">
                  <c:v>3.0067113331269595</c:v>
                </c:pt>
              </c:numCache>
            </c:numRef>
          </c:val>
          <c:extLst>
            <c:ext xmlns:c16="http://schemas.microsoft.com/office/drawing/2014/chart" uri="{C3380CC4-5D6E-409C-BE32-E72D297353CC}">
              <c16:uniqueId val="{00000003-AF73-4435-BFBF-A72777660570}"/>
            </c:ext>
          </c:extLst>
        </c:ser>
        <c:dLbls>
          <c:showLegendKey val="0"/>
          <c:showVal val="0"/>
          <c:showCatName val="0"/>
          <c:showSerName val="0"/>
          <c:showPercent val="0"/>
          <c:showBubbleSize val="0"/>
        </c:dLbls>
        <c:gapWidth val="70"/>
        <c:overlap val="100"/>
        <c:axId val="103084416"/>
        <c:axId val="103085952"/>
      </c:barChart>
      <c:lineChart>
        <c:grouping val="standard"/>
        <c:varyColors val="0"/>
        <c:ser>
          <c:idx val="5"/>
          <c:order val="4"/>
          <c:tx>
            <c:strRef>
              <c:f>MJ_per_pkm_Microm!$G$44</c:f>
              <c:strCache>
                <c:ptCount val="1"/>
                <c:pt idx="0">
                  <c:v>Shared e-scooter  - Central case</c:v>
                </c:pt>
              </c:strCache>
            </c:strRef>
          </c:tx>
          <c:spPr>
            <a:ln>
              <a:solidFill>
                <a:srgbClr val="E2001A"/>
              </a:solidFill>
            </a:ln>
          </c:spPr>
          <c:marker>
            <c:symbol val="none"/>
          </c:marker>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MJ_per_pkm_Microm!$G$47:$G$63</c:f>
              <c:numCache>
                <c:formatCode>0.0</c:formatCode>
                <c:ptCount val="17"/>
                <c:pt idx="0">
                  <c:v>1.4562506099033876</c:v>
                </c:pt>
                <c:pt idx="1">
                  <c:v>1.4562506099033876</c:v>
                </c:pt>
                <c:pt idx="2">
                  <c:v>1.4562506099033876</c:v>
                </c:pt>
                <c:pt idx="3">
                  <c:v>1.4562506099033876</c:v>
                </c:pt>
                <c:pt idx="4">
                  <c:v>1.4562506099033876</c:v>
                </c:pt>
                <c:pt idx="5">
                  <c:v>1.4562506099033876</c:v>
                </c:pt>
                <c:pt idx="6">
                  <c:v>1.4562506099033876</c:v>
                </c:pt>
                <c:pt idx="7">
                  <c:v>1.4562506099033876</c:v>
                </c:pt>
                <c:pt idx="8">
                  <c:v>1.4562506099033876</c:v>
                </c:pt>
                <c:pt idx="9">
                  <c:v>1.4562506099033876</c:v>
                </c:pt>
                <c:pt idx="10">
                  <c:v>1.4562506099033876</c:v>
                </c:pt>
                <c:pt idx="11">
                  <c:v>1.4562506099033876</c:v>
                </c:pt>
                <c:pt idx="12">
                  <c:v>1.4562506099033876</c:v>
                </c:pt>
                <c:pt idx="13">
                  <c:v>1.4562506099033876</c:v>
                </c:pt>
                <c:pt idx="14">
                  <c:v>1.4562506099033876</c:v>
                </c:pt>
                <c:pt idx="15">
                  <c:v>1.4562506099033876</c:v>
                </c:pt>
                <c:pt idx="16">
                  <c:v>1.4562506099033876</c:v>
                </c:pt>
              </c:numCache>
            </c:numRef>
          </c:val>
          <c:smooth val="0"/>
          <c:extLst>
            <c:ext xmlns:c16="http://schemas.microsoft.com/office/drawing/2014/chart" uri="{C3380CC4-5D6E-409C-BE32-E72D297353CC}">
              <c16:uniqueId val="{00000004-AF73-4435-BFBF-A72777660570}"/>
            </c:ext>
          </c:extLst>
        </c:ser>
        <c:ser>
          <c:idx val="8"/>
          <c:order val="5"/>
          <c:tx>
            <c:strRef>
              <c:f>MJ_per_pkm_Microm!$H$44</c:f>
              <c:strCache>
                <c:ptCount val="1"/>
                <c:pt idx="0">
                  <c:v>Private car - ICE - Central case</c:v>
                </c:pt>
              </c:strCache>
            </c:strRef>
          </c:tx>
          <c:spPr>
            <a:ln>
              <a:solidFill>
                <a:srgbClr val="EEA320"/>
              </a:solidFill>
            </a:ln>
          </c:spPr>
          <c:marker>
            <c:symbol val="none"/>
          </c:marker>
          <c:cat>
            <c:strRef>
              <c:f>MJ_per_pkm_Microm!$B$47:$B$63</c:f>
              <c:strCache>
                <c:ptCount val="17"/>
                <c:pt idx="0">
                  <c:v>First generation, best case</c:v>
                </c:pt>
                <c:pt idx="1">
                  <c:v>First generation central case, daily distance 50% higher</c:v>
                </c:pt>
                <c:pt idx="2">
                  <c:v>First generation central case, 50% higher lifetime</c:v>
                </c:pt>
                <c:pt idx="3">
                  <c:v>First generation central case, EVs for operational services</c:v>
                </c:pt>
                <c:pt idx="4">
                  <c:v>First generation central case, 50% more vehicles per servicing trip</c:v>
                </c:pt>
                <c:pt idx="5">
                  <c:v>First generation central case, vehicle servicing distance 50% down</c:v>
                </c:pt>
                <c:pt idx="6">
                  <c:v>First generation central case, low carbon Al smelting</c:v>
                </c:pt>
                <c:pt idx="7">
                  <c:v>First generation central case, 25% less battery capacity</c:v>
                </c:pt>
                <c:pt idx="8">
                  <c:v>First generation central case, 25% more battery capacity</c:v>
                </c:pt>
                <c:pt idx="9">
                  <c:v>First generation central case, low carbon electricity in use phase</c:v>
                </c:pt>
                <c:pt idx="10">
                  <c:v>First generation central case, high carbon electricity in use phase</c:v>
                </c:pt>
                <c:pt idx="11">
                  <c:v>First generation central case, 25% heavier vehicle</c:v>
                </c:pt>
                <c:pt idx="12">
                  <c:v>First generation central case, vehicle servicing distance 50% up</c:v>
                </c:pt>
                <c:pt idx="13">
                  <c:v>First generation central case, 50% less vehicles per servcing trip</c:v>
                </c:pt>
                <c:pt idx="14">
                  <c:v>First generation central case, 50% lower lifetime</c:v>
                </c:pt>
                <c:pt idx="15">
                  <c:v>First generation central case, daily distance 50% lower</c:v>
                </c:pt>
                <c:pt idx="16">
                  <c:v>First generation, worst case</c:v>
                </c:pt>
              </c:strCache>
            </c:strRef>
          </c:cat>
          <c:val>
            <c:numRef>
              <c:f>MJ_per_pkm_Microm!$H$47:$H$63</c:f>
              <c:numCache>
                <c:formatCode>0.0</c:formatCode>
                <c:ptCount val="17"/>
                <c:pt idx="0">
                  <c:v>2.1835613123627797</c:v>
                </c:pt>
                <c:pt idx="1">
                  <c:v>2.1835613123627797</c:v>
                </c:pt>
                <c:pt idx="2">
                  <c:v>2.1835613123627797</c:v>
                </c:pt>
                <c:pt idx="3">
                  <c:v>2.1835613123627797</c:v>
                </c:pt>
                <c:pt idx="4">
                  <c:v>2.1835613123627797</c:v>
                </c:pt>
                <c:pt idx="5">
                  <c:v>2.1835613123627797</c:v>
                </c:pt>
                <c:pt idx="6">
                  <c:v>2.1835613123627797</c:v>
                </c:pt>
                <c:pt idx="7">
                  <c:v>2.1835613123627797</c:v>
                </c:pt>
                <c:pt idx="8">
                  <c:v>2.1835613123627797</c:v>
                </c:pt>
                <c:pt idx="9">
                  <c:v>2.1835613123627797</c:v>
                </c:pt>
                <c:pt idx="10">
                  <c:v>2.1835613123627797</c:v>
                </c:pt>
                <c:pt idx="11">
                  <c:v>2.1835613123627797</c:v>
                </c:pt>
                <c:pt idx="12">
                  <c:v>2.1835613123627797</c:v>
                </c:pt>
                <c:pt idx="13">
                  <c:v>2.1835613123627797</c:v>
                </c:pt>
                <c:pt idx="14">
                  <c:v>2.1835613123627797</c:v>
                </c:pt>
                <c:pt idx="15">
                  <c:v>2.1835613123627797</c:v>
                </c:pt>
                <c:pt idx="16">
                  <c:v>2.1835613123627797</c:v>
                </c:pt>
              </c:numCache>
            </c:numRef>
          </c:val>
          <c:smooth val="0"/>
          <c:extLst>
            <c:ext xmlns:c16="http://schemas.microsoft.com/office/drawing/2014/chart" uri="{C3380CC4-5D6E-409C-BE32-E72D297353CC}">
              <c16:uniqueId val="{00000005-AF73-4435-BFBF-A72777660570}"/>
            </c:ext>
          </c:extLst>
        </c:ser>
        <c:dLbls>
          <c:showLegendKey val="0"/>
          <c:showVal val="0"/>
          <c:showCatName val="0"/>
          <c:showSerName val="0"/>
          <c:showPercent val="0"/>
          <c:showBubbleSize val="0"/>
        </c:dLbls>
        <c:marker val="1"/>
        <c:smooth val="0"/>
        <c:axId val="103084416"/>
        <c:axId val="103085952"/>
      </c:lineChart>
      <c:catAx>
        <c:axId val="103084416"/>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103085952"/>
        <c:crosses val="autoZero"/>
        <c:auto val="1"/>
        <c:lblAlgn val="ctr"/>
        <c:lblOffset val="100"/>
        <c:noMultiLvlLbl val="0"/>
      </c:catAx>
      <c:valAx>
        <c:axId val="103085952"/>
        <c:scaling>
          <c:orientation val="minMax"/>
        </c:scaling>
        <c:delete val="0"/>
        <c:axPos val="l"/>
        <c:majorGridlines>
          <c:spPr>
            <a:ln w="12700" cap="rnd">
              <a:solidFill>
                <a:schemeClr val="tx1"/>
              </a:solidFill>
              <a:prstDash val="sysDot"/>
            </a:ln>
          </c:spPr>
        </c:majorGridlines>
        <c:title>
          <c:tx>
            <c:strRef>
              <c:f>MJ_per_pkm_Microm!$C$11</c:f>
              <c:strCache>
                <c:ptCount val="1"/>
                <c:pt idx="0">
                  <c:v>Energy consumption per pkm [MJ/pkm]</c:v>
                </c:pt>
              </c:strCache>
            </c:strRef>
          </c:tx>
          <c:overlay val="0"/>
          <c:txPr>
            <a:bodyPr rot="-5400000" vert="horz"/>
            <a:lstStyle/>
            <a:p>
              <a:pPr>
                <a:defRPr/>
              </a:pPr>
              <a:endParaRPr lang="en-FI"/>
            </a:p>
          </c:txPr>
        </c:title>
        <c:numFmt formatCode="#\ ##0.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03084416"/>
        <c:crosses val="autoZero"/>
        <c:crossBetween val="between"/>
      </c:valAx>
      <c:spPr>
        <a:solidFill>
          <a:srgbClr val="F9F8F7"/>
        </a:solidFill>
        <a:ln>
          <a:noFill/>
        </a:ln>
      </c:spPr>
    </c:plotArea>
    <c:legend>
      <c:legendPos val="b"/>
      <c:layout>
        <c:manualLayout>
          <c:xMode val="edge"/>
          <c:yMode val="edge"/>
          <c:x val="7.15587128249104E-2"/>
          <c:y val="0.89794146300976807"/>
          <c:w val="0.87647040799228282"/>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69202112821804895"/>
        </c:manualLayout>
      </c:layout>
      <c:barChart>
        <c:barDir val="col"/>
        <c:grouping val="stacked"/>
        <c:varyColors val="0"/>
        <c:ser>
          <c:idx val="1"/>
          <c:order val="0"/>
          <c:tx>
            <c:strRef>
              <c:f>Figure_8_GHG_per_pkm_NewEScoot!$C$44</c:f>
              <c:strCache>
                <c:ptCount val="1"/>
                <c:pt idx="0">
                  <c:v>Vehicle component</c:v>
                </c:pt>
              </c:strCache>
            </c:strRef>
          </c:tx>
          <c:spPr>
            <a:solidFill>
              <a:srgbClr val="003E7E"/>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Figure_8_GHG_per_pkm_NewEScoot!$C$47:$C$54</c:f>
              <c:numCache>
                <c:formatCode>0</c:formatCode>
                <c:ptCount val="8"/>
                <c:pt idx="0">
                  <c:v>65.575881673322854</c:v>
                </c:pt>
                <c:pt idx="1">
                  <c:v>65.575881673322854</c:v>
                </c:pt>
                <c:pt idx="2">
                  <c:v>65.575881673322854</c:v>
                </c:pt>
                <c:pt idx="3">
                  <c:v>65.575881673322854</c:v>
                </c:pt>
                <c:pt idx="4">
                  <c:v>41.306763235085256</c:v>
                </c:pt>
                <c:pt idx="5">
                  <c:v>65.575881673322854</c:v>
                </c:pt>
                <c:pt idx="6">
                  <c:v>43.717254448881903</c:v>
                </c:pt>
                <c:pt idx="7">
                  <c:v>27.537842156723507</c:v>
                </c:pt>
              </c:numCache>
            </c:numRef>
          </c:val>
          <c:extLst>
            <c:ext xmlns:c16="http://schemas.microsoft.com/office/drawing/2014/chart" uri="{C3380CC4-5D6E-409C-BE32-E72D297353CC}">
              <c16:uniqueId val="{00000000-F7C6-41A7-895C-DB8BD0A02B15}"/>
            </c:ext>
          </c:extLst>
        </c:ser>
        <c:ser>
          <c:idx val="2"/>
          <c:order val="1"/>
          <c:tx>
            <c:strRef>
              <c:f>Figure_8_GHG_per_pkm_NewEScoot!$D$44</c:f>
              <c:strCache>
                <c:ptCount val="1"/>
                <c:pt idx="0">
                  <c:v>Fuel component</c:v>
                </c:pt>
              </c:strCache>
            </c:strRef>
          </c:tx>
          <c:spPr>
            <a:solidFill>
              <a:srgbClr val="7BC143"/>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Figure_8_GHG_per_pkm_NewEScoot!$D$47:$D$54</c:f>
              <c:numCache>
                <c:formatCode>0</c:formatCode>
                <c:ptCount val="8"/>
                <c:pt idx="0">
                  <c:v>1.5404200247503861</c:v>
                </c:pt>
                <c:pt idx="1">
                  <c:v>0</c:v>
                </c:pt>
                <c:pt idx="2">
                  <c:v>1.5404200247503861</c:v>
                </c:pt>
                <c:pt idx="3">
                  <c:v>1.5404200247503861</c:v>
                </c:pt>
                <c:pt idx="4">
                  <c:v>1.5404200247503861</c:v>
                </c:pt>
                <c:pt idx="5">
                  <c:v>1.5404200247503861</c:v>
                </c:pt>
                <c:pt idx="6">
                  <c:v>1.5404200247503863</c:v>
                </c:pt>
                <c:pt idx="7">
                  <c:v>0</c:v>
                </c:pt>
              </c:numCache>
            </c:numRef>
          </c:val>
          <c:extLst>
            <c:ext xmlns:c16="http://schemas.microsoft.com/office/drawing/2014/chart" uri="{C3380CC4-5D6E-409C-BE32-E72D297353CC}">
              <c16:uniqueId val="{00000001-F7C6-41A7-895C-DB8BD0A02B15}"/>
            </c:ext>
          </c:extLst>
        </c:ser>
        <c:ser>
          <c:idx val="3"/>
          <c:order val="2"/>
          <c:tx>
            <c:strRef>
              <c:f>Figure_8_GHG_per_pkm_NewEScoot!$E$44</c:f>
              <c:strCache>
                <c:ptCount val="1"/>
                <c:pt idx="0">
                  <c:v>Infrastructure component</c:v>
                </c:pt>
              </c:strCache>
            </c:strRef>
          </c:tx>
          <c:spPr>
            <a:solidFill>
              <a:srgbClr val="939598"/>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Figure_8_GHG_per_pkm_NewEScoot!$E$47:$E$54</c:f>
              <c:numCache>
                <c:formatCode>0</c:formatCode>
                <c:ptCount val="8"/>
                <c:pt idx="0">
                  <c:v>9.4835085147745115</c:v>
                </c:pt>
                <c:pt idx="1">
                  <c:v>9.4835085147745115</c:v>
                </c:pt>
                <c:pt idx="2">
                  <c:v>9.4835085147745115</c:v>
                </c:pt>
                <c:pt idx="3">
                  <c:v>9.4835085147745115</c:v>
                </c:pt>
                <c:pt idx="4">
                  <c:v>9.4835085147745115</c:v>
                </c:pt>
                <c:pt idx="5">
                  <c:v>9.4835085147745115</c:v>
                </c:pt>
                <c:pt idx="6">
                  <c:v>9.4835085147745115</c:v>
                </c:pt>
                <c:pt idx="7">
                  <c:v>9.4835085147745115</c:v>
                </c:pt>
              </c:numCache>
            </c:numRef>
          </c:val>
          <c:extLst>
            <c:ext xmlns:c16="http://schemas.microsoft.com/office/drawing/2014/chart" uri="{C3380CC4-5D6E-409C-BE32-E72D297353CC}">
              <c16:uniqueId val="{00000002-F7C6-41A7-895C-DB8BD0A02B15}"/>
            </c:ext>
          </c:extLst>
        </c:ser>
        <c:ser>
          <c:idx val="4"/>
          <c:order val="3"/>
          <c:tx>
            <c:strRef>
              <c:f>Figure_8_GHG_per_pkm_NewEScoot!$F$44</c:f>
              <c:strCache>
                <c:ptCount val="1"/>
                <c:pt idx="0">
                  <c:v>Operational services</c:v>
                </c:pt>
              </c:strCache>
            </c:strRef>
          </c:tx>
          <c:spPr>
            <a:solidFill>
              <a:srgbClr val="007DC3"/>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Figure_8_GHG_per_pkm_NewEScoot!$F$47:$F$54</c:f>
              <c:numCache>
                <c:formatCode>0</c:formatCode>
                <c:ptCount val="8"/>
                <c:pt idx="0">
                  <c:v>24.702441658055509</c:v>
                </c:pt>
                <c:pt idx="1">
                  <c:v>24.702441658055509</c:v>
                </c:pt>
                <c:pt idx="2">
                  <c:v>16.468294438703676</c:v>
                </c:pt>
                <c:pt idx="3">
                  <c:v>12.351220829027755</c:v>
                </c:pt>
                <c:pt idx="4">
                  <c:v>24.702441658055509</c:v>
                </c:pt>
                <c:pt idx="5">
                  <c:v>0</c:v>
                </c:pt>
                <c:pt idx="6">
                  <c:v>16.468294438703673</c:v>
                </c:pt>
                <c:pt idx="7">
                  <c:v>0</c:v>
                </c:pt>
              </c:numCache>
            </c:numRef>
          </c:val>
          <c:extLst>
            <c:ext xmlns:c16="http://schemas.microsoft.com/office/drawing/2014/chart" uri="{C3380CC4-5D6E-409C-BE32-E72D297353CC}">
              <c16:uniqueId val="{00000003-F7C6-41A7-895C-DB8BD0A02B15}"/>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5"/>
          <c:order val="4"/>
          <c:tx>
            <c:strRef>
              <c:f>Figure_8_GHG_per_pkm_NewEScoot!$G$44</c:f>
              <c:strCache>
                <c:ptCount val="1"/>
                <c:pt idx="0">
                  <c:v>Shared e-scooter (first generati) - Central case</c:v>
                </c:pt>
              </c:strCache>
            </c:strRef>
          </c:tx>
          <c:spPr>
            <a:ln>
              <a:solidFill>
                <a:srgbClr val="E2001A"/>
              </a:solidFill>
            </a:ln>
          </c:spPr>
          <c:marker>
            <c:symbol val="none"/>
          </c:marker>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Figure_8_GHG_per_pkm_NewEScoot!$G$47:$G$54</c:f>
              <c:numCache>
                <c:formatCode>0</c:formatCode>
                <c:ptCount val="8"/>
                <c:pt idx="0">
                  <c:v>117.04803934532677</c:v>
                </c:pt>
                <c:pt idx="1">
                  <c:v>117.04803934532677</c:v>
                </c:pt>
                <c:pt idx="2">
                  <c:v>117.04803934532677</c:v>
                </c:pt>
                <c:pt idx="3">
                  <c:v>117.04803934532677</c:v>
                </c:pt>
                <c:pt idx="4">
                  <c:v>117.04803934532677</c:v>
                </c:pt>
                <c:pt idx="5">
                  <c:v>117.04803934532677</c:v>
                </c:pt>
                <c:pt idx="6">
                  <c:v>117.04803934532677</c:v>
                </c:pt>
                <c:pt idx="7">
                  <c:v>117.04803934532677</c:v>
                </c:pt>
              </c:numCache>
            </c:numRef>
          </c:val>
          <c:smooth val="0"/>
          <c:extLst>
            <c:ext xmlns:c16="http://schemas.microsoft.com/office/drawing/2014/chart" uri="{C3380CC4-5D6E-409C-BE32-E72D297353CC}">
              <c16:uniqueId val="{00000004-F7C6-41A7-895C-DB8BD0A02B15}"/>
            </c:ext>
          </c:extLst>
        </c:ser>
        <c:ser>
          <c:idx val="8"/>
          <c:order val="5"/>
          <c:tx>
            <c:strRef>
              <c:f>Figure_8_GHG_per_pkm_NewEScoot!$H$44</c:f>
              <c:strCache>
                <c:ptCount val="1"/>
                <c:pt idx="0">
                  <c:v>Private car - ICE - Central case</c:v>
                </c:pt>
              </c:strCache>
            </c:strRef>
          </c:tx>
          <c:spPr>
            <a:ln>
              <a:solidFill>
                <a:srgbClr val="EEA320"/>
              </a:solidFill>
            </a:ln>
          </c:spPr>
          <c:marker>
            <c:symbol val="none"/>
          </c:marker>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Figure_8_GHG_per_pkm_NewEScoot!$H$47:$H$54</c:f>
              <c:numCache>
                <c:formatCode>0</c:formatCode>
                <c:ptCount val="8"/>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numCache>
            </c:numRef>
          </c:val>
          <c:smooth val="0"/>
          <c:extLst>
            <c:ext xmlns:c16="http://schemas.microsoft.com/office/drawing/2014/chart" uri="{C3380CC4-5D6E-409C-BE32-E72D297353CC}">
              <c16:uniqueId val="{00000005-F7C6-41A7-895C-DB8BD0A02B15}"/>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Figure_8_GHG_per_pkm_NewEScoot!$C$11</c:f>
              <c:strCache>
                <c:ptCount val="1"/>
                <c:pt idx="0">
                  <c:v>GHG emissions per pkm [g CO₂/pkm]</c:v>
                </c:pt>
              </c:strCache>
            </c:strRef>
          </c:tx>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20"/>
      </c:valAx>
      <c:spPr>
        <a:solidFill>
          <a:srgbClr val="F9F8F7"/>
        </a:solidFill>
        <a:ln>
          <a:noFill/>
        </a:ln>
      </c:spPr>
    </c:plotArea>
    <c:legend>
      <c:legendPos val="b"/>
      <c:layout>
        <c:manualLayout>
          <c:xMode val="edge"/>
          <c:yMode val="edge"/>
          <c:x val="7.15587128249104E-2"/>
          <c:y val="0.89794146300976807"/>
          <c:w val="0.87647040799228282"/>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61464923503861468"/>
        </c:manualLayout>
      </c:layout>
      <c:barChart>
        <c:barDir val="col"/>
        <c:grouping val="stacked"/>
        <c:varyColors val="0"/>
        <c:ser>
          <c:idx val="1"/>
          <c:order val="0"/>
          <c:tx>
            <c:strRef>
              <c:f>Figure_8_GHG_per_pkm_NewEScoot!$C$44</c:f>
              <c:strCache>
                <c:ptCount val="1"/>
                <c:pt idx="0">
                  <c:v>Vehicle component</c:v>
                </c:pt>
              </c:strCache>
            </c:strRef>
          </c:tx>
          <c:spPr>
            <a:solidFill>
              <a:srgbClr val="003E7E"/>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Figure_8_GHG_per_pkm_NewEScoot!$C$47:$C$54</c:f>
              <c:numCache>
                <c:formatCode>0</c:formatCode>
                <c:ptCount val="8"/>
                <c:pt idx="0">
                  <c:v>65.575881673322854</c:v>
                </c:pt>
                <c:pt idx="1">
                  <c:v>65.575881673322854</c:v>
                </c:pt>
                <c:pt idx="2">
                  <c:v>65.575881673322854</c:v>
                </c:pt>
                <c:pt idx="3">
                  <c:v>65.575881673322854</c:v>
                </c:pt>
                <c:pt idx="4">
                  <c:v>41.306763235085256</c:v>
                </c:pt>
                <c:pt idx="5">
                  <c:v>65.575881673322854</c:v>
                </c:pt>
                <c:pt idx="6">
                  <c:v>43.717254448881903</c:v>
                </c:pt>
                <c:pt idx="7">
                  <c:v>27.537842156723507</c:v>
                </c:pt>
              </c:numCache>
            </c:numRef>
          </c:val>
          <c:extLst>
            <c:ext xmlns:c16="http://schemas.microsoft.com/office/drawing/2014/chart" uri="{C3380CC4-5D6E-409C-BE32-E72D297353CC}">
              <c16:uniqueId val="{00000000-236A-41C8-97D2-06EF3A7728A3}"/>
            </c:ext>
          </c:extLst>
        </c:ser>
        <c:ser>
          <c:idx val="2"/>
          <c:order val="1"/>
          <c:tx>
            <c:strRef>
              <c:f>Figure_8_GHG_per_pkm_NewEScoot!$D$44</c:f>
              <c:strCache>
                <c:ptCount val="1"/>
                <c:pt idx="0">
                  <c:v>Fuel component</c:v>
                </c:pt>
              </c:strCache>
            </c:strRef>
          </c:tx>
          <c:spPr>
            <a:solidFill>
              <a:srgbClr val="7BC143"/>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Figure_8_GHG_per_pkm_NewEScoot!$D$47:$D$54</c:f>
              <c:numCache>
                <c:formatCode>0</c:formatCode>
                <c:ptCount val="8"/>
                <c:pt idx="0">
                  <c:v>1.5404200247503861</c:v>
                </c:pt>
                <c:pt idx="1">
                  <c:v>0</c:v>
                </c:pt>
                <c:pt idx="2">
                  <c:v>1.5404200247503861</c:v>
                </c:pt>
                <c:pt idx="3">
                  <c:v>1.5404200247503861</c:v>
                </c:pt>
                <c:pt idx="4">
                  <c:v>1.5404200247503861</c:v>
                </c:pt>
                <c:pt idx="5">
                  <c:v>1.5404200247503861</c:v>
                </c:pt>
                <c:pt idx="6">
                  <c:v>1.5404200247503863</c:v>
                </c:pt>
                <c:pt idx="7">
                  <c:v>0</c:v>
                </c:pt>
              </c:numCache>
            </c:numRef>
          </c:val>
          <c:extLst>
            <c:ext xmlns:c16="http://schemas.microsoft.com/office/drawing/2014/chart" uri="{C3380CC4-5D6E-409C-BE32-E72D297353CC}">
              <c16:uniqueId val="{00000001-236A-41C8-97D2-06EF3A7728A3}"/>
            </c:ext>
          </c:extLst>
        </c:ser>
        <c:ser>
          <c:idx val="3"/>
          <c:order val="2"/>
          <c:tx>
            <c:strRef>
              <c:f>Figure_8_GHG_per_pkm_NewEScoot!$E$44</c:f>
              <c:strCache>
                <c:ptCount val="1"/>
                <c:pt idx="0">
                  <c:v>Infrastructure component</c:v>
                </c:pt>
              </c:strCache>
            </c:strRef>
          </c:tx>
          <c:spPr>
            <a:solidFill>
              <a:srgbClr val="939598"/>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Figure_8_GHG_per_pkm_NewEScoot!$E$47:$E$54</c:f>
              <c:numCache>
                <c:formatCode>0</c:formatCode>
                <c:ptCount val="8"/>
                <c:pt idx="0">
                  <c:v>9.4835085147745115</c:v>
                </c:pt>
                <c:pt idx="1">
                  <c:v>9.4835085147745115</c:v>
                </c:pt>
                <c:pt idx="2">
                  <c:v>9.4835085147745115</c:v>
                </c:pt>
                <c:pt idx="3">
                  <c:v>9.4835085147745115</c:v>
                </c:pt>
                <c:pt idx="4">
                  <c:v>9.4835085147745115</c:v>
                </c:pt>
                <c:pt idx="5">
                  <c:v>9.4835085147745115</c:v>
                </c:pt>
                <c:pt idx="6">
                  <c:v>9.4835085147745115</c:v>
                </c:pt>
                <c:pt idx="7">
                  <c:v>9.4835085147745115</c:v>
                </c:pt>
              </c:numCache>
            </c:numRef>
          </c:val>
          <c:extLst>
            <c:ext xmlns:c16="http://schemas.microsoft.com/office/drawing/2014/chart" uri="{C3380CC4-5D6E-409C-BE32-E72D297353CC}">
              <c16:uniqueId val="{00000002-236A-41C8-97D2-06EF3A7728A3}"/>
            </c:ext>
          </c:extLst>
        </c:ser>
        <c:ser>
          <c:idx val="4"/>
          <c:order val="3"/>
          <c:tx>
            <c:strRef>
              <c:f>Figure_8_GHG_per_pkm_NewEScoot!$F$44</c:f>
              <c:strCache>
                <c:ptCount val="1"/>
                <c:pt idx="0">
                  <c:v>Operational services</c:v>
                </c:pt>
              </c:strCache>
            </c:strRef>
          </c:tx>
          <c:spPr>
            <a:solidFill>
              <a:srgbClr val="007DC3"/>
            </a:solidFill>
          </c:spPr>
          <c:invertIfNegative val="0"/>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Figure_8_GHG_per_pkm_NewEScoot!$F$47:$F$54</c:f>
              <c:numCache>
                <c:formatCode>0</c:formatCode>
                <c:ptCount val="8"/>
                <c:pt idx="0">
                  <c:v>24.702441658055509</c:v>
                </c:pt>
                <c:pt idx="1">
                  <c:v>24.702441658055509</c:v>
                </c:pt>
                <c:pt idx="2">
                  <c:v>16.468294438703676</c:v>
                </c:pt>
                <c:pt idx="3">
                  <c:v>12.351220829027755</c:v>
                </c:pt>
                <c:pt idx="4">
                  <c:v>24.702441658055509</c:v>
                </c:pt>
                <c:pt idx="5">
                  <c:v>0</c:v>
                </c:pt>
                <c:pt idx="6">
                  <c:v>16.468294438703673</c:v>
                </c:pt>
                <c:pt idx="7">
                  <c:v>0</c:v>
                </c:pt>
              </c:numCache>
            </c:numRef>
          </c:val>
          <c:extLst>
            <c:ext xmlns:c16="http://schemas.microsoft.com/office/drawing/2014/chart" uri="{C3380CC4-5D6E-409C-BE32-E72D297353CC}">
              <c16:uniqueId val="{00000003-236A-41C8-97D2-06EF3A7728A3}"/>
            </c:ext>
          </c:extLst>
        </c:ser>
        <c:dLbls>
          <c:showLegendKey val="0"/>
          <c:showVal val="0"/>
          <c:showCatName val="0"/>
          <c:showSerName val="0"/>
          <c:showPercent val="0"/>
          <c:showBubbleSize val="0"/>
        </c:dLbls>
        <c:gapWidth val="70"/>
        <c:overlap val="100"/>
        <c:axId val="148674816"/>
        <c:axId val="77959168"/>
      </c:barChart>
      <c:lineChart>
        <c:grouping val="standard"/>
        <c:varyColors val="0"/>
        <c:ser>
          <c:idx val="5"/>
          <c:order val="4"/>
          <c:tx>
            <c:strRef>
              <c:f>Figure_8_GHG_per_pkm_NewEScoot!$G$44</c:f>
              <c:strCache>
                <c:ptCount val="1"/>
                <c:pt idx="0">
                  <c:v>Shared e-scooter (first generati) - Central case</c:v>
                </c:pt>
              </c:strCache>
            </c:strRef>
          </c:tx>
          <c:spPr>
            <a:ln>
              <a:solidFill>
                <a:srgbClr val="E2001A"/>
              </a:solidFill>
            </a:ln>
          </c:spPr>
          <c:marker>
            <c:symbol val="none"/>
          </c:marker>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Figure_8_GHG_per_pkm_NewEScoot!$G$47:$G$54</c:f>
              <c:numCache>
                <c:formatCode>0</c:formatCode>
                <c:ptCount val="8"/>
                <c:pt idx="0">
                  <c:v>117.04803934532677</c:v>
                </c:pt>
                <c:pt idx="1">
                  <c:v>117.04803934532677</c:v>
                </c:pt>
                <c:pt idx="2">
                  <c:v>117.04803934532677</c:v>
                </c:pt>
                <c:pt idx="3">
                  <c:v>117.04803934532677</c:v>
                </c:pt>
                <c:pt idx="4">
                  <c:v>117.04803934532677</c:v>
                </c:pt>
                <c:pt idx="5">
                  <c:v>117.04803934532677</c:v>
                </c:pt>
                <c:pt idx="6">
                  <c:v>117.04803934532677</c:v>
                </c:pt>
                <c:pt idx="7">
                  <c:v>117.04803934532677</c:v>
                </c:pt>
              </c:numCache>
            </c:numRef>
          </c:val>
          <c:smooth val="0"/>
          <c:extLst>
            <c:ext xmlns:c16="http://schemas.microsoft.com/office/drawing/2014/chart" uri="{C3380CC4-5D6E-409C-BE32-E72D297353CC}">
              <c16:uniqueId val="{00000004-236A-41C8-97D2-06EF3A7728A3}"/>
            </c:ext>
          </c:extLst>
        </c:ser>
        <c:ser>
          <c:idx val="8"/>
          <c:order val="5"/>
          <c:tx>
            <c:strRef>
              <c:f>Figure_8_GHG_per_pkm_NewEScoot!$H$44</c:f>
              <c:strCache>
                <c:ptCount val="1"/>
                <c:pt idx="0">
                  <c:v>Private car - ICE - Central case</c:v>
                </c:pt>
              </c:strCache>
            </c:strRef>
          </c:tx>
          <c:spPr>
            <a:ln>
              <a:solidFill>
                <a:srgbClr val="EEA320"/>
              </a:solidFill>
            </a:ln>
          </c:spPr>
          <c:marker>
            <c:symbol val="none"/>
          </c:marker>
          <c:cat>
            <c:strRef>
              <c:f>Figure_8_GHG_per_pkm_NewEScoot!$B$47:$B$54</c:f>
              <c:strCache>
                <c:ptCount val="8"/>
                <c:pt idx="0">
                  <c:v>Shared e-scooter (new generation) - Central case</c:v>
                </c:pt>
                <c:pt idx="1">
                  <c:v>Low-carbon electricity in use phase</c:v>
                </c:pt>
                <c:pt idx="2">
                  <c:v>50% more vehicles per servicing trip</c:v>
                </c:pt>
                <c:pt idx="3">
                  <c:v>50% lower service distance</c:v>
                </c:pt>
                <c:pt idx="4">
                  <c:v>Low carbon Al smelting</c:v>
                </c:pt>
                <c:pt idx="5">
                  <c:v>Low-carbon EVs for operational services</c:v>
                </c:pt>
                <c:pt idx="6">
                  <c:v>50% higher daily e-scooter distance</c:v>
                </c:pt>
                <c:pt idx="7">
                  <c:v>All improvements combined</c:v>
                </c:pt>
              </c:strCache>
            </c:strRef>
          </c:cat>
          <c:val>
            <c:numRef>
              <c:f>Figure_8_GHG_per_pkm_NewEScoot!$H$47:$H$54</c:f>
              <c:numCache>
                <c:formatCode>0</c:formatCode>
                <c:ptCount val="8"/>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numCache>
            </c:numRef>
          </c:val>
          <c:smooth val="0"/>
          <c:extLst>
            <c:ext xmlns:c16="http://schemas.microsoft.com/office/drawing/2014/chart" uri="{C3380CC4-5D6E-409C-BE32-E72D297353CC}">
              <c16:uniqueId val="{00000005-236A-41C8-97D2-06EF3A7728A3}"/>
            </c:ext>
          </c:extLst>
        </c:ser>
        <c:dLbls>
          <c:showLegendKey val="0"/>
          <c:showVal val="0"/>
          <c:showCatName val="0"/>
          <c:showSerName val="0"/>
          <c:showPercent val="0"/>
          <c:showBubbleSize val="0"/>
        </c:dLbls>
        <c:marker val="1"/>
        <c:smooth val="0"/>
        <c:axId val="148674816"/>
        <c:axId val="77959168"/>
      </c:lineChart>
      <c:catAx>
        <c:axId val="148674816"/>
        <c:scaling>
          <c:orientation val="minMax"/>
        </c:scaling>
        <c:delete val="0"/>
        <c:axPos val="b"/>
        <c:numFmt formatCode="General" sourceLinked="1"/>
        <c:majorTickMark val="none"/>
        <c:minorTickMark val="none"/>
        <c:tickLblPos val="nextTo"/>
        <c:spPr>
          <a:ln>
            <a:solidFill>
              <a:schemeClr val="tx1"/>
            </a:solidFill>
          </a:ln>
        </c:spPr>
        <c:txPr>
          <a:bodyPr/>
          <a:lstStyle/>
          <a:p>
            <a:pPr>
              <a:defRPr>
                <a:latin typeface="Calibri Light" panose="020F0302020204030204" pitchFamily="34" charset="0"/>
                <a:cs typeface="Calibri Light" panose="020F0302020204030204" pitchFamily="34" charset="0"/>
              </a:defRPr>
            </a:pPr>
            <a:endParaRPr lang="en-FI"/>
          </a:p>
        </c:txPr>
        <c:crossAx val="77959168"/>
        <c:crosses val="autoZero"/>
        <c:auto val="1"/>
        <c:lblAlgn val="ctr"/>
        <c:lblOffset val="100"/>
        <c:noMultiLvlLbl val="0"/>
      </c:catAx>
      <c:valAx>
        <c:axId val="77959168"/>
        <c:scaling>
          <c:orientation val="minMax"/>
        </c:scaling>
        <c:delete val="0"/>
        <c:axPos val="l"/>
        <c:majorGridlines>
          <c:spPr>
            <a:ln w="12700" cap="rnd">
              <a:solidFill>
                <a:schemeClr val="tx1"/>
              </a:solidFill>
              <a:prstDash val="sysDot"/>
            </a:ln>
          </c:spPr>
        </c:majorGridlines>
        <c:title>
          <c:tx>
            <c:strRef>
              <c:f>Figure_8_GHG_per_pkm_NewEScoot!$C$11</c:f>
              <c:strCache>
                <c:ptCount val="1"/>
                <c:pt idx="0">
                  <c:v>GHG emissions per pkm [g CO₂/pkm]</c:v>
                </c:pt>
              </c:strCache>
            </c:strRef>
          </c:tx>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48674816"/>
        <c:crosses val="autoZero"/>
        <c:crossBetween val="between"/>
      </c:valAx>
      <c:spPr>
        <a:solidFill>
          <a:srgbClr val="F9F8F7"/>
        </a:solidFill>
        <a:ln>
          <a:noFill/>
        </a:ln>
      </c:spPr>
    </c:plotArea>
    <c:legend>
      <c:legendPos val="b"/>
      <c:layout>
        <c:manualLayout>
          <c:xMode val="edge"/>
          <c:yMode val="edge"/>
          <c:x val="7.15587128249104E-2"/>
          <c:y val="0.89794146300976807"/>
          <c:w val="0.91160766585061803"/>
          <c:h val="8.7000409059380793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61725200130412761"/>
        </c:manualLayout>
      </c:layout>
      <c:barChart>
        <c:barDir val="col"/>
        <c:grouping val="stacked"/>
        <c:varyColors val="0"/>
        <c:ser>
          <c:idx val="1"/>
          <c:order val="0"/>
          <c:tx>
            <c:strRef>
              <c:f>Figure_9_GHG_per_pkm_Cars!$D$44</c:f>
              <c:strCache>
                <c:ptCount val="1"/>
                <c:pt idx="0">
                  <c:v>Vehicle component</c:v>
                </c:pt>
              </c:strCache>
            </c:strRef>
          </c:tx>
          <c:spPr>
            <a:solidFill>
              <a:srgbClr val="003E7E"/>
            </a:solidFill>
          </c:spPr>
          <c:invertIfNegative val="0"/>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Figure_9_GHG_per_pkm_Cars!$D$45:$D$56</c:f>
              <c:numCache>
                <c:formatCode>0</c:formatCode>
                <c:ptCount val="12"/>
                <c:pt idx="0">
                  <c:v>41.64927411276431</c:v>
                </c:pt>
                <c:pt idx="1">
                  <c:v>36.486661607510747</c:v>
                </c:pt>
                <c:pt idx="2">
                  <c:v>36.234971903239021</c:v>
                </c:pt>
                <c:pt idx="3">
                  <c:v>46.811886618017894</c:v>
                </c:pt>
                <c:pt idx="4">
                  <c:v>46.957313094209155</c:v>
                </c:pt>
                <c:pt idx="5">
                  <c:v>41.64927411276431</c:v>
                </c:pt>
                <c:pt idx="6">
                  <c:v>37.744913578184971</c:v>
                </c:pt>
                <c:pt idx="7">
                  <c:v>47.515907344864623</c:v>
                </c:pt>
                <c:pt idx="8">
                  <c:v>37.744913578184971</c:v>
                </c:pt>
                <c:pt idx="9">
                  <c:v>37.744913578184971</c:v>
                </c:pt>
                <c:pt idx="10">
                  <c:v>32.596237936569302</c:v>
                </c:pt>
                <c:pt idx="11">
                  <c:v>29.842966869586352</c:v>
                </c:pt>
              </c:numCache>
            </c:numRef>
          </c:val>
          <c:extLst>
            <c:ext xmlns:c16="http://schemas.microsoft.com/office/drawing/2014/chart" uri="{C3380CC4-5D6E-409C-BE32-E72D297353CC}">
              <c16:uniqueId val="{00000000-E883-4D26-BF6C-9869C67DD10C}"/>
            </c:ext>
          </c:extLst>
        </c:ser>
        <c:ser>
          <c:idx val="2"/>
          <c:order val="1"/>
          <c:tx>
            <c:strRef>
              <c:f>Figure_9_GHG_per_pkm_Cars!$E$44</c:f>
              <c:strCache>
                <c:ptCount val="1"/>
                <c:pt idx="0">
                  <c:v>Fuel component</c:v>
                </c:pt>
              </c:strCache>
            </c:strRef>
          </c:tx>
          <c:spPr>
            <a:solidFill>
              <a:srgbClr val="7BC143"/>
            </a:solidFill>
          </c:spPr>
          <c:invertIfNegative val="0"/>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Figure_9_GHG_per_pkm_Cars!$E$45:$E$56</c:f>
              <c:numCache>
                <c:formatCode>0</c:formatCode>
                <c:ptCount val="12"/>
                <c:pt idx="0">
                  <c:v>0</c:v>
                </c:pt>
                <c:pt idx="1">
                  <c:v>16.426508205516896</c:v>
                </c:pt>
                <c:pt idx="2">
                  <c:v>16.426508205516896</c:v>
                </c:pt>
                <c:pt idx="3">
                  <c:v>16.426508205516896</c:v>
                </c:pt>
                <c:pt idx="4">
                  <c:v>17.268084769409189</c:v>
                </c:pt>
                <c:pt idx="5">
                  <c:v>134.73929417206867</c:v>
                </c:pt>
                <c:pt idx="6">
                  <c:v>0.8367214586828573</c:v>
                </c:pt>
                <c:pt idx="7">
                  <c:v>94.481920496077464</c:v>
                </c:pt>
                <c:pt idx="8">
                  <c:v>162.79128163523271</c:v>
                </c:pt>
                <c:pt idx="9">
                  <c:v>41.860816766149433</c:v>
                </c:pt>
                <c:pt idx="10">
                  <c:v>120.36400015290464</c:v>
                </c:pt>
                <c:pt idx="11">
                  <c:v>163.50651827999997</c:v>
                </c:pt>
              </c:numCache>
            </c:numRef>
          </c:val>
          <c:extLst>
            <c:ext xmlns:c16="http://schemas.microsoft.com/office/drawing/2014/chart" uri="{C3380CC4-5D6E-409C-BE32-E72D297353CC}">
              <c16:uniqueId val="{00000001-E883-4D26-BF6C-9869C67DD10C}"/>
            </c:ext>
          </c:extLst>
        </c:ser>
        <c:ser>
          <c:idx val="3"/>
          <c:order val="2"/>
          <c:tx>
            <c:strRef>
              <c:f>Figure_9_GHG_per_pkm_Cars!$F$44</c:f>
              <c:strCache>
                <c:ptCount val="1"/>
                <c:pt idx="0">
                  <c:v>Infrastructure component</c:v>
                </c:pt>
              </c:strCache>
            </c:strRef>
          </c:tx>
          <c:spPr>
            <a:solidFill>
              <a:srgbClr val="939598"/>
            </a:solidFill>
          </c:spPr>
          <c:invertIfNegative val="0"/>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Figure_9_GHG_per_pkm_Cars!$F$45:$F$56</c:f>
              <c:numCache>
                <c:formatCode>0</c:formatCode>
                <c:ptCount val="12"/>
                <c:pt idx="0">
                  <c:v>12.197157451329351</c:v>
                </c:pt>
                <c:pt idx="1">
                  <c:v>12.197157451329351</c:v>
                </c:pt>
                <c:pt idx="2">
                  <c:v>12.197157451329351</c:v>
                </c:pt>
                <c:pt idx="3">
                  <c:v>12.197157451329351</c:v>
                </c:pt>
                <c:pt idx="4">
                  <c:v>13.256105319669301</c:v>
                </c:pt>
                <c:pt idx="5">
                  <c:v>12.197157451329351</c:v>
                </c:pt>
                <c:pt idx="6">
                  <c:v>12.984188392693992</c:v>
                </c:pt>
                <c:pt idx="7">
                  <c:v>14.249525493909287</c:v>
                </c:pt>
                <c:pt idx="8">
                  <c:v>12.984188392693992</c:v>
                </c:pt>
                <c:pt idx="9">
                  <c:v>12.984188392693992</c:v>
                </c:pt>
                <c:pt idx="10">
                  <c:v>13.875075274876075</c:v>
                </c:pt>
                <c:pt idx="11">
                  <c:v>13.588504018815213</c:v>
                </c:pt>
              </c:numCache>
            </c:numRef>
          </c:val>
          <c:extLst>
            <c:ext xmlns:c16="http://schemas.microsoft.com/office/drawing/2014/chart" uri="{C3380CC4-5D6E-409C-BE32-E72D297353CC}">
              <c16:uniqueId val="{00000002-E883-4D26-BF6C-9869C67DD10C}"/>
            </c:ext>
          </c:extLst>
        </c:ser>
        <c:ser>
          <c:idx val="4"/>
          <c:order val="3"/>
          <c:tx>
            <c:strRef>
              <c:f>Figure_9_GHG_per_pkm_Cars!$G$44</c:f>
              <c:strCache>
                <c:ptCount val="1"/>
                <c:pt idx="0">
                  <c:v>Operational services</c:v>
                </c:pt>
              </c:strCache>
            </c:strRef>
          </c:tx>
          <c:spPr>
            <a:solidFill>
              <a:srgbClr val="007DC3"/>
            </a:solidFill>
          </c:spPr>
          <c:invertIfNegative val="0"/>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Figure_9_GHG_per_pkm_Cars!$G$45:$G$56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883-4D26-BF6C-9869C67DD10C}"/>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Figure_9_GHG_per_pkm_Cars!$H$44</c:f>
              <c:strCache>
                <c:ptCount val="1"/>
                <c:pt idx="0">
                  <c:v>Private car - ICE (central estimate)</c:v>
                </c:pt>
              </c:strCache>
            </c:strRef>
          </c:tx>
          <c:spPr>
            <a:ln>
              <a:solidFill>
                <a:srgbClr val="EEA320"/>
              </a:solidFill>
            </a:ln>
          </c:spPr>
          <c:marker>
            <c:symbol val="none"/>
          </c:marker>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Figure_9_GHG_per_pkm_Cars!$H$45:$H$56</c:f>
              <c:numCache>
                <c:formatCode>0</c:formatCode>
                <c:ptCount val="12"/>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pt idx="10">
                  <c:v>161.97203672281782</c:v>
                </c:pt>
                <c:pt idx="11">
                  <c:v>161.97203672281782</c:v>
                </c:pt>
              </c:numCache>
            </c:numRef>
          </c:val>
          <c:smooth val="0"/>
          <c:extLst>
            <c:ext xmlns:c16="http://schemas.microsoft.com/office/drawing/2014/chart" uri="{C3380CC4-5D6E-409C-BE32-E72D297353CC}">
              <c16:uniqueId val="{00000004-E883-4D26-BF6C-9869C67DD10C}"/>
            </c:ext>
          </c:extLst>
        </c:ser>
        <c:ser>
          <c:idx val="6"/>
          <c:order val="5"/>
          <c:tx>
            <c:strRef>
              <c:f>Figure_9_GHG_per_pkm_Cars!$I$44</c:f>
              <c:strCache>
                <c:ptCount val="1"/>
                <c:pt idx="0">
                  <c:v>Private car - HEV (central estimate)</c:v>
                </c:pt>
              </c:strCache>
            </c:strRef>
          </c:tx>
          <c:spPr>
            <a:ln>
              <a:noFill/>
            </a:ln>
          </c:spPr>
          <c:marker>
            <c:symbol val="dash"/>
            <c:size val="8"/>
            <c:spPr>
              <a:solidFill>
                <a:srgbClr val="E2001A"/>
              </a:solidFill>
              <a:ln>
                <a:solidFill>
                  <a:srgbClr val="C6003A"/>
                </a:solidFill>
              </a:ln>
            </c:spPr>
          </c:marker>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Figure_9_GHG_per_pkm_Cars!$I$45:$I$56</c:f>
              <c:numCache>
                <c:formatCode>0</c:formatCode>
                <c:ptCount val="12"/>
                <c:pt idx="10">
                  <c:v>132.2777663422327</c:v>
                </c:pt>
              </c:numCache>
            </c:numRef>
          </c:val>
          <c:smooth val="0"/>
          <c:extLst>
            <c:ext xmlns:c16="http://schemas.microsoft.com/office/drawing/2014/chart" uri="{C3380CC4-5D6E-409C-BE32-E72D297353CC}">
              <c16:uniqueId val="{00000005-E883-4D26-BF6C-9869C67DD10C}"/>
            </c:ext>
          </c:extLst>
        </c:ser>
        <c:ser>
          <c:idx val="5"/>
          <c:order val="6"/>
          <c:tx>
            <c:strRef>
              <c:f>Figure_9_GHG_per_pkm_Cars!$J$44</c:f>
              <c:strCache>
                <c:ptCount val="1"/>
                <c:pt idx="0">
                  <c:v>Private car - BEV (central estimate)</c:v>
                </c:pt>
              </c:strCache>
            </c:strRef>
          </c:tx>
          <c:spPr>
            <a:ln>
              <a:solidFill>
                <a:srgbClr val="9E005D"/>
              </a:solidFill>
            </a:ln>
          </c:spPr>
          <c:marker>
            <c:symbol val="none"/>
          </c:marker>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Figure_9_GHG_per_pkm_Cars!$J$45:$J$56</c:f>
              <c:numCache>
                <c:formatCode>0</c:formatCode>
                <c:ptCount val="12"/>
                <c:pt idx="0">
                  <c:v>70.272939769610559</c:v>
                </c:pt>
                <c:pt idx="1">
                  <c:v>70.272939769610559</c:v>
                </c:pt>
                <c:pt idx="2">
                  <c:v>70.272939769610559</c:v>
                </c:pt>
                <c:pt idx="3">
                  <c:v>70.272939769610559</c:v>
                </c:pt>
                <c:pt idx="4">
                  <c:v>70.272939769610559</c:v>
                </c:pt>
                <c:pt idx="5">
                  <c:v>70.272939769610559</c:v>
                </c:pt>
              </c:numCache>
            </c:numRef>
          </c:val>
          <c:smooth val="0"/>
          <c:extLst>
            <c:ext xmlns:c16="http://schemas.microsoft.com/office/drawing/2014/chart" uri="{C3380CC4-5D6E-409C-BE32-E72D297353CC}">
              <c16:uniqueId val="{00000006-E883-4D26-BF6C-9869C67DD10C}"/>
            </c:ext>
          </c:extLst>
        </c:ser>
        <c:ser>
          <c:idx val="0"/>
          <c:order val="7"/>
          <c:tx>
            <c:strRef>
              <c:f>Figure_9_GHG_per_pkm_Cars!$K$44</c:f>
              <c:strCache>
                <c:ptCount val="1"/>
                <c:pt idx="0">
                  <c:v>Private car - FCEV (central estimate)</c:v>
                </c:pt>
              </c:strCache>
            </c:strRef>
          </c:tx>
          <c:spPr>
            <a:ln>
              <a:solidFill>
                <a:srgbClr val="00909D"/>
              </a:solidFill>
            </a:ln>
          </c:spPr>
          <c:marker>
            <c:symbol val="none"/>
          </c:marker>
          <c:cat>
            <c:multiLvlStrRef>
              <c:f>Figure_9_GHG_per_pkm_Cars!$B$45:$C$56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Figure_9_GHG_per_pkm_Cars!$K$45:$K$56</c:f>
              <c:numCache>
                <c:formatCode>0</c:formatCode>
                <c:ptCount val="12"/>
                <c:pt idx="6">
                  <c:v>133.40880708387149</c:v>
                </c:pt>
                <c:pt idx="7">
                  <c:v>133.40880708387149</c:v>
                </c:pt>
                <c:pt idx="8">
                  <c:v>133.40880708387149</c:v>
                </c:pt>
                <c:pt idx="9">
                  <c:v>133.40880708387149</c:v>
                </c:pt>
              </c:numCache>
            </c:numRef>
          </c:val>
          <c:smooth val="0"/>
          <c:extLst>
            <c:ext xmlns:c16="http://schemas.microsoft.com/office/drawing/2014/chart" uri="{C3380CC4-5D6E-409C-BE32-E72D297353CC}">
              <c16:uniqueId val="{00000007-E883-4D26-BF6C-9869C67DD10C}"/>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Figure_9_GHG_per_pkm_Cars!$C$11</c:f>
              <c:strCache>
                <c:ptCount val="1"/>
                <c:pt idx="0">
                  <c:v>GHG emissions per pkm [g CO₂/pkm]</c:v>
                </c:pt>
              </c:strCache>
            </c:strRef>
          </c:tx>
          <c:layout>
            <c:manualLayout>
              <c:xMode val="edge"/>
              <c:yMode val="edge"/>
              <c:x val="1.6577272727272729E-2"/>
              <c:y val="5.1401690821256028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40"/>
      </c:valAx>
      <c:spPr>
        <a:solidFill>
          <a:srgbClr val="F9F8F7"/>
        </a:solidFill>
        <a:ln>
          <a:noFill/>
        </a:ln>
      </c:spPr>
    </c:plotArea>
    <c:legend>
      <c:legendPos val="b"/>
      <c:layout>
        <c:manualLayout>
          <c:xMode val="edge"/>
          <c:yMode val="edge"/>
          <c:x val="5.9711828235166096E-2"/>
          <c:y val="0.86726521739130447"/>
          <c:w val="0.94028817176483392"/>
          <c:h val="0.13273478260869565"/>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'0_Total'!$A$99</c:f>
              <c:strCache>
                <c:ptCount val="1"/>
                <c:pt idx="0">
                  <c:v>Vehicle and battery manufacturing, assembly and disposal - Including fluids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'0_Total'!$D$99:$ED$99</c:f>
              <c:numCache>
                <c:formatCode>General</c:formatCode>
                <c:ptCount val="131"/>
                <c:pt idx="0">
                  <c:v>24.73579149096523</c:v>
                </c:pt>
                <c:pt idx="1">
                  <c:v>270.88822642106629</c:v>
                </c:pt>
                <c:pt idx="2">
                  <c:v>14.822806505180806</c:v>
                </c:pt>
                <c:pt idx="3">
                  <c:v>135.10859904030661</c:v>
                </c:pt>
                <c:pt idx="4">
                  <c:v>45.036199680102207</c:v>
                </c:pt>
                <c:pt idx="5">
                  <c:v>67.554299520153307</c:v>
                </c:pt>
                <c:pt idx="6">
                  <c:v>67.554299520153307</c:v>
                </c:pt>
                <c:pt idx="7">
                  <c:v>67.554299520153307</c:v>
                </c:pt>
                <c:pt idx="8">
                  <c:v>67.554299520153307</c:v>
                </c:pt>
                <c:pt idx="9">
                  <c:v>67.554299520153307</c:v>
                </c:pt>
                <c:pt idx="10">
                  <c:v>67.554299520153307</c:v>
                </c:pt>
                <c:pt idx="11">
                  <c:v>37.530166400085179</c:v>
                </c:pt>
                <c:pt idx="12">
                  <c:v>112.59049920025552</c:v>
                </c:pt>
                <c:pt idx="13">
                  <c:v>64.377893046281571</c:v>
                </c:pt>
                <c:pt idx="14">
                  <c:v>70.73070599402503</c:v>
                </c:pt>
                <c:pt idx="15">
                  <c:v>81.266467926319876</c:v>
                </c:pt>
                <c:pt idx="16">
                  <c:v>40.021577563988167</c:v>
                </c:pt>
                <c:pt idx="17">
                  <c:v>67.554299520153307</c:v>
                </c:pt>
                <c:pt idx="18">
                  <c:v>67.554299520153307</c:v>
                </c:pt>
                <c:pt idx="19">
                  <c:v>67.554299520153307</c:v>
                </c:pt>
                <c:pt idx="20">
                  <c:v>25.411071788472839</c:v>
                </c:pt>
                <c:pt idx="21">
                  <c:v>62.385726120946849</c:v>
                </c:pt>
                <c:pt idx="22">
                  <c:v>62.385726120946849</c:v>
                </c:pt>
                <c:pt idx="23">
                  <c:v>41.590484080631235</c:v>
                </c:pt>
                <c:pt idx="24">
                  <c:v>38.116607682709251</c:v>
                </c:pt>
                <c:pt idx="25">
                  <c:v>62.385726120946849</c:v>
                </c:pt>
                <c:pt idx="26">
                  <c:v>62.385726120946849</c:v>
                </c:pt>
                <c:pt idx="27">
                  <c:v>62.385726120946849</c:v>
                </c:pt>
                <c:pt idx="28">
                  <c:v>61.776061776061773</c:v>
                </c:pt>
                <c:pt idx="29">
                  <c:v>6.688177195616329</c:v>
                </c:pt>
                <c:pt idx="30">
                  <c:v>11.491698300447505</c:v>
                </c:pt>
                <c:pt idx="31">
                  <c:v>20.760955028048802</c:v>
                </c:pt>
                <c:pt idx="32">
                  <c:v>34.115379988835301</c:v>
                </c:pt>
                <c:pt idx="33">
                  <c:v>7.1247711248743535</c:v>
                </c:pt>
                <c:pt idx="34">
                  <c:v>8.9569586356429127</c:v>
                </c:pt>
                <c:pt idx="35">
                  <c:v>17.802844728140915</c:v>
                </c:pt>
                <c:pt idx="36">
                  <c:v>32.250238330216007</c:v>
                </c:pt>
                <c:pt idx="37">
                  <c:v>23.35064581327855</c:v>
                </c:pt>
                <c:pt idx="38">
                  <c:v>25.429816879002782</c:v>
                </c:pt>
                <c:pt idx="39">
                  <c:v>31.153401521110357</c:v>
                </c:pt>
                <c:pt idx="40">
                  <c:v>41.026913324843555</c:v>
                </c:pt>
                <c:pt idx="41">
                  <c:v>41.026913324843555</c:v>
                </c:pt>
                <c:pt idx="42">
                  <c:v>41.026913324843555</c:v>
                </c:pt>
                <c:pt idx="43">
                  <c:v>35.612611115318266</c:v>
                </c:pt>
                <c:pt idx="44">
                  <c:v>35.900398159844805</c:v>
                </c:pt>
                <c:pt idx="45">
                  <c:v>46.153428489842319</c:v>
                </c:pt>
                <c:pt idx="46">
                  <c:v>41.026913324843555</c:v>
                </c:pt>
                <c:pt idx="47">
                  <c:v>37.163628636271454</c:v>
                </c:pt>
                <c:pt idx="48">
                  <c:v>37.163628636271454</c:v>
                </c:pt>
                <c:pt idx="49">
                  <c:v>37.163628636271454</c:v>
                </c:pt>
                <c:pt idx="50">
                  <c:v>37.163628636271454</c:v>
                </c:pt>
                <c:pt idx="51">
                  <c:v>13.02577019147018</c:v>
                </c:pt>
                <c:pt idx="52">
                  <c:v>25.956043534029284</c:v>
                </c:pt>
                <c:pt idx="53">
                  <c:v>18.908376084392195</c:v>
                </c:pt>
                <c:pt idx="54">
                  <c:v>33.911918946758561</c:v>
                </c:pt>
                <c:pt idx="55">
                  <c:v>16.955959473379281</c:v>
                </c:pt>
                <c:pt idx="56">
                  <c:v>17.502925908004418</c:v>
                </c:pt>
                <c:pt idx="57">
                  <c:v>21.878657385005528</c:v>
                </c:pt>
                <c:pt idx="58">
                  <c:v>23.759253048688674</c:v>
                </c:pt>
                <c:pt idx="59">
                  <c:v>28.698910082028217</c:v>
                </c:pt>
                <c:pt idx="60">
                  <c:v>58.88177333845929</c:v>
                </c:pt>
                <c:pt idx="61">
                  <c:v>29.440886669229645</c:v>
                </c:pt>
                <c:pt idx="62">
                  <c:v>30.390592690817694</c:v>
                </c:pt>
                <c:pt idx="63">
                  <c:v>37.988240863522122</c:v>
                </c:pt>
                <c:pt idx="64">
                  <c:v>37.988240863522122</c:v>
                </c:pt>
                <c:pt idx="65">
                  <c:v>32.862952634540385</c:v>
                </c:pt>
                <c:pt idx="66">
                  <c:v>32.950061262032378</c:v>
                </c:pt>
                <c:pt idx="67">
                  <c:v>43.026420465011874</c:v>
                </c:pt>
                <c:pt idx="68">
                  <c:v>37.988240863522122</c:v>
                </c:pt>
                <c:pt idx="69">
                  <c:v>95.6445691519977</c:v>
                </c:pt>
                <c:pt idx="70">
                  <c:v>47.82228457599885</c:v>
                </c:pt>
                <c:pt idx="71">
                  <c:v>49.364938917160096</c:v>
                </c:pt>
                <c:pt idx="72">
                  <c:v>61.706173646450132</c:v>
                </c:pt>
                <c:pt idx="73">
                  <c:v>61.706173646450132</c:v>
                </c:pt>
                <c:pt idx="74">
                  <c:v>52.629914343715733</c:v>
                </c:pt>
                <c:pt idx="75">
                  <c:v>51.629814443470629</c:v>
                </c:pt>
                <c:pt idx="76">
                  <c:v>71.7825328494296</c:v>
                </c:pt>
                <c:pt idx="77">
                  <c:v>61.706173646450132</c:v>
                </c:pt>
                <c:pt idx="78">
                  <c:v>31.305649664200015</c:v>
                </c:pt>
                <c:pt idx="79">
                  <c:v>31.305649664200015</c:v>
                </c:pt>
                <c:pt idx="80">
                  <c:v>31.305649664200015</c:v>
                </c:pt>
                <c:pt idx="81">
                  <c:v>31.967763503099626</c:v>
                </c:pt>
                <c:pt idx="82">
                  <c:v>28.42146875975434</c:v>
                </c:pt>
                <c:pt idx="83">
                  <c:v>30.045743731136174</c:v>
                </c:pt>
                <c:pt idx="84">
                  <c:v>36.132533887513077</c:v>
                </c:pt>
                <c:pt idx="85">
                  <c:v>49.663478010983638</c:v>
                </c:pt>
                <c:pt idx="86">
                  <c:v>75.842865828064035</c:v>
                </c:pt>
                <c:pt idx="87">
                  <c:v>41.527721547723829</c:v>
                </c:pt>
                <c:pt idx="88">
                  <c:v>29.191462354293481</c:v>
                </c:pt>
                <c:pt idx="89">
                  <c:v>31.901739610409269</c:v>
                </c:pt>
                <c:pt idx="90">
                  <c:v>37.413263846015298</c:v>
                </c:pt>
                <c:pt idx="91">
                  <c:v>46.202877021572988</c:v>
                </c:pt>
                <c:pt idx="92">
                  <c:v>46.774706418161948</c:v>
                </c:pt>
                <c:pt idx="93">
                  <c:v>27.396187821028608</c:v>
                </c:pt>
                <c:pt idx="94">
                  <c:v>29.833196822628597</c:v>
                </c:pt>
                <c:pt idx="95">
                  <c:v>34.616393944311604</c:v>
                </c:pt>
                <c:pt idx="96">
                  <c:v>42.500120722440599</c:v>
                </c:pt>
                <c:pt idx="97">
                  <c:v>62.958772474663121</c:v>
                </c:pt>
                <c:pt idx="98">
                  <c:v>40.245248337701874</c:v>
                </c:pt>
                <c:pt idx="99">
                  <c:v>8.0741908525132082</c:v>
                </c:pt>
                <c:pt idx="100">
                  <c:v>8.7060142463708488</c:v>
                </c:pt>
                <c:pt idx="101">
                  <c:v>9.2100694296772652</c:v>
                </c:pt>
                <c:pt idx="102">
                  <c:v>12.366718090653057</c:v>
                </c:pt>
                <c:pt idx="103">
                  <c:v>18.188861539960591</c:v>
                </c:pt>
                <c:pt idx="104">
                  <c:v>11.626898379417703</c:v>
                </c:pt>
                <c:pt idx="105">
                  <c:v>6.3772586554367487</c:v>
                </c:pt>
                <c:pt idx="106">
                  <c:v>6.3037728701766982</c:v>
                </c:pt>
                <c:pt idx="108">
                  <c:v>11.964054286275404</c:v>
                </c:pt>
                <c:pt idx="109">
                  <c:v>17.521618970717576</c:v>
                </c:pt>
                <c:pt idx="110">
                  <c:v>9.7595570788675658</c:v>
                </c:pt>
                <c:pt idx="111">
                  <c:v>10.450425615234833</c:v>
                </c:pt>
                <c:pt idx="112">
                  <c:v>6.4334585960336144</c:v>
                </c:pt>
                <c:pt idx="113">
                  <c:v>7.939821228234071</c:v>
                </c:pt>
                <c:pt idx="114">
                  <c:v>7.9398212282340719</c:v>
                </c:pt>
                <c:pt idx="115">
                  <c:v>15.879642456468142</c:v>
                </c:pt>
                <c:pt idx="116">
                  <c:v>5.2932141521560476</c:v>
                </c:pt>
                <c:pt idx="117">
                  <c:v>7.8693884492855446</c:v>
                </c:pt>
                <c:pt idx="118">
                  <c:v>7.8486211512578885</c:v>
                </c:pt>
                <c:pt idx="119">
                  <c:v>16.822043669601264</c:v>
                </c:pt>
                <c:pt idx="120">
                  <c:v>16.822043669601264</c:v>
                </c:pt>
                <c:pt idx="121">
                  <c:v>13.53010577162568</c:v>
                </c:pt>
                <c:pt idx="122">
                  <c:v>10.884942287579674</c:v>
                </c:pt>
                <c:pt idx="123">
                  <c:v>10.854654696906609</c:v>
                </c:pt>
                <c:pt idx="124">
                  <c:v>1.9997711156197073</c:v>
                </c:pt>
                <c:pt idx="125">
                  <c:v>1.9997711156197073</c:v>
                </c:pt>
                <c:pt idx="126">
                  <c:v>1.9997711156197073</c:v>
                </c:pt>
                <c:pt idx="127">
                  <c:v>1.9997711156197073</c:v>
                </c:pt>
                <c:pt idx="128">
                  <c:v>2.6663614874929431</c:v>
                </c:pt>
                <c:pt idx="129">
                  <c:v>1.5998168924957659</c:v>
                </c:pt>
                <c:pt idx="130">
                  <c:v>1.9997711156197073</c:v>
                </c:pt>
              </c:numCache>
            </c:numRef>
          </c:val>
          <c:extLst>
            <c:ext xmlns:c16="http://schemas.microsoft.com/office/drawing/2014/chart" uri="{C3380CC4-5D6E-409C-BE32-E72D297353CC}">
              <c16:uniqueId val="{00000000-A6B2-4486-BD11-280D189E8A63}"/>
            </c:ext>
          </c:extLst>
        </c:ser>
        <c:ser>
          <c:idx val="1"/>
          <c:order val="1"/>
          <c:tx>
            <c:strRef>
              <c:f>'0_Total'!$A$100</c:f>
              <c:strCache>
                <c:ptCount val="1"/>
                <c:pt idx="0">
                  <c:v>Vehicle delivery at point of purchase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'0_Total'!$D$100:$ED$100</c:f>
              <c:numCache>
                <c:formatCode>General</c:formatCode>
                <c:ptCount val="131"/>
                <c:pt idx="0">
                  <c:v>1.4285308396165375</c:v>
                </c:pt>
                <c:pt idx="1">
                  <c:v>13.004556608922963</c:v>
                </c:pt>
                <c:pt idx="2">
                  <c:v>1.4449507343247736</c:v>
                </c:pt>
                <c:pt idx="3">
                  <c:v>7.8027339653537764</c:v>
                </c:pt>
                <c:pt idx="4">
                  <c:v>2.6009113217845923</c:v>
                </c:pt>
                <c:pt idx="5">
                  <c:v>3.9013669826768882</c:v>
                </c:pt>
                <c:pt idx="6">
                  <c:v>3.9013669826768882</c:v>
                </c:pt>
                <c:pt idx="7">
                  <c:v>3.9013669826768882</c:v>
                </c:pt>
                <c:pt idx="8">
                  <c:v>3.9013669826768882</c:v>
                </c:pt>
                <c:pt idx="9">
                  <c:v>3.9013669826768882</c:v>
                </c:pt>
                <c:pt idx="10">
                  <c:v>3.9013669826768882</c:v>
                </c:pt>
                <c:pt idx="11">
                  <c:v>2.1674261014871603</c:v>
                </c:pt>
                <c:pt idx="12">
                  <c:v>6.5022783044614814</c:v>
                </c:pt>
                <c:pt idx="13">
                  <c:v>3.9013669826768882</c:v>
                </c:pt>
                <c:pt idx="14">
                  <c:v>3.9013669826768882</c:v>
                </c:pt>
                <c:pt idx="15">
                  <c:v>3.9013669826768882</c:v>
                </c:pt>
                <c:pt idx="16">
                  <c:v>3.9013669826768882</c:v>
                </c:pt>
                <c:pt idx="17">
                  <c:v>3.9013669826768882</c:v>
                </c:pt>
                <c:pt idx="18">
                  <c:v>3.9013669826768882</c:v>
                </c:pt>
                <c:pt idx="19">
                  <c:v>3.9013669826768882</c:v>
                </c:pt>
                <c:pt idx="20">
                  <c:v>2.1267703682506682</c:v>
                </c:pt>
                <c:pt idx="21">
                  <c:v>3.1901555523760021</c:v>
                </c:pt>
                <c:pt idx="22">
                  <c:v>3.1901555523760021</c:v>
                </c:pt>
                <c:pt idx="23">
                  <c:v>2.1267703682506682</c:v>
                </c:pt>
                <c:pt idx="24">
                  <c:v>3.1901555523760021</c:v>
                </c:pt>
                <c:pt idx="25">
                  <c:v>3.1901555523760021</c:v>
                </c:pt>
                <c:pt idx="26">
                  <c:v>3.1901555523760021</c:v>
                </c:pt>
                <c:pt idx="27">
                  <c:v>3.1901555523760021</c:v>
                </c:pt>
                <c:pt idx="28">
                  <c:v>2.9122173101063002</c:v>
                </c:pt>
                <c:pt idx="29">
                  <c:v>0.77891338959255574</c:v>
                </c:pt>
                <c:pt idx="30">
                  <c:v>1.0462243650270233</c:v>
                </c:pt>
                <c:pt idx="31">
                  <c:v>2.5519519901929568</c:v>
                </c:pt>
                <c:pt idx="32">
                  <c:v>3.0161386199913904</c:v>
                </c:pt>
                <c:pt idx="33">
                  <c:v>0.86037509259922573</c:v>
                </c:pt>
                <c:pt idx="34">
                  <c:v>0.84191496895520046</c:v>
                </c:pt>
                <c:pt idx="35">
                  <c:v>2.1498408739093349</c:v>
                </c:pt>
                <c:pt idx="36">
                  <c:v>2.3121786136421951</c:v>
                </c:pt>
                <c:pt idx="37">
                  <c:v>0.51280657541198993</c:v>
                </c:pt>
                <c:pt idx="38">
                  <c:v>0.54794640461063804</c:v>
                </c:pt>
                <c:pt idx="39">
                  <c:v>0.60700667783382734</c:v>
                </c:pt>
                <c:pt idx="40">
                  <c:v>0.62236078792075766</c:v>
                </c:pt>
                <c:pt idx="41">
                  <c:v>0.62236078792075766</c:v>
                </c:pt>
                <c:pt idx="42">
                  <c:v>0.62236078792075766</c:v>
                </c:pt>
                <c:pt idx="43">
                  <c:v>0.62236078792075766</c:v>
                </c:pt>
                <c:pt idx="44">
                  <c:v>0.5862634476659393</c:v>
                </c:pt>
                <c:pt idx="45">
                  <c:v>0.65845812817557592</c:v>
                </c:pt>
                <c:pt idx="46">
                  <c:v>0.62236078792075766</c:v>
                </c:pt>
                <c:pt idx="47">
                  <c:v>0.58128494191351765</c:v>
                </c:pt>
                <c:pt idx="48">
                  <c:v>0.58128494191351765</c:v>
                </c:pt>
                <c:pt idx="49">
                  <c:v>0.58128494191351765</c:v>
                </c:pt>
                <c:pt idx="50">
                  <c:v>0.58128494191351765</c:v>
                </c:pt>
                <c:pt idx="51">
                  <c:v>0.25718221881959058</c:v>
                </c:pt>
                <c:pt idx="52">
                  <c:v>0.51247893750120754</c:v>
                </c:pt>
                <c:pt idx="53">
                  <c:v>0.3733290273187605</c:v>
                </c:pt>
                <c:pt idx="54">
                  <c:v>0.66956060416824426</c:v>
                </c:pt>
                <c:pt idx="55">
                  <c:v>0.33478030208412213</c:v>
                </c:pt>
                <c:pt idx="56">
                  <c:v>0.34557966666748086</c:v>
                </c:pt>
                <c:pt idx="57">
                  <c:v>0.43197458333435113</c:v>
                </c:pt>
                <c:pt idx="58">
                  <c:v>0.46157543832403419</c:v>
                </c:pt>
                <c:pt idx="59">
                  <c:v>0.51132623743713712</c:v>
                </c:pt>
                <c:pt idx="60">
                  <c:v>0.84402421996319532</c:v>
                </c:pt>
                <c:pt idx="61">
                  <c:v>0.42201210998159766</c:v>
                </c:pt>
                <c:pt idx="62">
                  <c:v>0.43562540385197174</c:v>
                </c:pt>
                <c:pt idx="63">
                  <c:v>0.54453175481496474</c:v>
                </c:pt>
                <c:pt idx="64">
                  <c:v>0.54453175481496474</c:v>
                </c:pt>
                <c:pt idx="65">
                  <c:v>0.54453175481496474</c:v>
                </c:pt>
                <c:pt idx="66">
                  <c:v>0.50905641191896767</c:v>
                </c:pt>
                <c:pt idx="67">
                  <c:v>0.58000709771096204</c:v>
                </c:pt>
                <c:pt idx="68">
                  <c:v>0.54453175481496474</c:v>
                </c:pt>
                <c:pt idx="69">
                  <c:v>1.0639713459183782</c:v>
                </c:pt>
                <c:pt idx="70">
                  <c:v>0.53198567295918908</c:v>
                </c:pt>
                <c:pt idx="71">
                  <c:v>0.54914650111916286</c:v>
                </c:pt>
                <c:pt idx="72">
                  <c:v>0.6864331263989536</c:v>
                </c:pt>
                <c:pt idx="73">
                  <c:v>0.6864331263989536</c:v>
                </c:pt>
                <c:pt idx="74">
                  <c:v>0.6864331263989536</c:v>
                </c:pt>
                <c:pt idx="75">
                  <c:v>0.61548244060695922</c:v>
                </c:pt>
                <c:pt idx="76">
                  <c:v>0.75738381219094786</c:v>
                </c:pt>
                <c:pt idx="77">
                  <c:v>0.6864331263989536</c:v>
                </c:pt>
                <c:pt idx="78">
                  <c:v>0.48965893305851194</c:v>
                </c:pt>
                <c:pt idx="79">
                  <c:v>0.48965893305851194</c:v>
                </c:pt>
                <c:pt idx="80">
                  <c:v>0.48965893305851194</c:v>
                </c:pt>
                <c:pt idx="81">
                  <c:v>0.48965893305851194</c:v>
                </c:pt>
                <c:pt idx="82">
                  <c:v>0.56115656044138273</c:v>
                </c:pt>
                <c:pt idx="83">
                  <c:v>0.59960954960551116</c:v>
                </c:pt>
                <c:pt idx="84">
                  <c:v>0.66423832265512894</c:v>
                </c:pt>
                <c:pt idx="85">
                  <c:v>0.7073739483106688</c:v>
                </c:pt>
                <c:pt idx="86">
                  <c:v>0.89171091782711942</c:v>
                </c:pt>
                <c:pt idx="87">
                  <c:v>0.63609141200752994</c:v>
                </c:pt>
                <c:pt idx="88">
                  <c:v>0.65150451529287146</c:v>
                </c:pt>
                <c:pt idx="89">
                  <c:v>0.69449832616003537</c:v>
                </c:pt>
                <c:pt idx="90">
                  <c:v>0.75849078495400846</c:v>
                </c:pt>
                <c:pt idx="91">
                  <c:v>0.75443607263617052</c:v>
                </c:pt>
                <c:pt idx="92">
                  <c:v>0.74120092670267479</c:v>
                </c:pt>
                <c:pt idx="93">
                  <c:v>0.54881002902114195</c:v>
                </c:pt>
                <c:pt idx="94">
                  <c:v>0.58502686871431098</c:v>
                </c:pt>
                <c:pt idx="95">
                  <c:v>0.63893240941814955</c:v>
                </c:pt>
                <c:pt idx="96">
                  <c:v>0.65578845240678008</c:v>
                </c:pt>
                <c:pt idx="97">
                  <c:v>0.79768982399076904</c:v>
                </c:pt>
                <c:pt idx="98">
                  <c:v>0.62436789392216685</c:v>
                </c:pt>
                <c:pt idx="99">
                  <c:v>0.15855184650597362</c:v>
                </c:pt>
                <c:pt idx="100">
                  <c:v>0.16901493301006809</c:v>
                </c:pt>
                <c:pt idx="101">
                  <c:v>0.18458830551337427</c:v>
                </c:pt>
                <c:pt idx="102">
                  <c:v>0.18945803565551148</c:v>
                </c:pt>
                <c:pt idx="103">
                  <c:v>0.2304535045730538</c:v>
                </c:pt>
                <c:pt idx="104">
                  <c:v>0.18038060029072794</c:v>
                </c:pt>
                <c:pt idx="105">
                  <c:v>0.1322437913310876</c:v>
                </c:pt>
                <c:pt idx="106">
                  <c:v>0.13583048242647483</c:v>
                </c:pt>
                <c:pt idx="108">
                  <c:v>0.17651810188764669</c:v>
                </c:pt>
                <c:pt idx="109">
                  <c:v>0.21565059188244026</c:v>
                </c:pt>
                <c:pt idx="110">
                  <c:v>0.15356610604743517</c:v>
                </c:pt>
                <c:pt idx="111">
                  <c:v>0.19243583565461209</c:v>
                </c:pt>
                <c:pt idx="112">
                  <c:v>0.11546150139276726</c:v>
                </c:pt>
                <c:pt idx="113">
                  <c:v>0.14432687674095906</c:v>
                </c:pt>
                <c:pt idx="114">
                  <c:v>0.14432687674095906</c:v>
                </c:pt>
                <c:pt idx="115">
                  <c:v>0.28865375348191813</c:v>
                </c:pt>
                <c:pt idx="116">
                  <c:v>9.6217917827306043E-2</c:v>
                </c:pt>
                <c:pt idx="117">
                  <c:v>0.14432687674095906</c:v>
                </c:pt>
                <c:pt idx="118">
                  <c:v>0.14438992966823738</c:v>
                </c:pt>
                <c:pt idx="119">
                  <c:v>0.23893677381355319</c:v>
                </c:pt>
                <c:pt idx="120">
                  <c:v>0.23893677381355319</c:v>
                </c:pt>
                <c:pt idx="121">
                  <c:v>0.20001907146764875</c:v>
                </c:pt>
                <c:pt idx="122">
                  <c:v>0.17054391427396204</c:v>
                </c:pt>
                <c:pt idx="123">
                  <c:v>0.17054391427396204</c:v>
                </c:pt>
                <c:pt idx="124">
                  <c:v>2.8489666429629284E-2</c:v>
                </c:pt>
                <c:pt idx="125">
                  <c:v>2.8489666429629284E-2</c:v>
                </c:pt>
                <c:pt idx="126">
                  <c:v>2.8489666429629284E-2</c:v>
                </c:pt>
                <c:pt idx="127">
                  <c:v>2.8489666429629284E-2</c:v>
                </c:pt>
                <c:pt idx="128">
                  <c:v>3.7986221906172381E-2</c:v>
                </c:pt>
                <c:pt idx="129">
                  <c:v>2.2791733143703426E-2</c:v>
                </c:pt>
                <c:pt idx="130">
                  <c:v>2.8489666429629284E-2</c:v>
                </c:pt>
              </c:numCache>
            </c:numRef>
          </c:val>
          <c:extLst>
            <c:ext xmlns:c16="http://schemas.microsoft.com/office/drawing/2014/chart" uri="{C3380CC4-5D6E-409C-BE32-E72D297353CC}">
              <c16:uniqueId val="{00000001-A6B2-4486-BD11-280D189E8A63}"/>
            </c:ext>
          </c:extLst>
        </c:ser>
        <c:ser>
          <c:idx val="2"/>
          <c:order val="2"/>
          <c:tx>
            <c:strRef>
              <c:f>'0_Total'!$A$101</c:f>
              <c:strCache>
                <c:ptCount val="1"/>
                <c:pt idx="0">
                  <c:v>Vehicle use (including fuel production)</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'0_Total'!$D$101:$ED$101</c:f>
              <c:numCache>
                <c:formatCode>General</c:formatCode>
                <c:ptCount val="131"/>
                <c:pt idx="0">
                  <c:v>1.4239176699373322</c:v>
                </c:pt>
                <c:pt idx="1">
                  <c:v>6.5698646003115231</c:v>
                </c:pt>
                <c:pt idx="2">
                  <c:v>0</c:v>
                </c:pt>
                <c:pt idx="3">
                  <c:v>0.80095368933974942</c:v>
                </c:pt>
                <c:pt idx="4">
                  <c:v>0.80095368933974942</c:v>
                </c:pt>
                <c:pt idx="5">
                  <c:v>1.067938252452999</c:v>
                </c:pt>
                <c:pt idx="6">
                  <c:v>1.067938252452999</c:v>
                </c:pt>
                <c:pt idx="7">
                  <c:v>0.80095368933974942</c:v>
                </c:pt>
                <c:pt idx="8">
                  <c:v>1.067938252452999</c:v>
                </c:pt>
                <c:pt idx="9">
                  <c:v>1.067938252452999</c:v>
                </c:pt>
                <c:pt idx="10">
                  <c:v>1.067938252452999</c:v>
                </c:pt>
                <c:pt idx="11">
                  <c:v>1.067938252452999</c:v>
                </c:pt>
                <c:pt idx="12">
                  <c:v>1.067938252452999</c:v>
                </c:pt>
                <c:pt idx="13">
                  <c:v>1.4239176699373322</c:v>
                </c:pt>
                <c:pt idx="14">
                  <c:v>1.4239176699373322</c:v>
                </c:pt>
                <c:pt idx="15">
                  <c:v>1.4239176699373322</c:v>
                </c:pt>
                <c:pt idx="16">
                  <c:v>1.4239176699373322</c:v>
                </c:pt>
                <c:pt idx="17">
                  <c:v>11.679759289442709</c:v>
                </c:pt>
                <c:pt idx="18">
                  <c:v>0</c:v>
                </c:pt>
                <c:pt idx="19">
                  <c:v>1.4239176699373322</c:v>
                </c:pt>
                <c:pt idx="20">
                  <c:v>0</c:v>
                </c:pt>
                <c:pt idx="21">
                  <c:v>0</c:v>
                </c:pt>
                <c:pt idx="22">
                  <c:v>1.5404200247503861</c:v>
                </c:pt>
                <c:pt idx="23">
                  <c:v>1.5404200247503863</c:v>
                </c:pt>
                <c:pt idx="24">
                  <c:v>1.5404200247503861</c:v>
                </c:pt>
                <c:pt idx="25">
                  <c:v>1.5404200247503861</c:v>
                </c:pt>
                <c:pt idx="26">
                  <c:v>1.5404200247503861</c:v>
                </c:pt>
                <c:pt idx="27">
                  <c:v>1.5404200247503861</c:v>
                </c:pt>
                <c:pt idx="28">
                  <c:v>5.6798038727492948</c:v>
                </c:pt>
                <c:pt idx="29">
                  <c:v>0</c:v>
                </c:pt>
                <c:pt idx="30">
                  <c:v>2.7183882789712701</c:v>
                </c:pt>
                <c:pt idx="31">
                  <c:v>0</c:v>
                </c:pt>
                <c:pt idx="32">
                  <c:v>2.7183882789712706</c:v>
                </c:pt>
                <c:pt idx="33">
                  <c:v>53.73696412283369</c:v>
                </c:pt>
                <c:pt idx="34">
                  <c:v>4.5324601156650521</c:v>
                </c:pt>
                <c:pt idx="35">
                  <c:v>53.736964122833704</c:v>
                </c:pt>
                <c:pt idx="36">
                  <c:v>4.5324601156650521</c:v>
                </c:pt>
                <c:pt idx="37">
                  <c:v>125.63212704</c:v>
                </c:pt>
                <c:pt idx="38">
                  <c:v>93.58311504000001</c:v>
                </c:pt>
                <c:pt idx="39">
                  <c:v>42.659754529241155</c:v>
                </c:pt>
                <c:pt idx="40">
                  <c:v>16.426508205516896</c:v>
                </c:pt>
                <c:pt idx="41">
                  <c:v>134.73929417206867</c:v>
                </c:pt>
                <c:pt idx="42">
                  <c:v>0</c:v>
                </c:pt>
                <c:pt idx="43">
                  <c:v>16.426508205516896</c:v>
                </c:pt>
                <c:pt idx="44">
                  <c:v>16.426508205516896</c:v>
                </c:pt>
                <c:pt idx="45">
                  <c:v>16.426508205516896</c:v>
                </c:pt>
                <c:pt idx="46">
                  <c:v>16.426508205516896</c:v>
                </c:pt>
                <c:pt idx="47">
                  <c:v>162.79128163523271</c:v>
                </c:pt>
                <c:pt idx="48">
                  <c:v>0.8367214586828573</c:v>
                </c:pt>
                <c:pt idx="49">
                  <c:v>41.860816766149433</c:v>
                </c:pt>
                <c:pt idx="50">
                  <c:v>82.679705112992522</c:v>
                </c:pt>
                <c:pt idx="51">
                  <c:v>117.86678585430464</c:v>
                </c:pt>
                <c:pt idx="52">
                  <c:v>234.86944571260995</c:v>
                </c:pt>
                <c:pt idx="53">
                  <c:v>171.09694720786158</c:v>
                </c:pt>
                <c:pt idx="54">
                  <c:v>306.86008041379307</c:v>
                </c:pt>
                <c:pt idx="55">
                  <c:v>153.43004020689654</c:v>
                </c:pt>
                <c:pt idx="56">
                  <c:v>158.37939634260283</c:v>
                </c:pt>
                <c:pt idx="57">
                  <c:v>197.9742454282536</c:v>
                </c:pt>
                <c:pt idx="58">
                  <c:v>147.47061139043385</c:v>
                </c:pt>
                <c:pt idx="59">
                  <c:v>103.80408180264398</c:v>
                </c:pt>
                <c:pt idx="60">
                  <c:v>40.122218318072868</c:v>
                </c:pt>
                <c:pt idx="61">
                  <c:v>20.061109159036434</c:v>
                </c:pt>
                <c:pt idx="62">
                  <c:v>20.708241712553736</c:v>
                </c:pt>
                <c:pt idx="63">
                  <c:v>212.32554698972632</c:v>
                </c:pt>
                <c:pt idx="64">
                  <c:v>0</c:v>
                </c:pt>
                <c:pt idx="65">
                  <c:v>25.885302140692175</c:v>
                </c:pt>
                <c:pt idx="66">
                  <c:v>25.885302140692175</c:v>
                </c:pt>
                <c:pt idx="67">
                  <c:v>25.885302140692175</c:v>
                </c:pt>
                <c:pt idx="68">
                  <c:v>25.885302140692175</c:v>
                </c:pt>
                <c:pt idx="69">
                  <c:v>40.122218318072868</c:v>
                </c:pt>
                <c:pt idx="70">
                  <c:v>20.061109159036434</c:v>
                </c:pt>
                <c:pt idx="71">
                  <c:v>20.708241712553736</c:v>
                </c:pt>
                <c:pt idx="72">
                  <c:v>212.32554698972632</c:v>
                </c:pt>
                <c:pt idx="73">
                  <c:v>0</c:v>
                </c:pt>
                <c:pt idx="74">
                  <c:v>25.885302140692175</c:v>
                </c:pt>
                <c:pt idx="75">
                  <c:v>25.885302140692175</c:v>
                </c:pt>
                <c:pt idx="76">
                  <c:v>25.885302140692175</c:v>
                </c:pt>
                <c:pt idx="77">
                  <c:v>25.885302140692175</c:v>
                </c:pt>
                <c:pt idx="78">
                  <c:v>256.53056987383718</c:v>
                </c:pt>
                <c:pt idx="79">
                  <c:v>1.3185265848728749</c:v>
                </c:pt>
                <c:pt idx="80">
                  <c:v>65.96532119248613</c:v>
                </c:pt>
                <c:pt idx="81">
                  <c:v>130.28874554327703</c:v>
                </c:pt>
                <c:pt idx="82">
                  <c:v>257.17843342303553</c:v>
                </c:pt>
                <c:pt idx="83">
                  <c:v>191.57169020287344</c:v>
                </c:pt>
                <c:pt idx="84">
                  <c:v>134.84668716969739</c:v>
                </c:pt>
                <c:pt idx="85">
                  <c:v>33.626300425212264</c:v>
                </c:pt>
                <c:pt idx="86">
                  <c:v>33.626300425212264</c:v>
                </c:pt>
                <c:pt idx="87">
                  <c:v>169.25158825073376</c:v>
                </c:pt>
                <c:pt idx="88">
                  <c:v>163.50651827999997</c:v>
                </c:pt>
                <c:pt idx="89">
                  <c:v>120.36400015290464</c:v>
                </c:pt>
                <c:pt idx="90">
                  <c:v>52.320695999797643</c:v>
                </c:pt>
                <c:pt idx="91">
                  <c:v>17.268084769409189</c:v>
                </c:pt>
                <c:pt idx="92">
                  <c:v>94.481920496077464</c:v>
                </c:pt>
                <c:pt idx="93">
                  <c:v>257.65765765294765</c:v>
                </c:pt>
                <c:pt idx="94">
                  <c:v>189.67259942522978</c:v>
                </c:pt>
                <c:pt idx="95">
                  <c:v>131.3258029009728</c:v>
                </c:pt>
                <c:pt idx="96">
                  <c:v>27.211479521686709</c:v>
                </c:pt>
                <c:pt idx="97">
                  <c:v>27.211479521686709</c:v>
                </c:pt>
                <c:pt idx="98">
                  <c:v>148.88697148992554</c:v>
                </c:pt>
                <c:pt idx="99">
                  <c:v>74.437592658688644</c:v>
                </c:pt>
                <c:pt idx="100">
                  <c:v>54.796631402848405</c:v>
                </c:pt>
                <c:pt idx="101">
                  <c:v>35.966233700324452</c:v>
                </c:pt>
                <c:pt idx="102">
                  <c:v>7.8614276273670454</c:v>
                </c:pt>
                <c:pt idx="103">
                  <c:v>7.8614276273670454</c:v>
                </c:pt>
                <c:pt idx="104">
                  <c:v>43.013616738225743</c:v>
                </c:pt>
                <c:pt idx="105">
                  <c:v>56.577985314170363</c:v>
                </c:pt>
                <c:pt idx="106">
                  <c:v>41.649425996240709</c:v>
                </c:pt>
                <c:pt idx="108">
                  <c:v>7.504556282622759</c:v>
                </c:pt>
                <c:pt idx="109">
                  <c:v>7.504556282622759</c:v>
                </c:pt>
                <c:pt idx="110">
                  <c:v>35.09163050614972</c:v>
                </c:pt>
                <c:pt idx="111">
                  <c:v>71.835624993896062</c:v>
                </c:pt>
                <c:pt idx="112">
                  <c:v>71.835624993896062</c:v>
                </c:pt>
                <c:pt idx="113">
                  <c:v>64.652062494506453</c:v>
                </c:pt>
                <c:pt idx="114">
                  <c:v>71.835624993896076</c:v>
                </c:pt>
                <c:pt idx="115">
                  <c:v>143.67124998779212</c:v>
                </c:pt>
                <c:pt idx="116">
                  <c:v>47.890416662597374</c:v>
                </c:pt>
                <c:pt idx="117">
                  <c:v>71.835624993896062</c:v>
                </c:pt>
                <c:pt idx="118">
                  <c:v>52.881213964464521</c:v>
                </c:pt>
                <c:pt idx="119">
                  <c:v>0</c:v>
                </c:pt>
                <c:pt idx="120">
                  <c:v>10.462368334191947</c:v>
                </c:pt>
                <c:pt idx="121">
                  <c:v>10.462368334191947</c:v>
                </c:pt>
                <c:pt idx="122">
                  <c:v>0.44440777552615163</c:v>
                </c:pt>
                <c:pt idx="123">
                  <c:v>43.913662604355508</c:v>
                </c:pt>
                <c:pt idx="124">
                  <c:v>12.073398680398997</c:v>
                </c:pt>
                <c:pt idx="125">
                  <c:v>12.073398680398997</c:v>
                </c:pt>
                <c:pt idx="126">
                  <c:v>12.073398680398997</c:v>
                </c:pt>
                <c:pt idx="127">
                  <c:v>12.073398680398997</c:v>
                </c:pt>
                <c:pt idx="128">
                  <c:v>16.097864907198662</c:v>
                </c:pt>
                <c:pt idx="129">
                  <c:v>9.6587189443191974</c:v>
                </c:pt>
                <c:pt idx="130">
                  <c:v>12.073398680398997</c:v>
                </c:pt>
              </c:numCache>
            </c:numRef>
          </c:val>
          <c:extLst>
            <c:ext xmlns:c16="http://schemas.microsoft.com/office/drawing/2014/chart" uri="{C3380CC4-5D6E-409C-BE32-E72D297353CC}">
              <c16:uniqueId val="{00000002-A6B2-4486-BD11-280D189E8A63}"/>
            </c:ext>
          </c:extLst>
        </c:ser>
        <c:ser>
          <c:idx val="3"/>
          <c:order val="3"/>
          <c:tx>
            <c:strRef>
              <c:f>'0_Total'!$A$102</c:f>
              <c:strCache>
                <c:ptCount val="1"/>
                <c:pt idx="0">
                  <c:v>Operational services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'0_Total'!$D$102:$ED$102</c:f>
              <c:numCache>
                <c:formatCode>General</c:formatCode>
                <c:ptCount val="131"/>
                <c:pt idx="0">
                  <c:v>0</c:v>
                </c:pt>
                <c:pt idx="1">
                  <c:v>208.36509538569825</c:v>
                </c:pt>
                <c:pt idx="2">
                  <c:v>0.81502382855616651</c:v>
                </c:pt>
                <c:pt idx="3">
                  <c:v>69.455031795232756</c:v>
                </c:pt>
                <c:pt idx="4">
                  <c:v>23.151677265077584</c:v>
                </c:pt>
                <c:pt idx="5">
                  <c:v>0</c:v>
                </c:pt>
                <c:pt idx="6">
                  <c:v>3.6676072285027495</c:v>
                </c:pt>
                <c:pt idx="7">
                  <c:v>23.151677265077588</c:v>
                </c:pt>
                <c:pt idx="8">
                  <c:v>69.455031795232756</c:v>
                </c:pt>
                <c:pt idx="9">
                  <c:v>17.363757948808189</c:v>
                </c:pt>
                <c:pt idx="10">
                  <c:v>52.091273846424563</c:v>
                </c:pt>
                <c:pt idx="11">
                  <c:v>34.727515897616378</c:v>
                </c:pt>
                <c:pt idx="12">
                  <c:v>34.727515897616378</c:v>
                </c:pt>
                <c:pt idx="13">
                  <c:v>34.727515897616378</c:v>
                </c:pt>
                <c:pt idx="14">
                  <c:v>34.727515897616378</c:v>
                </c:pt>
                <c:pt idx="15">
                  <c:v>34.727515897616378</c:v>
                </c:pt>
                <c:pt idx="16">
                  <c:v>34.727515897616378</c:v>
                </c:pt>
                <c:pt idx="17">
                  <c:v>34.727515897616378</c:v>
                </c:pt>
                <c:pt idx="18">
                  <c:v>34.727515897616378</c:v>
                </c:pt>
                <c:pt idx="19">
                  <c:v>34.727515897616378</c:v>
                </c:pt>
                <c:pt idx="20">
                  <c:v>0</c:v>
                </c:pt>
                <c:pt idx="21">
                  <c:v>24.702441658055509</c:v>
                </c:pt>
                <c:pt idx="22">
                  <c:v>12.351220829027755</c:v>
                </c:pt>
                <c:pt idx="23">
                  <c:v>16.468294438703673</c:v>
                </c:pt>
                <c:pt idx="24">
                  <c:v>24.702441658055509</c:v>
                </c:pt>
                <c:pt idx="25">
                  <c:v>0</c:v>
                </c:pt>
                <c:pt idx="26">
                  <c:v>16.468294438703676</c:v>
                </c:pt>
                <c:pt idx="27">
                  <c:v>24.702441658055509</c:v>
                </c:pt>
                <c:pt idx="28">
                  <c:v>52.95479166261358</c:v>
                </c:pt>
                <c:pt idx="29">
                  <c:v>0</c:v>
                </c:pt>
                <c:pt idx="30">
                  <c:v>0</c:v>
                </c:pt>
                <c:pt idx="31">
                  <c:v>24.702441658055513</c:v>
                </c:pt>
                <c:pt idx="32">
                  <c:v>24.702441658055513</c:v>
                </c:pt>
                <c:pt idx="33">
                  <c:v>0</c:v>
                </c:pt>
                <c:pt idx="34">
                  <c:v>0</c:v>
                </c:pt>
                <c:pt idx="35">
                  <c:v>0</c:v>
                </c:pt>
                <c:pt idx="36">
                  <c:v>13.516430341200186</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20.991381226617225</c:v>
                </c:pt>
                <c:pt idx="52">
                  <c:v>41.828866696441061</c:v>
                </c:pt>
                <c:pt idx="53">
                  <c:v>30.471359845089516</c:v>
                </c:pt>
                <c:pt idx="54">
                  <c:v>54.649975262399998</c:v>
                </c:pt>
                <c:pt idx="55">
                  <c:v>27.324987631199999</c:v>
                </c:pt>
                <c:pt idx="56">
                  <c:v>28.206438845109673</c:v>
                </c:pt>
                <c:pt idx="57">
                  <c:v>35.258048556387102</c:v>
                </c:pt>
                <c:pt idx="58">
                  <c:v>26.263648414451623</c:v>
                </c:pt>
                <c:pt idx="59">
                  <c:v>18.486896356804994</c:v>
                </c:pt>
                <c:pt idx="60">
                  <c:v>7.1455310693998495</c:v>
                </c:pt>
                <c:pt idx="61">
                  <c:v>3.5727655346999247</c:v>
                </c:pt>
                <c:pt idx="62">
                  <c:v>3.6880160358192766</c:v>
                </c:pt>
                <c:pt idx="63">
                  <c:v>37.813930945064442</c:v>
                </c:pt>
                <c:pt idx="64">
                  <c:v>0</c:v>
                </c:pt>
                <c:pt idx="65">
                  <c:v>4.6100200447740969</c:v>
                </c:pt>
                <c:pt idx="66">
                  <c:v>4.6100200447740969</c:v>
                </c:pt>
                <c:pt idx="67">
                  <c:v>4.6100200447740969</c:v>
                </c:pt>
                <c:pt idx="68">
                  <c:v>4.6100200447740969</c:v>
                </c:pt>
                <c:pt idx="69">
                  <c:v>7.1455310693998495</c:v>
                </c:pt>
                <c:pt idx="70">
                  <c:v>3.5727655346999247</c:v>
                </c:pt>
                <c:pt idx="71">
                  <c:v>3.6880160358192766</c:v>
                </c:pt>
                <c:pt idx="72">
                  <c:v>37.813930945064442</c:v>
                </c:pt>
                <c:pt idx="73">
                  <c:v>0</c:v>
                </c:pt>
                <c:pt idx="74">
                  <c:v>4.6100200447740969</c:v>
                </c:pt>
                <c:pt idx="75">
                  <c:v>4.6100200447740969</c:v>
                </c:pt>
                <c:pt idx="76">
                  <c:v>4.6100200447740969</c:v>
                </c:pt>
                <c:pt idx="77">
                  <c:v>4.6100200447740969</c:v>
                </c:pt>
                <c:pt idx="78">
                  <c:v>45.686585491178214</c:v>
                </c:pt>
                <c:pt idx="79">
                  <c:v>0.23482182872712448</c:v>
                </c:pt>
                <c:pt idx="80">
                  <c:v>11.748035673080649</c:v>
                </c:pt>
                <c:pt idx="81">
                  <c:v>23.20365917687209</c:v>
                </c:pt>
                <c:pt idx="82">
                  <c:v>45.801966178328378</c:v>
                </c:pt>
                <c:pt idx="83">
                  <c:v>34.117791132836459</c:v>
                </c:pt>
                <c:pt idx="84">
                  <c:v>24.015401769116227</c:v>
                </c:pt>
                <c:pt idx="85">
                  <c:v>5.9886463039630984</c:v>
                </c:pt>
                <c:pt idx="86">
                  <c:v>5.9886463039630984</c:v>
                </c:pt>
                <c:pt idx="87">
                  <c:v>30.142712269877737</c:v>
                </c:pt>
                <c:pt idx="88">
                  <c:v>0</c:v>
                </c:pt>
                <c:pt idx="89">
                  <c:v>0</c:v>
                </c:pt>
                <c:pt idx="90">
                  <c:v>0</c:v>
                </c:pt>
                <c:pt idx="91">
                  <c:v>0</c:v>
                </c:pt>
                <c:pt idx="92">
                  <c:v>0</c:v>
                </c:pt>
                <c:pt idx="93">
                  <c:v>45.887313194709677</c:v>
                </c:pt>
                <c:pt idx="94">
                  <c:v>33.779574236460334</c:v>
                </c:pt>
                <c:pt idx="95">
                  <c:v>23.388352991940309</c:v>
                </c:pt>
                <c:pt idx="96">
                  <c:v>4.8462044352858049</c:v>
                </c:pt>
                <c:pt idx="97">
                  <c:v>4.8462044352858049</c:v>
                </c:pt>
                <c:pt idx="98">
                  <c:v>26.5158938166411</c:v>
                </c:pt>
                <c:pt idx="99">
                  <c:v>7.581606659681249</c:v>
                </c:pt>
                <c:pt idx="100">
                  <c:v>5.5811383836234487</c:v>
                </c:pt>
                <c:pt idx="101">
                  <c:v>3.6632275065145272</c:v>
                </c:pt>
                <c:pt idx="102">
                  <c:v>0.80070096204664354</c:v>
                </c:pt>
                <c:pt idx="103">
                  <c:v>0.80070096204664354</c:v>
                </c:pt>
                <c:pt idx="104">
                  <c:v>4.3810165196341035</c:v>
                </c:pt>
                <c:pt idx="105">
                  <c:v>5.7625725782951287</c:v>
                </c:pt>
                <c:pt idx="106">
                  <c:v>4.2420711662837762</c:v>
                </c:pt>
                <c:pt idx="108">
                  <c:v>0</c:v>
                </c:pt>
                <c:pt idx="109">
                  <c:v>0</c:v>
                </c:pt>
                <c:pt idx="110">
                  <c:v>0</c:v>
                </c:pt>
                <c:pt idx="111">
                  <c:v>7.9817361104328963</c:v>
                </c:pt>
                <c:pt idx="112">
                  <c:v>7.9817361104328963</c:v>
                </c:pt>
                <c:pt idx="113">
                  <c:v>7.1835624993896063</c:v>
                </c:pt>
                <c:pt idx="114">
                  <c:v>15.963472220865796</c:v>
                </c:pt>
                <c:pt idx="115">
                  <c:v>15.963472220865793</c:v>
                </c:pt>
                <c:pt idx="116">
                  <c:v>5.3211574069552645</c:v>
                </c:pt>
                <c:pt idx="117">
                  <c:v>7.9817361104328963</c:v>
                </c:pt>
                <c:pt idx="118">
                  <c:v>5.8756904404960579</c:v>
                </c:pt>
                <c:pt idx="119">
                  <c:v>0</c:v>
                </c:pt>
                <c:pt idx="120">
                  <c:v>1.1624853704657718</c:v>
                </c:pt>
                <c:pt idx="121">
                  <c:v>1.1624853704657718</c:v>
                </c:pt>
                <c:pt idx="122">
                  <c:v>4.9378641725127959E-2</c:v>
                </c:pt>
                <c:pt idx="123">
                  <c:v>4.8792958449283903</c:v>
                </c:pt>
                <c:pt idx="124">
                  <c:v>0</c:v>
                </c:pt>
                <c:pt idx="125">
                  <c:v>0</c:v>
                </c:pt>
                <c:pt idx="126">
                  <c:v>0</c:v>
                </c:pt>
                <c:pt idx="127">
                  <c:v>0</c:v>
                </c:pt>
                <c:pt idx="128">
                  <c:v>0</c:v>
                </c:pt>
                <c:pt idx="129">
                  <c:v>0</c:v>
                </c:pt>
                <c:pt idx="130">
                  <c:v>0</c:v>
                </c:pt>
              </c:numCache>
            </c:numRef>
          </c:val>
          <c:extLst>
            <c:ext xmlns:c16="http://schemas.microsoft.com/office/drawing/2014/chart" uri="{C3380CC4-5D6E-409C-BE32-E72D297353CC}">
              <c16:uniqueId val="{00000003-A6B2-4486-BD11-280D189E8A63}"/>
            </c:ext>
          </c:extLst>
        </c:ser>
        <c:ser>
          <c:idx val="4"/>
          <c:order val="4"/>
          <c:tx>
            <c:strRef>
              <c:f>'0_Total'!$A$103</c:f>
              <c:strCache>
                <c:ptCount val="1"/>
                <c:pt idx="0">
                  <c:v>Infrastructure network (from the vehicleperspective)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'0_Total'!$D$103:$ED$103</c:f>
              <c:numCache>
                <c:formatCode>General</c:formatCode>
                <c:ptCount val="131"/>
                <c:pt idx="0">
                  <c:v>9.4409392749428456</c:v>
                </c:pt>
                <c:pt idx="1">
                  <c:v>9.4409392749428456</c:v>
                </c:pt>
                <c:pt idx="2">
                  <c:v>9.4409392749428456</c:v>
                </c:pt>
                <c:pt idx="3">
                  <c:v>9.4409392749428456</c:v>
                </c:pt>
                <c:pt idx="4">
                  <c:v>9.4409392749428456</c:v>
                </c:pt>
                <c:pt idx="5">
                  <c:v>9.4409392749428456</c:v>
                </c:pt>
                <c:pt idx="6">
                  <c:v>9.4409392749428456</c:v>
                </c:pt>
                <c:pt idx="7">
                  <c:v>9.4409392749428456</c:v>
                </c:pt>
                <c:pt idx="8">
                  <c:v>9.4409392749428456</c:v>
                </c:pt>
                <c:pt idx="9">
                  <c:v>9.4409392749428456</c:v>
                </c:pt>
                <c:pt idx="10">
                  <c:v>9.4409392749428456</c:v>
                </c:pt>
                <c:pt idx="11">
                  <c:v>9.4409392749428456</c:v>
                </c:pt>
                <c:pt idx="12">
                  <c:v>9.4409392749428456</c:v>
                </c:pt>
                <c:pt idx="13">
                  <c:v>9.4409392749428456</c:v>
                </c:pt>
                <c:pt idx="14">
                  <c:v>9.4409392749428456</c:v>
                </c:pt>
                <c:pt idx="15">
                  <c:v>9.4409392749428456</c:v>
                </c:pt>
                <c:pt idx="16">
                  <c:v>9.4493582127681535</c:v>
                </c:pt>
                <c:pt idx="17">
                  <c:v>9.4493582127681535</c:v>
                </c:pt>
                <c:pt idx="18">
                  <c:v>9.4409392749428456</c:v>
                </c:pt>
                <c:pt idx="19">
                  <c:v>9.4409392749428456</c:v>
                </c:pt>
                <c:pt idx="20">
                  <c:v>9.4835085147745115</c:v>
                </c:pt>
                <c:pt idx="21">
                  <c:v>9.4835085147745115</c:v>
                </c:pt>
                <c:pt idx="22">
                  <c:v>9.4835085147745115</c:v>
                </c:pt>
                <c:pt idx="23">
                  <c:v>9.4835085147745115</c:v>
                </c:pt>
                <c:pt idx="24">
                  <c:v>9.4835085147745115</c:v>
                </c:pt>
                <c:pt idx="25">
                  <c:v>9.4835085147745115</c:v>
                </c:pt>
                <c:pt idx="26">
                  <c:v>9.4835085147745115</c:v>
                </c:pt>
                <c:pt idx="27">
                  <c:v>9.4835085147745115</c:v>
                </c:pt>
                <c:pt idx="28">
                  <c:v>9.4409392749428456</c:v>
                </c:pt>
                <c:pt idx="29">
                  <c:v>9.471154571397097</c:v>
                </c:pt>
                <c:pt idx="30">
                  <c:v>9.4793603097639458</c:v>
                </c:pt>
                <c:pt idx="31">
                  <c:v>9.4896885706026097</c:v>
                </c:pt>
                <c:pt idx="32">
                  <c:v>9.5026866330964577</c:v>
                </c:pt>
                <c:pt idx="33">
                  <c:v>11.394557604754132</c:v>
                </c:pt>
                <c:pt idx="34">
                  <c:v>11.354081196149926</c:v>
                </c:pt>
                <c:pt idx="35">
                  <c:v>11.394557604754132</c:v>
                </c:pt>
                <c:pt idx="36">
                  <c:v>11.354081196149926</c:v>
                </c:pt>
                <c:pt idx="37">
                  <c:v>12.476457294127272</c:v>
                </c:pt>
                <c:pt idx="38">
                  <c:v>12.716888018619265</c:v>
                </c:pt>
                <c:pt idx="39">
                  <c:v>12.937036533686294</c:v>
                </c:pt>
                <c:pt idx="40">
                  <c:v>12.197157451329351</c:v>
                </c:pt>
                <c:pt idx="41">
                  <c:v>12.197157451329351</c:v>
                </c:pt>
                <c:pt idx="42">
                  <c:v>12.197157451329351</c:v>
                </c:pt>
                <c:pt idx="43">
                  <c:v>12.197157451329351</c:v>
                </c:pt>
                <c:pt idx="44">
                  <c:v>12.197157451329351</c:v>
                </c:pt>
                <c:pt idx="45">
                  <c:v>12.197157451329351</c:v>
                </c:pt>
                <c:pt idx="46">
                  <c:v>12.197157451329351</c:v>
                </c:pt>
                <c:pt idx="47">
                  <c:v>12.984188392693992</c:v>
                </c:pt>
                <c:pt idx="48">
                  <c:v>12.984188392693992</c:v>
                </c:pt>
                <c:pt idx="49">
                  <c:v>12.984188392693992</c:v>
                </c:pt>
                <c:pt idx="50">
                  <c:v>12.984188392693992</c:v>
                </c:pt>
                <c:pt idx="51">
                  <c:v>12.147334446495694</c:v>
                </c:pt>
                <c:pt idx="52">
                  <c:v>24.205612188838192</c:v>
                </c:pt>
                <c:pt idx="53">
                  <c:v>17.63322742233246</c:v>
                </c:pt>
                <c:pt idx="54">
                  <c:v>31.624956921049129</c:v>
                </c:pt>
                <c:pt idx="55">
                  <c:v>15.812478460524565</c:v>
                </c:pt>
                <c:pt idx="56">
                  <c:v>16.322558410864065</c:v>
                </c:pt>
                <c:pt idx="57">
                  <c:v>20.403198013580084</c:v>
                </c:pt>
                <c:pt idx="58">
                  <c:v>20.796382999086166</c:v>
                </c:pt>
                <c:pt idx="59">
                  <c:v>21.156399760208132</c:v>
                </c:pt>
                <c:pt idx="60">
                  <c:v>30.916995895871118</c:v>
                </c:pt>
                <c:pt idx="61">
                  <c:v>15.458497947935559</c:v>
                </c:pt>
                <c:pt idx="62">
                  <c:v>15.957159172062511</c:v>
                </c:pt>
                <c:pt idx="63">
                  <c:v>19.94644896507814</c:v>
                </c:pt>
                <c:pt idx="64">
                  <c:v>19.94644896507814</c:v>
                </c:pt>
                <c:pt idx="65">
                  <c:v>19.94644896507814</c:v>
                </c:pt>
                <c:pt idx="66">
                  <c:v>19.94644896507814</c:v>
                </c:pt>
                <c:pt idx="67">
                  <c:v>19.94644896507814</c:v>
                </c:pt>
                <c:pt idx="68">
                  <c:v>19.94644896507814</c:v>
                </c:pt>
                <c:pt idx="69">
                  <c:v>30.916995895871118</c:v>
                </c:pt>
                <c:pt idx="70">
                  <c:v>15.458497947935559</c:v>
                </c:pt>
                <c:pt idx="71">
                  <c:v>15.957159172062511</c:v>
                </c:pt>
                <c:pt idx="72">
                  <c:v>19.94644896507814</c:v>
                </c:pt>
                <c:pt idx="73">
                  <c:v>19.94644896507814</c:v>
                </c:pt>
                <c:pt idx="74">
                  <c:v>19.94644896507814</c:v>
                </c:pt>
                <c:pt idx="75">
                  <c:v>19.94644896507814</c:v>
                </c:pt>
                <c:pt idx="76">
                  <c:v>19.94644896507814</c:v>
                </c:pt>
                <c:pt idx="77">
                  <c:v>19.94644896507814</c:v>
                </c:pt>
                <c:pt idx="78">
                  <c:v>18.023609971415254</c:v>
                </c:pt>
                <c:pt idx="79">
                  <c:v>18.023609971415254</c:v>
                </c:pt>
                <c:pt idx="80">
                  <c:v>18.023609971415254</c:v>
                </c:pt>
                <c:pt idx="81">
                  <c:v>21.233508886089187</c:v>
                </c:pt>
                <c:pt idx="82">
                  <c:v>26.504773338581245</c:v>
                </c:pt>
                <c:pt idx="83">
                  <c:v>27.01554027394284</c:v>
                </c:pt>
                <c:pt idx="84">
                  <c:v>27.48322002911047</c:v>
                </c:pt>
                <c:pt idx="85">
                  <c:v>25.911433510427884</c:v>
                </c:pt>
                <c:pt idx="86">
                  <c:v>25.911433510427884</c:v>
                </c:pt>
                <c:pt idx="87">
                  <c:v>27.58338863515219</c:v>
                </c:pt>
                <c:pt idx="88">
                  <c:v>13.588504018815213</c:v>
                </c:pt>
                <c:pt idx="89">
                  <c:v>13.875075274876075</c:v>
                </c:pt>
                <c:pt idx="90">
                  <c:v>14.136501636518176</c:v>
                </c:pt>
                <c:pt idx="91">
                  <c:v>13.256105319669301</c:v>
                </c:pt>
                <c:pt idx="92">
                  <c:v>14.249525493909287</c:v>
                </c:pt>
                <c:pt idx="93">
                  <c:v>22.221767899988556</c:v>
                </c:pt>
                <c:pt idx="94">
                  <c:v>22.690408151349207</c:v>
                </c:pt>
                <c:pt idx="95">
                  <c:v>23.117928055181544</c:v>
                </c:pt>
                <c:pt idx="96">
                  <c:v>21.678184387598165</c:v>
                </c:pt>
                <c:pt idx="97">
                  <c:v>21.678184387598165</c:v>
                </c:pt>
                <c:pt idx="98">
                  <c:v>23.30276002216106</c:v>
                </c:pt>
                <c:pt idx="99">
                  <c:v>6.0044203845842832</c:v>
                </c:pt>
                <c:pt idx="100">
                  <c:v>6.131049061968139</c:v>
                </c:pt>
                <c:pt idx="101">
                  <c:v>6.2465668388137754</c:v>
                </c:pt>
                <c:pt idx="102">
                  <c:v>5.8575417052096102</c:v>
                </c:pt>
                <c:pt idx="103">
                  <c:v>5.8575417052096102</c:v>
                </c:pt>
                <c:pt idx="104">
                  <c:v>6.2965092572230317</c:v>
                </c:pt>
                <c:pt idx="105">
                  <c:v>3.5717168242525923</c:v>
                </c:pt>
                <c:pt idx="106">
                  <c:v>3.5994059437926644</c:v>
                </c:pt>
                <c:pt idx="108">
                  <c:v>3.30949292679554</c:v>
                </c:pt>
                <c:pt idx="109">
                  <c:v>3.30949292679554</c:v>
                </c:pt>
                <c:pt idx="110">
                  <c:v>3.5010144880862284</c:v>
                </c:pt>
                <c:pt idx="111">
                  <c:v>3.6024452385780199</c:v>
                </c:pt>
                <c:pt idx="112">
                  <c:v>3.6024452385780199</c:v>
                </c:pt>
                <c:pt idx="113">
                  <c:v>15.378021549178094</c:v>
                </c:pt>
                <c:pt idx="114">
                  <c:v>3.9626897624358226</c:v>
                </c:pt>
                <c:pt idx="115">
                  <c:v>7.2048904771560398</c:v>
                </c:pt>
                <c:pt idx="116">
                  <c:v>2.4016301590520137</c:v>
                </c:pt>
                <c:pt idx="117">
                  <c:v>3.6024452385780199</c:v>
                </c:pt>
                <c:pt idx="118">
                  <c:v>3.5574070420397113</c:v>
                </c:pt>
                <c:pt idx="119">
                  <c:v>3.9264293380027726</c:v>
                </c:pt>
                <c:pt idx="120">
                  <c:v>3.9264293380027726</c:v>
                </c:pt>
                <c:pt idx="121">
                  <c:v>3.9264293380027726</c:v>
                </c:pt>
                <c:pt idx="122">
                  <c:v>4.0625475229856942</c:v>
                </c:pt>
                <c:pt idx="123">
                  <c:v>4.0625475229856942</c:v>
                </c:pt>
                <c:pt idx="124">
                  <c:v>8.8027234028980494</c:v>
                </c:pt>
                <c:pt idx="125">
                  <c:v>14.671205671496748</c:v>
                </c:pt>
                <c:pt idx="126">
                  <c:v>14.671205671496748</c:v>
                </c:pt>
                <c:pt idx="127">
                  <c:v>8.8027234028980494</c:v>
                </c:pt>
                <c:pt idx="128">
                  <c:v>14.671205671496748</c:v>
                </c:pt>
                <c:pt idx="129">
                  <c:v>8.8027234028980494</c:v>
                </c:pt>
                <c:pt idx="130">
                  <c:v>11.003404253622561</c:v>
                </c:pt>
              </c:numCache>
            </c:numRef>
          </c:val>
          <c:extLst>
            <c:ext xmlns:c16="http://schemas.microsoft.com/office/drawing/2014/chart" uri="{C3380CC4-5D6E-409C-BE32-E72D297353CC}">
              <c16:uniqueId val="{00000004-A6B2-4486-BD11-280D189E8A63}"/>
            </c:ext>
          </c:extLst>
        </c:ser>
        <c:dLbls>
          <c:showLegendKey val="0"/>
          <c:showVal val="0"/>
          <c:showCatName val="0"/>
          <c:showSerName val="0"/>
          <c:showPercent val="0"/>
          <c:showBubbleSize val="0"/>
        </c:dLbls>
        <c:gapWidth val="150"/>
        <c:overlap val="100"/>
        <c:axId val="113707264"/>
        <c:axId val="113737728"/>
      </c:barChart>
      <c:catAx>
        <c:axId val="113707264"/>
        <c:scaling>
          <c:orientation val="minMax"/>
        </c:scaling>
        <c:delete val="0"/>
        <c:axPos val="b"/>
        <c:numFmt formatCode="General" sourceLinked="0"/>
        <c:majorTickMark val="out"/>
        <c:minorTickMark val="none"/>
        <c:tickLblPos val="nextTo"/>
        <c:crossAx val="113737728"/>
        <c:crosses val="autoZero"/>
        <c:auto val="1"/>
        <c:lblAlgn val="ctr"/>
        <c:lblOffset val="100"/>
        <c:noMultiLvlLbl val="0"/>
      </c:catAx>
      <c:valAx>
        <c:axId val="113737728"/>
        <c:scaling>
          <c:orientation val="minMax"/>
        </c:scaling>
        <c:delete val="0"/>
        <c:axPos val="l"/>
        <c:majorGridlines/>
        <c:title>
          <c:tx>
            <c:strRef>
              <c:f>'0_Total'!$A$98:$B$98</c:f>
              <c:strCache>
                <c:ptCount val="2"/>
                <c:pt idx="0">
                  <c:v>GHG emissions per pkm</c:v>
                </c:pt>
                <c:pt idx="1">
                  <c:v>[g CO₂/pkm]</c:v>
                </c:pt>
              </c:strCache>
            </c:strRef>
          </c:tx>
          <c:overlay val="0"/>
          <c:txPr>
            <a:bodyPr rot="-5400000" vert="horz"/>
            <a:lstStyle/>
            <a:p>
              <a:pPr>
                <a:defRPr/>
              </a:pPr>
              <a:endParaRPr lang="en-FI"/>
            </a:p>
          </c:txPr>
        </c:title>
        <c:numFmt formatCode="General" sourceLinked="1"/>
        <c:majorTickMark val="out"/>
        <c:minorTickMark val="none"/>
        <c:tickLblPos val="nextTo"/>
        <c:crossAx val="11370726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634580193236715"/>
        </c:manualLayout>
      </c:layout>
      <c:barChart>
        <c:barDir val="col"/>
        <c:grouping val="stacked"/>
        <c:varyColors val="0"/>
        <c:ser>
          <c:idx val="1"/>
          <c:order val="0"/>
          <c:tx>
            <c:strRef>
              <c:f>Figure_9_MJ_per_pkm_Cars!$D$44</c:f>
              <c:strCache>
                <c:ptCount val="1"/>
                <c:pt idx="0">
                  <c:v>Vehicle component</c:v>
                </c:pt>
              </c:strCache>
            </c:strRef>
          </c:tx>
          <c:spPr>
            <a:solidFill>
              <a:srgbClr val="003E7E"/>
            </a:solidFill>
          </c:spPr>
          <c:invertIfNegative val="0"/>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Figure_9_MJ_per_pkm_Cars!$D$45:$D$56</c:f>
              <c:numCache>
                <c:formatCode>0.0000</c:formatCode>
                <c:ptCount val="12"/>
                <c:pt idx="0">
                  <c:v>0.55886181030656912</c:v>
                </c:pt>
                <c:pt idx="1">
                  <c:v>0.48844942555041271</c:v>
                </c:pt>
                <c:pt idx="2">
                  <c:v>0.5263845720943735</c:v>
                </c:pt>
                <c:pt idx="3">
                  <c:v>0.62927419506272542</c:v>
                </c:pt>
                <c:pt idx="4">
                  <c:v>0.62637329424401489</c:v>
                </c:pt>
                <c:pt idx="5">
                  <c:v>0.55886181030656912</c:v>
                </c:pt>
                <c:pt idx="6">
                  <c:v>0.51922357166367639</c:v>
                </c:pt>
                <c:pt idx="7">
                  <c:v>0.64972078777883668</c:v>
                </c:pt>
                <c:pt idx="8">
                  <c:v>0.51922357166367639</c:v>
                </c:pt>
                <c:pt idx="9">
                  <c:v>0.51922357166367639</c:v>
                </c:pt>
                <c:pt idx="10">
                  <c:v>0.39209085110569047</c:v>
                </c:pt>
                <c:pt idx="11">
                  <c:v>0.36237033760664</c:v>
                </c:pt>
              </c:numCache>
            </c:numRef>
          </c:val>
          <c:extLst>
            <c:ext xmlns:c16="http://schemas.microsoft.com/office/drawing/2014/chart" uri="{C3380CC4-5D6E-409C-BE32-E72D297353CC}">
              <c16:uniqueId val="{00000000-99C6-4E97-BCD6-CE97C67DECF5}"/>
            </c:ext>
          </c:extLst>
        </c:ser>
        <c:ser>
          <c:idx val="2"/>
          <c:order val="1"/>
          <c:tx>
            <c:strRef>
              <c:f>Figure_9_MJ_per_pkm_Cars!$E$44</c:f>
              <c:strCache>
                <c:ptCount val="1"/>
                <c:pt idx="0">
                  <c:v>Fuel component</c:v>
                </c:pt>
              </c:strCache>
            </c:strRef>
          </c:tx>
          <c:spPr>
            <a:solidFill>
              <a:srgbClr val="7BC143"/>
            </a:solidFill>
          </c:spPr>
          <c:invertIfNegative val="0"/>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Figure_9_MJ_per_pkm_Cars!$E$45:$E$56</c:f>
              <c:numCache>
                <c:formatCode>0.0000</c:formatCode>
                <c:ptCount val="12"/>
                <c:pt idx="0">
                  <c:v>0.48036907916478899</c:v>
                </c:pt>
                <c:pt idx="1">
                  <c:v>1.1851039671375527</c:v>
                </c:pt>
                <c:pt idx="2">
                  <c:v>1.1851039671375527</c:v>
                </c:pt>
                <c:pt idx="3">
                  <c:v>1.1851039671375527</c:v>
                </c:pt>
                <c:pt idx="4">
                  <c:v>1.2458202016555977</c:v>
                </c:pt>
                <c:pt idx="5">
                  <c:v>1.3623350714080582</c:v>
                </c:pt>
                <c:pt idx="6">
                  <c:v>1.93796515673786</c:v>
                </c:pt>
                <c:pt idx="7">
                  <c:v>1.4812852438776514</c:v>
                </c:pt>
                <c:pt idx="8">
                  <c:v>3.3594723210029813</c:v>
                </c:pt>
                <c:pt idx="9">
                  <c:v>3.7208551911816041</c:v>
                </c:pt>
                <c:pt idx="10">
                  <c:v>1.7769482892448947</c:v>
                </c:pt>
                <c:pt idx="11">
                  <c:v>2.4138665013537572</c:v>
                </c:pt>
              </c:numCache>
            </c:numRef>
          </c:val>
          <c:extLst>
            <c:ext xmlns:c16="http://schemas.microsoft.com/office/drawing/2014/chart" uri="{C3380CC4-5D6E-409C-BE32-E72D297353CC}">
              <c16:uniqueId val="{00000001-99C6-4E97-BCD6-CE97C67DECF5}"/>
            </c:ext>
          </c:extLst>
        </c:ser>
        <c:ser>
          <c:idx val="3"/>
          <c:order val="2"/>
          <c:tx>
            <c:strRef>
              <c:f>Figure_9_MJ_per_pkm_Cars!$F$44</c:f>
              <c:strCache>
                <c:ptCount val="1"/>
                <c:pt idx="0">
                  <c:v>Infrastructure component</c:v>
                </c:pt>
              </c:strCache>
            </c:strRef>
          </c:tx>
          <c:spPr>
            <a:solidFill>
              <a:srgbClr val="939598"/>
            </a:solidFill>
          </c:spPr>
          <c:invertIfNegative val="0"/>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Figure_9_MJ_per_pkm_Cars!$F$45:$F$56</c:f>
              <c:numCache>
                <c:formatCode>0.0000</c:formatCode>
                <c:ptCount val="12"/>
                <c:pt idx="0">
                  <c:v>3.5690207721515231E-2</c:v>
                </c:pt>
                <c:pt idx="1">
                  <c:v>3.5690207721515231E-2</c:v>
                </c:pt>
                <c:pt idx="2">
                  <c:v>3.5690207721515231E-2</c:v>
                </c:pt>
                <c:pt idx="3">
                  <c:v>3.5690207721515231E-2</c:v>
                </c:pt>
                <c:pt idx="4">
                  <c:v>3.878880422140623E-2</c:v>
                </c:pt>
                <c:pt idx="5">
                  <c:v>3.5690207721515231E-2</c:v>
                </c:pt>
                <c:pt idx="6">
                  <c:v>3.7993145753810804E-2</c:v>
                </c:pt>
                <c:pt idx="7">
                  <c:v>4.1695659569863243E-2</c:v>
                </c:pt>
                <c:pt idx="8">
                  <c:v>3.7993145753810804E-2</c:v>
                </c:pt>
                <c:pt idx="9">
                  <c:v>3.7993145753810804E-2</c:v>
                </c:pt>
                <c:pt idx="10">
                  <c:v>4.0599977551164235E-2</c:v>
                </c:pt>
                <c:pt idx="11">
                  <c:v>3.9761438924714593E-2</c:v>
                </c:pt>
              </c:numCache>
            </c:numRef>
          </c:val>
          <c:extLst>
            <c:ext xmlns:c16="http://schemas.microsoft.com/office/drawing/2014/chart" uri="{C3380CC4-5D6E-409C-BE32-E72D297353CC}">
              <c16:uniqueId val="{00000002-99C6-4E97-BCD6-CE97C67DECF5}"/>
            </c:ext>
          </c:extLst>
        </c:ser>
        <c:ser>
          <c:idx val="4"/>
          <c:order val="3"/>
          <c:tx>
            <c:strRef>
              <c:f>Figure_9_MJ_per_pkm_Cars!$G$44</c:f>
              <c:strCache>
                <c:ptCount val="1"/>
                <c:pt idx="0">
                  <c:v>Operational services</c:v>
                </c:pt>
              </c:strCache>
            </c:strRef>
          </c:tx>
          <c:spPr>
            <a:solidFill>
              <a:srgbClr val="007DC3"/>
            </a:solidFill>
          </c:spPr>
          <c:invertIfNegative val="0"/>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Figure_9_MJ_per_pkm_Cars!$G$45:$G$56</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9C6-4E97-BCD6-CE97C67DECF5}"/>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Figure_9_MJ_per_pkm_Cars!$H$44</c:f>
              <c:strCache>
                <c:ptCount val="1"/>
                <c:pt idx="0">
                  <c:v>Private car - ICE (central estimate)</c:v>
                </c:pt>
              </c:strCache>
            </c:strRef>
          </c:tx>
          <c:spPr>
            <a:ln>
              <a:solidFill>
                <a:srgbClr val="EEA320"/>
              </a:solidFill>
            </a:ln>
          </c:spPr>
          <c:marker>
            <c:symbol val="none"/>
          </c:marker>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Figure_9_MJ_per_pkm_Cars!$H$45:$H$56</c:f>
              <c:numCache>
                <c:formatCode>0.0</c:formatCode>
                <c:ptCount val="12"/>
                <c:pt idx="0">
                  <c:v>2.1835613123627797</c:v>
                </c:pt>
                <c:pt idx="1">
                  <c:v>2.1835613123627797</c:v>
                </c:pt>
                <c:pt idx="2">
                  <c:v>2.1835613123627797</c:v>
                </c:pt>
                <c:pt idx="3">
                  <c:v>2.1835613123627797</c:v>
                </c:pt>
                <c:pt idx="4">
                  <c:v>2.1835613123627797</c:v>
                </c:pt>
                <c:pt idx="5">
                  <c:v>2.1835613123627797</c:v>
                </c:pt>
                <c:pt idx="6">
                  <c:v>2.1835613123627797</c:v>
                </c:pt>
                <c:pt idx="7">
                  <c:v>2.1835613123627797</c:v>
                </c:pt>
                <c:pt idx="8">
                  <c:v>2.1835613123627797</c:v>
                </c:pt>
                <c:pt idx="9">
                  <c:v>2.1835613123627797</c:v>
                </c:pt>
                <c:pt idx="10">
                  <c:v>2.1835613123627797</c:v>
                </c:pt>
                <c:pt idx="11">
                  <c:v>2.1835613123627797</c:v>
                </c:pt>
              </c:numCache>
            </c:numRef>
          </c:val>
          <c:smooth val="0"/>
          <c:extLst>
            <c:ext xmlns:c16="http://schemas.microsoft.com/office/drawing/2014/chart" uri="{C3380CC4-5D6E-409C-BE32-E72D297353CC}">
              <c16:uniqueId val="{00000004-99C6-4E97-BCD6-CE97C67DECF5}"/>
            </c:ext>
          </c:extLst>
        </c:ser>
        <c:ser>
          <c:idx val="6"/>
          <c:order val="5"/>
          <c:tx>
            <c:strRef>
              <c:f>Figure_9_MJ_per_pkm_Cars!$I$44</c:f>
              <c:strCache>
                <c:ptCount val="1"/>
                <c:pt idx="0">
                  <c:v>Private car - HEV (central estimate)</c:v>
                </c:pt>
              </c:strCache>
            </c:strRef>
          </c:tx>
          <c:spPr>
            <a:ln>
              <a:noFill/>
            </a:ln>
          </c:spPr>
          <c:marker>
            <c:symbol val="dash"/>
            <c:size val="8"/>
            <c:spPr>
              <a:solidFill>
                <a:srgbClr val="C6003A"/>
              </a:solidFill>
              <a:ln>
                <a:solidFill>
                  <a:srgbClr val="E2001A"/>
                </a:solidFill>
              </a:ln>
            </c:spPr>
          </c:marker>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Figure_9_MJ_per_pkm_Cars!$I$45:$I$56</c:f>
              <c:numCache>
                <c:formatCode>0.0</c:formatCode>
                <c:ptCount val="12"/>
                <c:pt idx="10">
                  <c:v>1.7335949156685733</c:v>
                </c:pt>
              </c:numCache>
            </c:numRef>
          </c:val>
          <c:smooth val="0"/>
          <c:extLst>
            <c:ext xmlns:c16="http://schemas.microsoft.com/office/drawing/2014/chart" uri="{C3380CC4-5D6E-409C-BE32-E72D297353CC}">
              <c16:uniqueId val="{00000005-99C6-4E97-BCD6-CE97C67DECF5}"/>
            </c:ext>
          </c:extLst>
        </c:ser>
        <c:ser>
          <c:idx val="5"/>
          <c:order val="6"/>
          <c:tx>
            <c:strRef>
              <c:f>Figure_9_MJ_per_pkm_Cars!$J$44</c:f>
              <c:strCache>
                <c:ptCount val="1"/>
                <c:pt idx="0">
                  <c:v>Private car - BEV (central estimate)</c:v>
                </c:pt>
              </c:strCache>
            </c:strRef>
          </c:tx>
          <c:spPr>
            <a:ln>
              <a:solidFill>
                <a:srgbClr val="9E005D"/>
              </a:solidFill>
            </a:ln>
          </c:spPr>
          <c:marker>
            <c:symbol val="none"/>
          </c:marker>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Figure_9_MJ_per_pkm_Cars!$J$45:$J$56</c:f>
              <c:numCache>
                <c:formatCode>0.0</c:formatCode>
                <c:ptCount val="12"/>
                <c:pt idx="0">
                  <c:v>1.7796559851656371</c:v>
                </c:pt>
                <c:pt idx="1">
                  <c:v>1.7796559851656371</c:v>
                </c:pt>
                <c:pt idx="2">
                  <c:v>1.7796559851656371</c:v>
                </c:pt>
                <c:pt idx="3">
                  <c:v>1.7796559851656371</c:v>
                </c:pt>
                <c:pt idx="4">
                  <c:v>1.7796559851656371</c:v>
                </c:pt>
                <c:pt idx="5">
                  <c:v>1.7796559851656371</c:v>
                </c:pt>
              </c:numCache>
            </c:numRef>
          </c:val>
          <c:smooth val="0"/>
          <c:extLst>
            <c:ext xmlns:c16="http://schemas.microsoft.com/office/drawing/2014/chart" uri="{C3380CC4-5D6E-409C-BE32-E72D297353CC}">
              <c16:uniqueId val="{00000006-99C6-4E97-BCD6-CE97C67DECF5}"/>
            </c:ext>
          </c:extLst>
        </c:ser>
        <c:ser>
          <c:idx val="0"/>
          <c:order val="7"/>
          <c:tx>
            <c:strRef>
              <c:f>Figure_9_MJ_per_pkm_Cars!$K$44</c:f>
              <c:strCache>
                <c:ptCount val="1"/>
                <c:pt idx="0">
                  <c:v>Private car - FCEV (central estimate)</c:v>
                </c:pt>
              </c:strCache>
            </c:strRef>
          </c:tx>
          <c:spPr>
            <a:ln>
              <a:solidFill>
                <a:srgbClr val="00909D"/>
              </a:solidFill>
            </a:ln>
          </c:spPr>
          <c:marker>
            <c:symbol val="none"/>
          </c:marker>
          <c:cat>
            <c:multiLvlStrRef>
              <c:f>Figure_9_MJ_per_pkm_Cars!$B$45:$C$56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c:v>
                  </c:pt>
                  <c:pt idx="6">
                    <c:v>FCEV</c:v>
                  </c:pt>
                  <c:pt idx="10">
                    <c:v>ICE/HEV</c:v>
                  </c:pt>
                </c:lvl>
              </c:multiLvlStrCache>
            </c:multiLvlStrRef>
          </c:cat>
          <c:val>
            <c:numRef>
              <c:f>Figure_9_MJ_per_pkm_Cars!$K$45:$K$56</c:f>
              <c:numCache>
                <c:formatCode>0.0</c:formatCode>
                <c:ptCount val="12"/>
                <c:pt idx="6">
                  <c:v>1.8534671165307863</c:v>
                </c:pt>
                <c:pt idx="7">
                  <c:v>1.8534671165307863</c:v>
                </c:pt>
                <c:pt idx="8">
                  <c:v>1.8534671165307863</c:v>
                </c:pt>
                <c:pt idx="9">
                  <c:v>1.8534671165307863</c:v>
                </c:pt>
              </c:numCache>
            </c:numRef>
          </c:val>
          <c:smooth val="0"/>
          <c:extLst>
            <c:ext xmlns:c16="http://schemas.microsoft.com/office/drawing/2014/chart" uri="{C3380CC4-5D6E-409C-BE32-E72D297353CC}">
              <c16:uniqueId val="{00000007-99C6-4E97-BCD6-CE97C67DECF5}"/>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Figure_9_MJ_per_pkm_Cars!$C$11</c:f>
              <c:strCache>
                <c:ptCount val="1"/>
                <c:pt idx="0">
                  <c:v>Energy consumption per pkm [MJ/pkm]</c:v>
                </c:pt>
              </c:strCache>
            </c:strRef>
          </c:tx>
          <c:layout>
            <c:manualLayout>
              <c:xMode val="edge"/>
              <c:yMode val="edge"/>
              <c:x val="8.9942424242424237E-3"/>
              <c:y val="3.1678260869565218E-2"/>
            </c:manualLayout>
          </c:layout>
          <c:overlay val="0"/>
          <c:txPr>
            <a:bodyPr rot="-5400000" vert="horz"/>
            <a:lstStyle/>
            <a:p>
              <a:pPr>
                <a:defRPr/>
              </a:pPr>
              <a:endParaRPr lang="en-FI"/>
            </a:p>
          </c:txPr>
        </c:title>
        <c:numFmt formatCode="#,##0.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5.9711828235166096E-2"/>
          <c:y val="0.87646811594202911"/>
          <c:w val="0.93314804045831756"/>
          <c:h val="0.12353188405797101"/>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57486412037037038"/>
        </c:manualLayout>
      </c:layout>
      <c:barChart>
        <c:barDir val="col"/>
        <c:grouping val="stacked"/>
        <c:varyColors val="0"/>
        <c:ser>
          <c:idx val="1"/>
          <c:order val="0"/>
          <c:tx>
            <c:strRef>
              <c:f>Figure_10_GHG_per_pkm_TNC!$D$44</c:f>
              <c:strCache>
                <c:ptCount val="1"/>
                <c:pt idx="0">
                  <c:v>Vehicle component</c:v>
                </c:pt>
              </c:strCache>
            </c:strRef>
          </c:tx>
          <c:spPr>
            <a:solidFill>
              <a:srgbClr val="003E7E"/>
            </a:solidFill>
          </c:spPr>
          <c:invertIfNegative val="0"/>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Figure_10_GHG_per_pkm_TNC!$D$45:$D$56</c:f>
              <c:numCache>
                <c:formatCode>0</c:formatCode>
                <c:ptCount val="12"/>
                <c:pt idx="0">
                  <c:v>62.392606772849085</c:v>
                </c:pt>
                <c:pt idx="1">
                  <c:v>52.24529688407759</c:v>
                </c:pt>
                <c:pt idx="2">
                  <c:v>53.316347470114685</c:v>
                </c:pt>
                <c:pt idx="3">
                  <c:v>72.539916661620552</c:v>
                </c:pt>
                <c:pt idx="4">
                  <c:v>63.756462298653886</c:v>
                </c:pt>
                <c:pt idx="5">
                  <c:v>62.392606772849085</c:v>
                </c:pt>
                <c:pt idx="6">
                  <c:v>31.795308597258526</c:v>
                </c:pt>
                <c:pt idx="7">
                  <c:v>40.869616231624043</c:v>
                </c:pt>
                <c:pt idx="8">
                  <c:v>31.795308597258526</c:v>
                </c:pt>
                <c:pt idx="9">
                  <c:v>31.795308597258526</c:v>
                </c:pt>
                <c:pt idx="10">
                  <c:v>30.418223691342909</c:v>
                </c:pt>
                <c:pt idx="11">
                  <c:v>27.944997850049749</c:v>
                </c:pt>
              </c:numCache>
            </c:numRef>
          </c:val>
          <c:extLst>
            <c:ext xmlns:c16="http://schemas.microsoft.com/office/drawing/2014/chart" uri="{C3380CC4-5D6E-409C-BE32-E72D297353CC}">
              <c16:uniqueId val="{00000000-698B-47DF-8F64-CC3A4D146CF0}"/>
            </c:ext>
          </c:extLst>
        </c:ser>
        <c:ser>
          <c:idx val="2"/>
          <c:order val="1"/>
          <c:tx>
            <c:strRef>
              <c:f>Figure_10_GHG_per_pkm_TNC!$E$44</c:f>
              <c:strCache>
                <c:ptCount val="1"/>
                <c:pt idx="0">
                  <c:v>Fuel component</c:v>
                </c:pt>
              </c:strCache>
            </c:strRef>
          </c:tx>
          <c:spPr>
            <a:solidFill>
              <a:srgbClr val="7BC143"/>
            </a:solidFill>
          </c:spPr>
          <c:invertIfNegative val="0"/>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Figure_10_GHG_per_pkm_TNC!$E$45:$E$56</c:f>
              <c:numCache>
                <c:formatCode>0</c:formatCode>
                <c:ptCount val="12"/>
                <c:pt idx="0">
                  <c:v>0</c:v>
                </c:pt>
                <c:pt idx="1">
                  <c:v>15.896620844048607</c:v>
                </c:pt>
                <c:pt idx="2">
                  <c:v>15.896620844048607</c:v>
                </c:pt>
                <c:pt idx="3">
                  <c:v>15.896620844048607</c:v>
                </c:pt>
                <c:pt idx="4">
                  <c:v>16.711049776847602</c:v>
                </c:pt>
                <c:pt idx="5">
                  <c:v>130.39286532780841</c:v>
                </c:pt>
                <c:pt idx="6">
                  <c:v>0.80973044388663618</c:v>
                </c:pt>
                <c:pt idx="7">
                  <c:v>91.434116609107221</c:v>
                </c:pt>
                <c:pt idx="8">
                  <c:v>157.53994996958002</c:v>
                </c:pt>
                <c:pt idx="9">
                  <c:v>40.510467838209131</c:v>
                </c:pt>
                <c:pt idx="10">
                  <c:v>116.48129047055288</c:v>
                </c:pt>
                <c:pt idx="11">
                  <c:v>158.23211446451609</c:v>
                </c:pt>
              </c:numCache>
            </c:numRef>
          </c:val>
          <c:extLst>
            <c:ext xmlns:c16="http://schemas.microsoft.com/office/drawing/2014/chart" uri="{C3380CC4-5D6E-409C-BE32-E72D297353CC}">
              <c16:uniqueId val="{00000001-698B-47DF-8F64-CC3A4D146CF0}"/>
            </c:ext>
          </c:extLst>
        </c:ser>
        <c:ser>
          <c:idx val="3"/>
          <c:order val="2"/>
          <c:tx>
            <c:strRef>
              <c:f>Figure_10_GHG_per_pkm_TNC!$F$44</c:f>
              <c:strCache>
                <c:ptCount val="1"/>
                <c:pt idx="0">
                  <c:v>Infrastructure component</c:v>
                </c:pt>
              </c:strCache>
            </c:strRef>
          </c:tx>
          <c:spPr>
            <a:solidFill>
              <a:srgbClr val="939598"/>
            </a:solidFill>
          </c:spPr>
          <c:invertIfNegative val="0"/>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Figure_10_GHG_per_pkm_TNC!$F$45:$F$56</c:f>
              <c:numCache>
                <c:formatCode>0</c:formatCode>
                <c:ptCount val="12"/>
                <c:pt idx="0">
                  <c:v>19.94644896507814</c:v>
                </c:pt>
                <c:pt idx="1">
                  <c:v>19.94644896507814</c:v>
                </c:pt>
                <c:pt idx="2">
                  <c:v>19.94644896507814</c:v>
                </c:pt>
                <c:pt idx="3">
                  <c:v>19.94644896507814</c:v>
                </c:pt>
                <c:pt idx="4">
                  <c:v>21.678184387598165</c:v>
                </c:pt>
                <c:pt idx="5">
                  <c:v>19.94644896507814</c:v>
                </c:pt>
                <c:pt idx="6">
                  <c:v>18.023609971415254</c:v>
                </c:pt>
                <c:pt idx="7">
                  <c:v>23.30276002216106</c:v>
                </c:pt>
                <c:pt idx="8">
                  <c:v>18.023609971415254</c:v>
                </c:pt>
                <c:pt idx="9">
                  <c:v>18.023609971415254</c:v>
                </c:pt>
                <c:pt idx="10">
                  <c:v>22.690408151349207</c:v>
                </c:pt>
                <c:pt idx="11">
                  <c:v>22.221767899988556</c:v>
                </c:pt>
              </c:numCache>
            </c:numRef>
          </c:val>
          <c:extLst>
            <c:ext xmlns:c16="http://schemas.microsoft.com/office/drawing/2014/chart" uri="{C3380CC4-5D6E-409C-BE32-E72D297353CC}">
              <c16:uniqueId val="{00000002-698B-47DF-8F64-CC3A4D146CF0}"/>
            </c:ext>
          </c:extLst>
        </c:ser>
        <c:ser>
          <c:idx val="4"/>
          <c:order val="3"/>
          <c:tx>
            <c:strRef>
              <c:f>Figure_10_GHG_per_pkm_TNC!$G$44</c:f>
              <c:strCache>
                <c:ptCount val="1"/>
                <c:pt idx="0">
                  <c:v>Operational services</c:v>
                </c:pt>
              </c:strCache>
            </c:strRef>
          </c:tx>
          <c:spPr>
            <a:solidFill>
              <a:srgbClr val="007DC3"/>
            </a:solidFill>
          </c:spPr>
          <c:invertIfNegative val="0"/>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Figure_10_GHG_per_pkm_TNC!$G$45:$G$56</c:f>
              <c:numCache>
                <c:formatCode>0</c:formatCode>
                <c:ptCount val="12"/>
                <c:pt idx="0">
                  <c:v>0</c:v>
                </c:pt>
                <c:pt idx="1">
                  <c:v>14.598701341417666</c:v>
                </c:pt>
                <c:pt idx="2">
                  <c:v>14.598701341417666</c:v>
                </c:pt>
                <c:pt idx="3">
                  <c:v>14.598701341417666</c:v>
                </c:pt>
                <c:pt idx="4">
                  <c:v>15.346634180124912</c:v>
                </c:pt>
                <c:pt idx="5">
                  <c:v>119.74661260698235</c:v>
                </c:pt>
                <c:pt idx="6">
                  <c:v>0.74361796971336314</c:v>
                </c:pt>
                <c:pt idx="7">
                  <c:v>83.968748697459418</c:v>
                </c:pt>
                <c:pt idx="8">
                  <c:v>144.67720539543538</c:v>
                </c:pt>
                <c:pt idx="9">
                  <c:v>37.202889027357649</c:v>
                </c:pt>
                <c:pt idx="10">
                  <c:v>106.97088319113723</c:v>
                </c:pt>
                <c:pt idx="11">
                  <c:v>145.31285638314125</c:v>
                </c:pt>
              </c:numCache>
            </c:numRef>
          </c:val>
          <c:extLst>
            <c:ext xmlns:c16="http://schemas.microsoft.com/office/drawing/2014/chart" uri="{C3380CC4-5D6E-409C-BE32-E72D297353CC}">
              <c16:uniqueId val="{00000003-698B-47DF-8F64-CC3A4D146CF0}"/>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Figure_10_GHG_per_pkm_TNC!$H$44</c:f>
              <c:strCache>
                <c:ptCount val="1"/>
                <c:pt idx="0">
                  <c:v>Ridesourcing - car - ICE (central estimate)</c:v>
                </c:pt>
              </c:strCache>
            </c:strRef>
          </c:tx>
          <c:spPr>
            <a:ln>
              <a:noFill/>
            </a:ln>
          </c:spPr>
          <c:marker>
            <c:symbol val="dash"/>
            <c:size val="9"/>
            <c:spPr>
              <a:solidFill>
                <a:schemeClr val="tx1"/>
              </a:solidFill>
              <a:ln>
                <a:solidFill>
                  <a:schemeClr val="tx1"/>
                </a:solidFill>
              </a:ln>
            </c:spPr>
          </c:marker>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Figure_10_GHG_per_pkm_TNC!$H$45:$H$56</c:f>
              <c:numCache>
                <c:formatCode>0</c:formatCode>
                <c:ptCount val="12"/>
                <c:pt idx="11">
                  <c:v>275.94612396656066</c:v>
                </c:pt>
              </c:numCache>
            </c:numRef>
          </c:val>
          <c:smooth val="0"/>
          <c:extLst>
            <c:ext xmlns:c16="http://schemas.microsoft.com/office/drawing/2014/chart" uri="{C3380CC4-5D6E-409C-BE32-E72D297353CC}">
              <c16:uniqueId val="{00000004-698B-47DF-8F64-CC3A4D146CF0}"/>
            </c:ext>
          </c:extLst>
        </c:ser>
        <c:ser>
          <c:idx val="6"/>
          <c:order val="5"/>
          <c:tx>
            <c:strRef>
              <c:f>Figure_10_GHG_per_pkm_TNC!$I$44</c:f>
              <c:strCache>
                <c:ptCount val="1"/>
                <c:pt idx="0">
                  <c:v>Ridesourcing - car - HEV (central estimate)</c:v>
                </c:pt>
              </c:strCache>
            </c:strRef>
          </c:tx>
          <c:spPr>
            <a:ln>
              <a:noFill/>
            </a:ln>
          </c:spPr>
          <c:marker>
            <c:symbol val="dash"/>
            <c:size val="9"/>
            <c:spPr>
              <a:solidFill>
                <a:srgbClr val="C6003A"/>
              </a:solidFill>
              <a:ln>
                <a:solidFill>
                  <a:srgbClr val="E2001A"/>
                </a:solidFill>
              </a:ln>
            </c:spPr>
          </c:marker>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Figure_10_GHG_per_pkm_TNC!$I$45:$I$56</c:f>
              <c:numCache>
                <c:formatCode>0</c:formatCode>
                <c:ptCount val="12"/>
                <c:pt idx="10">
                  <c:v>218.75147129098434</c:v>
                </c:pt>
              </c:numCache>
            </c:numRef>
          </c:val>
          <c:smooth val="0"/>
          <c:extLst>
            <c:ext xmlns:c16="http://schemas.microsoft.com/office/drawing/2014/chart" uri="{C3380CC4-5D6E-409C-BE32-E72D297353CC}">
              <c16:uniqueId val="{00000005-698B-47DF-8F64-CC3A4D146CF0}"/>
            </c:ext>
          </c:extLst>
        </c:ser>
        <c:ser>
          <c:idx val="5"/>
          <c:order val="6"/>
          <c:tx>
            <c:strRef>
              <c:f>Figure_10_GHG_per_pkm_TNC!$J$44</c:f>
              <c:strCache>
                <c:ptCount val="1"/>
                <c:pt idx="0">
                  <c:v>Ridesourcing - car - BEV (two packs) (central estimate)</c:v>
                </c:pt>
              </c:strCache>
            </c:strRef>
          </c:tx>
          <c:spPr>
            <a:ln>
              <a:solidFill>
                <a:srgbClr val="9E005D"/>
              </a:solidFill>
            </a:ln>
          </c:spPr>
          <c:marker>
            <c:symbol val="none"/>
          </c:marker>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Figure_10_GHG_per_pkm_TNC!$J$45:$J$56</c:f>
              <c:numCache>
                <c:formatCode>0</c:formatCode>
                <c:ptCount val="12"/>
                <c:pt idx="0">
                  <c:v>112.8343779233935</c:v>
                </c:pt>
                <c:pt idx="1">
                  <c:v>112.8343779233935</c:v>
                </c:pt>
                <c:pt idx="2">
                  <c:v>112.8343779233935</c:v>
                </c:pt>
                <c:pt idx="3">
                  <c:v>112.8343779233935</c:v>
                </c:pt>
                <c:pt idx="4">
                  <c:v>112.8343779233935</c:v>
                </c:pt>
                <c:pt idx="5">
                  <c:v>112.8343779233935</c:v>
                </c:pt>
              </c:numCache>
            </c:numRef>
          </c:val>
          <c:smooth val="0"/>
          <c:extLst>
            <c:ext xmlns:c16="http://schemas.microsoft.com/office/drawing/2014/chart" uri="{C3380CC4-5D6E-409C-BE32-E72D297353CC}">
              <c16:uniqueId val="{00000006-698B-47DF-8F64-CC3A4D146CF0}"/>
            </c:ext>
          </c:extLst>
        </c:ser>
        <c:ser>
          <c:idx val="0"/>
          <c:order val="7"/>
          <c:tx>
            <c:strRef>
              <c:f>Figure_10_GHG_per_pkm_TNC!$K$44</c:f>
              <c:strCache>
                <c:ptCount val="1"/>
                <c:pt idx="0">
                  <c:v>Ridesourcing - car - FCEV (central estimate)</c:v>
                </c:pt>
              </c:strCache>
            </c:strRef>
          </c:tx>
          <c:spPr>
            <a:ln>
              <a:solidFill>
                <a:srgbClr val="00909D"/>
              </a:solidFill>
            </a:ln>
          </c:spPr>
          <c:marker>
            <c:symbol val="none"/>
          </c:marker>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Figure_10_GHG_per_pkm_TNC!$K$45:$K$56</c:f>
              <c:numCache>
                <c:formatCode>0</c:formatCode>
                <c:ptCount val="12"/>
                <c:pt idx="6">
                  <c:v>207.18333604239646</c:v>
                </c:pt>
                <c:pt idx="7">
                  <c:v>207.18333604239646</c:v>
                </c:pt>
                <c:pt idx="8">
                  <c:v>207.18333604239646</c:v>
                </c:pt>
                <c:pt idx="9">
                  <c:v>207.18333604239646</c:v>
                </c:pt>
              </c:numCache>
            </c:numRef>
          </c:val>
          <c:smooth val="0"/>
          <c:extLst>
            <c:ext xmlns:c16="http://schemas.microsoft.com/office/drawing/2014/chart" uri="{C3380CC4-5D6E-409C-BE32-E72D297353CC}">
              <c16:uniqueId val="{00000007-698B-47DF-8F64-CC3A4D146CF0}"/>
            </c:ext>
          </c:extLst>
        </c:ser>
        <c:ser>
          <c:idx val="7"/>
          <c:order val="8"/>
          <c:tx>
            <c:strRef>
              <c:f>Figure_10_GHG_per_pkm_TNC!$L$44</c:f>
              <c:strCache>
                <c:ptCount val="1"/>
                <c:pt idx="0">
                  <c:v>Private car - ICE (central estimate)</c:v>
                </c:pt>
              </c:strCache>
            </c:strRef>
          </c:tx>
          <c:spPr>
            <a:ln w="28575">
              <a:solidFill>
                <a:srgbClr val="EEA320"/>
              </a:solidFill>
              <a:prstDash val="solid"/>
            </a:ln>
          </c:spPr>
          <c:marker>
            <c:symbol val="none"/>
          </c:marker>
          <c:cat>
            <c:multiLvlStrRef>
              <c:f>Figure_10_GHG_per_pkm_TNC!$B$45:$C$56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Figure_10_GHG_per_pkm_TNC!$L$45:$L$56</c:f>
              <c:numCache>
                <c:formatCode>0</c:formatCode>
                <c:ptCount val="12"/>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pt idx="10">
                  <c:v>161.97203672281782</c:v>
                </c:pt>
                <c:pt idx="11">
                  <c:v>161.97203672281782</c:v>
                </c:pt>
              </c:numCache>
            </c:numRef>
          </c:val>
          <c:smooth val="0"/>
          <c:extLst>
            <c:ext xmlns:c16="http://schemas.microsoft.com/office/drawing/2014/chart" uri="{C3380CC4-5D6E-409C-BE32-E72D297353CC}">
              <c16:uniqueId val="{00000008-698B-47DF-8F64-CC3A4D146CF0}"/>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Figure_10_GHG_per_pkm_TNC!$C$11</c:f>
              <c:strCache>
                <c:ptCount val="1"/>
                <c:pt idx="0">
                  <c:v>GHG emissions per pkm [g CO₂/pkm]</c:v>
                </c:pt>
              </c:strCache>
            </c:strRef>
          </c:tx>
          <c:layout>
            <c:manualLayout>
              <c:xMode val="edge"/>
              <c:yMode val="edge"/>
              <c:x val="1.2866868686868685E-2"/>
              <c:y val="7.5232870370370367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100"/>
      </c:valAx>
      <c:spPr>
        <a:solidFill>
          <a:srgbClr val="F9F8F7"/>
        </a:solidFill>
        <a:ln>
          <a:noFill/>
        </a:ln>
      </c:spPr>
    </c:plotArea>
    <c:legend>
      <c:legendPos val="b"/>
      <c:layout>
        <c:manualLayout>
          <c:xMode val="edge"/>
          <c:yMode val="edge"/>
          <c:x val="5.9711828235166096E-2"/>
          <c:y val="0.87215370370370382"/>
          <c:w val="0.94028821752751868"/>
          <c:h val="0.12784629629629629"/>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75429996173057E-2"/>
          <c:y val="2.232454133557062E-2"/>
          <c:w val="0.89983162277673712"/>
          <c:h val="0.56439166666666651"/>
        </c:manualLayout>
      </c:layout>
      <c:barChart>
        <c:barDir val="col"/>
        <c:grouping val="stacked"/>
        <c:varyColors val="0"/>
        <c:ser>
          <c:idx val="1"/>
          <c:order val="0"/>
          <c:tx>
            <c:strRef>
              <c:f>Figure_10_MJ_per_pkm_TNC!$D$44</c:f>
              <c:strCache>
                <c:ptCount val="1"/>
                <c:pt idx="0">
                  <c:v>Vehicle component</c:v>
                </c:pt>
              </c:strCache>
            </c:strRef>
          </c:tx>
          <c:spPr>
            <a:solidFill>
              <a:srgbClr val="003E7E"/>
            </a:solidFill>
          </c:spPr>
          <c:invertIfNegative val="0"/>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Figure_10_MJ_per_pkm_TNC!$D$45:$D$56</c:f>
              <c:numCache>
                <c:formatCode>0.0</c:formatCode>
                <c:ptCount val="12"/>
                <c:pt idx="0">
                  <c:v>0.78717352341747082</c:v>
                </c:pt>
                <c:pt idx="1">
                  <c:v>0.64877532146041084</c:v>
                </c:pt>
                <c:pt idx="2">
                  <c:v>0.73052128900022084</c:v>
                </c:pt>
                <c:pt idx="3">
                  <c:v>0.9255717253745307</c:v>
                </c:pt>
                <c:pt idx="4">
                  <c:v>0.84399218768282225</c:v>
                </c:pt>
                <c:pt idx="5">
                  <c:v>0.78717352341747082</c:v>
                </c:pt>
                <c:pt idx="6">
                  <c:v>0.43738008984497517</c:v>
                </c:pt>
                <c:pt idx="7">
                  <c:v>0.54731858931950228</c:v>
                </c:pt>
                <c:pt idx="8">
                  <c:v>0.43738008984497517</c:v>
                </c:pt>
                <c:pt idx="9">
                  <c:v>0.43738008984497517</c:v>
                </c:pt>
                <c:pt idx="10">
                  <c:v>0.3303322941110331</c:v>
                </c:pt>
                <c:pt idx="11">
                  <c:v>0.30529416407890364</c:v>
                </c:pt>
              </c:numCache>
            </c:numRef>
          </c:val>
          <c:extLst>
            <c:ext xmlns:c16="http://schemas.microsoft.com/office/drawing/2014/chart" uri="{C3380CC4-5D6E-409C-BE32-E72D297353CC}">
              <c16:uniqueId val="{00000000-A539-4BD4-9CD1-C092AC1C78E1}"/>
            </c:ext>
          </c:extLst>
        </c:ser>
        <c:ser>
          <c:idx val="2"/>
          <c:order val="1"/>
          <c:tx>
            <c:strRef>
              <c:f>Figure_10_MJ_per_pkm_TNC!$E$44</c:f>
              <c:strCache>
                <c:ptCount val="1"/>
                <c:pt idx="0">
                  <c:v>Fuel component</c:v>
                </c:pt>
              </c:strCache>
            </c:strRef>
          </c:tx>
          <c:spPr>
            <a:solidFill>
              <a:srgbClr val="7BC143"/>
            </a:solidFill>
          </c:spPr>
          <c:invertIfNegative val="0"/>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Figure_10_MJ_per_pkm_TNC!$E$45:$E$56</c:f>
              <c:numCache>
                <c:formatCode>0.0</c:formatCode>
                <c:ptCount val="12"/>
                <c:pt idx="0">
                  <c:v>0.46487330241753777</c:v>
                </c:pt>
                <c:pt idx="1">
                  <c:v>1.1468748069073091</c:v>
                </c:pt>
                <c:pt idx="2">
                  <c:v>1.1468748069073091</c:v>
                </c:pt>
                <c:pt idx="3">
                  <c:v>1.1468748069073091</c:v>
                </c:pt>
                <c:pt idx="4">
                  <c:v>1.2056324532150944</c:v>
                </c:pt>
                <c:pt idx="5">
                  <c:v>1.3183887787819919</c:v>
                </c:pt>
                <c:pt idx="6">
                  <c:v>1.8754501516817998</c:v>
                </c:pt>
                <c:pt idx="7">
                  <c:v>1.4335018489138562</c:v>
                </c:pt>
                <c:pt idx="8">
                  <c:v>3.2511022461319175</c:v>
                </c:pt>
                <c:pt idx="9">
                  <c:v>3.6008276043692944</c:v>
                </c:pt>
                <c:pt idx="10">
                  <c:v>1.7196273766886072</c:v>
                </c:pt>
                <c:pt idx="11">
                  <c:v>2.335999840019765</c:v>
                </c:pt>
              </c:numCache>
            </c:numRef>
          </c:val>
          <c:extLst>
            <c:ext xmlns:c16="http://schemas.microsoft.com/office/drawing/2014/chart" uri="{C3380CC4-5D6E-409C-BE32-E72D297353CC}">
              <c16:uniqueId val="{00000001-A539-4BD4-9CD1-C092AC1C78E1}"/>
            </c:ext>
          </c:extLst>
        </c:ser>
        <c:ser>
          <c:idx val="3"/>
          <c:order val="2"/>
          <c:tx>
            <c:strRef>
              <c:f>Figure_10_MJ_per_pkm_TNC!$F$44</c:f>
              <c:strCache>
                <c:ptCount val="1"/>
                <c:pt idx="0">
                  <c:v>Infrastructure component</c:v>
                </c:pt>
              </c:strCache>
            </c:strRef>
          </c:tx>
          <c:spPr>
            <a:solidFill>
              <a:srgbClr val="939598"/>
            </a:solidFill>
          </c:spPr>
          <c:invertIfNegative val="0"/>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Figure_10_MJ_per_pkm_TNC!$F$45:$F$56</c:f>
              <c:numCache>
                <c:formatCode>0.0</c:formatCode>
                <c:ptCount val="12"/>
                <c:pt idx="0">
                  <c:v>5.8376242214088679E-2</c:v>
                </c:pt>
                <c:pt idx="1">
                  <c:v>5.8376242214088679E-2</c:v>
                </c:pt>
                <c:pt idx="2">
                  <c:v>5.8376242214088679E-2</c:v>
                </c:pt>
                <c:pt idx="3">
                  <c:v>5.8376242214088679E-2</c:v>
                </c:pt>
                <c:pt idx="4">
                  <c:v>6.3444422853797353E-2</c:v>
                </c:pt>
                <c:pt idx="5">
                  <c:v>5.8376242214088679E-2</c:v>
                </c:pt>
                <c:pt idx="6">
                  <c:v>5.2748768620704663E-2</c:v>
                </c:pt>
                <c:pt idx="7">
                  <c:v>6.8198984475486932E-2</c:v>
                </c:pt>
                <c:pt idx="8">
                  <c:v>5.2748768620704663E-2</c:v>
                </c:pt>
                <c:pt idx="9">
                  <c:v>5.2748768620704663E-2</c:v>
                </c:pt>
                <c:pt idx="10">
                  <c:v>6.6406845875110088E-2</c:v>
                </c:pt>
                <c:pt idx="11">
                  <c:v>6.5035300650564246E-2</c:v>
                </c:pt>
              </c:numCache>
            </c:numRef>
          </c:val>
          <c:extLst>
            <c:ext xmlns:c16="http://schemas.microsoft.com/office/drawing/2014/chart" uri="{C3380CC4-5D6E-409C-BE32-E72D297353CC}">
              <c16:uniqueId val="{00000002-A539-4BD4-9CD1-C092AC1C78E1}"/>
            </c:ext>
          </c:extLst>
        </c:ser>
        <c:ser>
          <c:idx val="4"/>
          <c:order val="3"/>
          <c:tx>
            <c:strRef>
              <c:f>Figure_10_MJ_per_pkm_TNC!$G$44</c:f>
              <c:strCache>
                <c:ptCount val="1"/>
                <c:pt idx="0">
                  <c:v>Operational services</c:v>
                </c:pt>
              </c:strCache>
            </c:strRef>
          </c:tx>
          <c:spPr>
            <a:solidFill>
              <a:srgbClr val="007DC3"/>
            </a:solidFill>
          </c:spPr>
          <c:invertIfNegative val="0"/>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Figure_10_MJ_per_pkm_TNC!$G$45:$G$56</c:f>
              <c:numCache>
                <c:formatCode>0.0</c:formatCode>
                <c:ptCount val="12"/>
                <c:pt idx="0">
                  <c:v>0.42691755500559248</c:v>
                </c:pt>
                <c:pt idx="1">
                  <c:v>1.0532353351249537</c:v>
                </c:pt>
                <c:pt idx="2">
                  <c:v>1.0532353351249537</c:v>
                </c:pt>
                <c:pt idx="3">
                  <c:v>1.0532353351249537</c:v>
                </c:pt>
                <c:pt idx="4">
                  <c:v>1.1071955659430115</c:v>
                </c:pt>
                <c:pt idx="5">
                  <c:v>1.210745618338144</c:v>
                </c:pt>
                <c:pt idx="6">
                  <c:v>1.7223243174582783</c:v>
                </c:pt>
                <c:pt idx="7">
                  <c:v>1.3164599929738015</c:v>
                </c:pt>
                <c:pt idx="8">
                  <c:v>2.9856578443500355</c:v>
                </c:pt>
                <c:pt idx="9">
                  <c:v>3.3068289980508663</c:v>
                </c:pt>
                <c:pt idx="10">
                  <c:v>1.5792240839788978</c:v>
                </c:pt>
                <c:pt idx="11">
                  <c:v>2.145271270706274</c:v>
                </c:pt>
              </c:numCache>
            </c:numRef>
          </c:val>
          <c:extLst>
            <c:ext xmlns:c16="http://schemas.microsoft.com/office/drawing/2014/chart" uri="{C3380CC4-5D6E-409C-BE32-E72D297353CC}">
              <c16:uniqueId val="{00000003-A539-4BD4-9CD1-C092AC1C78E1}"/>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Figure_10_MJ_per_pkm_TNC!$H$44</c:f>
              <c:strCache>
                <c:ptCount val="1"/>
                <c:pt idx="0">
                  <c:v>Ridesourcing - car - ICE (central estimate)</c:v>
                </c:pt>
              </c:strCache>
            </c:strRef>
          </c:tx>
          <c:spPr>
            <a:ln>
              <a:noFill/>
            </a:ln>
          </c:spPr>
          <c:marker>
            <c:symbol val="dash"/>
            <c:size val="9"/>
            <c:spPr>
              <a:solidFill>
                <a:schemeClr val="tx1"/>
              </a:solidFill>
              <a:ln>
                <a:solidFill>
                  <a:schemeClr val="tx1"/>
                </a:solidFill>
              </a:ln>
            </c:spPr>
          </c:marker>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Figure_10_MJ_per_pkm_TNC!$H$45:$H$56</c:f>
              <c:numCache>
                <c:formatCode>0.0</c:formatCode>
                <c:ptCount val="12"/>
                <c:pt idx="11">
                  <c:v>3.7492357448583875</c:v>
                </c:pt>
              </c:numCache>
            </c:numRef>
          </c:val>
          <c:smooth val="0"/>
          <c:extLst>
            <c:ext xmlns:c16="http://schemas.microsoft.com/office/drawing/2014/chart" uri="{C3380CC4-5D6E-409C-BE32-E72D297353CC}">
              <c16:uniqueId val="{00000004-A539-4BD4-9CD1-C092AC1C78E1}"/>
            </c:ext>
          </c:extLst>
        </c:ser>
        <c:ser>
          <c:idx val="6"/>
          <c:order val="5"/>
          <c:tx>
            <c:strRef>
              <c:f>Figure_10_MJ_per_pkm_TNC!$I$44</c:f>
              <c:strCache>
                <c:ptCount val="1"/>
                <c:pt idx="0">
                  <c:v>Ridesourcing - car - HEV (central estimate)</c:v>
                </c:pt>
              </c:strCache>
            </c:strRef>
          </c:tx>
          <c:spPr>
            <a:ln>
              <a:noFill/>
            </a:ln>
          </c:spPr>
          <c:marker>
            <c:symbol val="dash"/>
            <c:size val="9"/>
            <c:spPr>
              <a:solidFill>
                <a:srgbClr val="C6003A"/>
              </a:solidFill>
              <a:ln>
                <a:solidFill>
                  <a:srgbClr val="E2001A"/>
                </a:solidFill>
              </a:ln>
            </c:spPr>
          </c:marker>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Figure_10_MJ_per_pkm_TNC!$I$45:$I$56</c:f>
              <c:numCache>
                <c:formatCode>0.0</c:formatCode>
                <c:ptCount val="12"/>
                <c:pt idx="10">
                  <c:v>2.8909428584375045</c:v>
                </c:pt>
              </c:numCache>
            </c:numRef>
          </c:val>
          <c:smooth val="0"/>
          <c:extLst>
            <c:ext xmlns:c16="http://schemas.microsoft.com/office/drawing/2014/chart" uri="{C3380CC4-5D6E-409C-BE32-E72D297353CC}">
              <c16:uniqueId val="{00000005-A539-4BD4-9CD1-C092AC1C78E1}"/>
            </c:ext>
          </c:extLst>
        </c:ser>
        <c:ser>
          <c:idx val="5"/>
          <c:order val="6"/>
          <c:tx>
            <c:strRef>
              <c:f>Figure_10_MJ_per_pkm_TNC!$J$44</c:f>
              <c:strCache>
                <c:ptCount val="1"/>
                <c:pt idx="0">
                  <c:v>Ridesourcing - car - BEV (two packs) (central estimate)</c:v>
                </c:pt>
              </c:strCache>
            </c:strRef>
          </c:tx>
          <c:spPr>
            <a:ln>
              <a:solidFill>
                <a:srgbClr val="9E005D"/>
              </a:solidFill>
            </a:ln>
          </c:spPr>
          <c:marker>
            <c:symbol val="none"/>
          </c:marker>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Figure_10_MJ_per_pkm_TNC!$J$45:$J$56</c:f>
              <c:numCache>
                <c:formatCode>0.0</c:formatCode>
                <c:ptCount val="12"/>
                <c:pt idx="0">
                  <c:v>3.0456599076638224</c:v>
                </c:pt>
                <c:pt idx="1">
                  <c:v>3.0456599076638224</c:v>
                </c:pt>
                <c:pt idx="2">
                  <c:v>3.0456599076638224</c:v>
                </c:pt>
                <c:pt idx="3">
                  <c:v>3.0456599076638224</c:v>
                </c:pt>
                <c:pt idx="4">
                  <c:v>3.0456599076638224</c:v>
                </c:pt>
                <c:pt idx="5">
                  <c:v>3.0456599076638224</c:v>
                </c:pt>
              </c:numCache>
            </c:numRef>
          </c:val>
          <c:smooth val="0"/>
          <c:extLst>
            <c:ext xmlns:c16="http://schemas.microsoft.com/office/drawing/2014/chart" uri="{C3380CC4-5D6E-409C-BE32-E72D297353CC}">
              <c16:uniqueId val="{00000006-A539-4BD4-9CD1-C092AC1C78E1}"/>
            </c:ext>
          </c:extLst>
        </c:ser>
        <c:ser>
          <c:idx val="0"/>
          <c:order val="7"/>
          <c:tx>
            <c:strRef>
              <c:f>Figure_10_MJ_per_pkm_TNC!$K$44</c:f>
              <c:strCache>
                <c:ptCount val="1"/>
                <c:pt idx="0">
                  <c:v>Ridesourcing - car - FCEV (central estimate)</c:v>
                </c:pt>
              </c:strCache>
            </c:strRef>
          </c:tx>
          <c:spPr>
            <a:ln>
              <a:solidFill>
                <a:srgbClr val="00909D"/>
              </a:solidFill>
            </a:ln>
          </c:spPr>
          <c:marker>
            <c:symbol val="none"/>
          </c:marker>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Figure_10_MJ_per_pkm_TNC!$K$45:$K$56</c:f>
              <c:numCache>
                <c:formatCode>0.0</c:formatCode>
                <c:ptCount val="12"/>
                <c:pt idx="6">
                  <c:v>2.9059820120580349</c:v>
                </c:pt>
                <c:pt idx="7">
                  <c:v>2.9059820120580349</c:v>
                </c:pt>
                <c:pt idx="8">
                  <c:v>2.9059820120580349</c:v>
                </c:pt>
                <c:pt idx="9">
                  <c:v>2.9059820120580349</c:v>
                </c:pt>
              </c:numCache>
            </c:numRef>
          </c:val>
          <c:smooth val="0"/>
          <c:extLst>
            <c:ext xmlns:c16="http://schemas.microsoft.com/office/drawing/2014/chart" uri="{C3380CC4-5D6E-409C-BE32-E72D297353CC}">
              <c16:uniqueId val="{00000007-A539-4BD4-9CD1-C092AC1C78E1}"/>
            </c:ext>
          </c:extLst>
        </c:ser>
        <c:ser>
          <c:idx val="7"/>
          <c:order val="8"/>
          <c:tx>
            <c:strRef>
              <c:f>Figure_10_MJ_per_pkm_TNC!$L$44</c:f>
              <c:strCache>
                <c:ptCount val="1"/>
                <c:pt idx="0">
                  <c:v>Private car - ICE (central estimate)</c:v>
                </c:pt>
              </c:strCache>
            </c:strRef>
          </c:tx>
          <c:spPr>
            <a:ln w="28575">
              <a:solidFill>
                <a:srgbClr val="EEA320"/>
              </a:solidFill>
              <a:prstDash val="solid"/>
            </a:ln>
          </c:spPr>
          <c:marker>
            <c:symbol val="none"/>
          </c:marker>
          <c:cat>
            <c:multiLvlStrRef>
              <c:f>Figure_10_MJ_per_pkm_TNC!$B$45:$C$56</c:f>
              <c:multiLvlStrCache>
                <c:ptCount val="12"/>
                <c:lvl>
                  <c:pt idx="0">
                    <c:v>100% solar, wind or hydro electricity in use phase</c:v>
                  </c:pt>
                  <c:pt idx="1">
                    <c:v>25% smaller battery</c:v>
                  </c:pt>
                  <c:pt idx="2">
                    <c:v>Lower carbon intensity of battery manufacturing</c:v>
                  </c:pt>
                  <c:pt idx="3">
                    <c:v>25% larger battery</c:v>
                  </c:pt>
                  <c:pt idx="4">
                    <c:v>Large size (SUV)</c:v>
                  </c:pt>
                  <c:pt idx="5">
                    <c:v>High carbon intensity of electricity in use phase</c:v>
                  </c:pt>
                  <c:pt idx="6">
                    <c:v>H₂ from electrolysis, 100% solar, wind or hydro electricity</c:v>
                  </c:pt>
                  <c:pt idx="7">
                    <c:v>Large size (SUV), H₂ from natural gas</c:v>
                  </c:pt>
                  <c:pt idx="8">
                    <c:v>H₂ from electrolysis, 100% natural gas electricity</c:v>
                  </c:pt>
                  <c:pt idx="9">
                    <c:v>H₂ from electrolysis, global grid mix</c:v>
                  </c:pt>
                  <c:pt idx="10">
                    <c:v>Large size (SUV) - HEV</c:v>
                  </c:pt>
                  <c:pt idx="11">
                    <c:v>Large size (SUV) - ICE</c:v>
                  </c:pt>
                </c:lvl>
                <c:lvl>
                  <c:pt idx="0">
                    <c:v>BEV (2 packs)</c:v>
                  </c:pt>
                  <c:pt idx="6">
                    <c:v>FCEV</c:v>
                  </c:pt>
                  <c:pt idx="10">
                    <c:v>ICE/HEV</c:v>
                  </c:pt>
                </c:lvl>
              </c:multiLvlStrCache>
            </c:multiLvlStrRef>
          </c:cat>
          <c:val>
            <c:numRef>
              <c:f>Figure_10_MJ_per_pkm_TNC!$L$45:$L$56</c:f>
              <c:numCache>
                <c:formatCode>0.0</c:formatCode>
                <c:ptCount val="12"/>
                <c:pt idx="0">
                  <c:v>2.1835613123627797</c:v>
                </c:pt>
                <c:pt idx="1">
                  <c:v>2.1835613123627797</c:v>
                </c:pt>
                <c:pt idx="2">
                  <c:v>2.1835613123627797</c:v>
                </c:pt>
                <c:pt idx="3">
                  <c:v>2.1835613123627797</c:v>
                </c:pt>
                <c:pt idx="4">
                  <c:v>2.1835613123627797</c:v>
                </c:pt>
                <c:pt idx="5">
                  <c:v>2.1835613123627797</c:v>
                </c:pt>
                <c:pt idx="6">
                  <c:v>2.1835613123627797</c:v>
                </c:pt>
                <c:pt idx="7">
                  <c:v>2.1835613123627797</c:v>
                </c:pt>
                <c:pt idx="8">
                  <c:v>2.1835613123627797</c:v>
                </c:pt>
                <c:pt idx="9">
                  <c:v>2.1835613123627797</c:v>
                </c:pt>
                <c:pt idx="10">
                  <c:v>2.1835613123627797</c:v>
                </c:pt>
                <c:pt idx="11">
                  <c:v>2.1835613123627797</c:v>
                </c:pt>
              </c:numCache>
            </c:numRef>
          </c:val>
          <c:smooth val="0"/>
          <c:extLst>
            <c:ext xmlns:c16="http://schemas.microsoft.com/office/drawing/2014/chart" uri="{C3380CC4-5D6E-409C-BE32-E72D297353CC}">
              <c16:uniqueId val="{00000008-A539-4BD4-9CD1-C092AC1C78E1}"/>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Figure_10_MJ_per_pkm_TNC!$C$11</c:f>
              <c:strCache>
                <c:ptCount val="1"/>
                <c:pt idx="0">
                  <c:v>Energy consumption per pkm [MJ/pkm]</c:v>
                </c:pt>
              </c:strCache>
            </c:strRef>
          </c:tx>
          <c:layout>
            <c:manualLayout>
              <c:xMode val="edge"/>
              <c:yMode val="edge"/>
              <c:x val="1.4155555555555555E-2"/>
              <c:y val="5.5968055555555563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3.9009625585230238E-2"/>
          <c:y val="0.86627410889052348"/>
          <c:w val="0.96099037441476975"/>
          <c:h val="0.1337258911094765"/>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23365813302254"/>
          <c:y val="3.9679536487928338E-2"/>
          <c:w val="0.48259688265156653"/>
          <c:h val="0.51518439811844441"/>
        </c:manualLayout>
      </c:layout>
      <c:barChart>
        <c:barDir val="col"/>
        <c:grouping val="stacked"/>
        <c:varyColors val="0"/>
        <c:ser>
          <c:idx val="1"/>
          <c:order val="0"/>
          <c:tx>
            <c:strRef>
              <c:f>Figure_11_GHG_per_pkm_TNC!$D$44</c:f>
              <c:strCache>
                <c:ptCount val="1"/>
                <c:pt idx="0">
                  <c:v>Vehicle component</c:v>
                </c:pt>
              </c:strCache>
            </c:strRef>
          </c:tx>
          <c:spPr>
            <a:solidFill>
              <a:srgbClr val="003E7E"/>
            </a:solidFill>
          </c:spPr>
          <c:invertIfNegative val="0"/>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Figure_11_GHG_per_pkm_TNC!$D$45:$D$50</c:f>
              <c:numCache>
                <c:formatCode>0</c:formatCode>
                <c:ptCount val="6"/>
                <c:pt idx="0">
                  <c:v>13.28295241028977</c:v>
                </c:pt>
                <c:pt idx="1">
                  <c:v>17.290739775463404</c:v>
                </c:pt>
                <c:pt idx="2">
                  <c:v>17.848505574671897</c:v>
                </c:pt>
                <c:pt idx="3">
                  <c:v>19.281705111710956</c:v>
                </c:pt>
                <c:pt idx="4">
                  <c:v>26.468522471530491</c:v>
                </c:pt>
                <c:pt idx="5">
                  <c:v>34.581479550926808</c:v>
                </c:pt>
              </c:numCache>
            </c:numRef>
          </c:val>
          <c:extLst>
            <c:ext xmlns:c16="http://schemas.microsoft.com/office/drawing/2014/chart" uri="{C3380CC4-5D6E-409C-BE32-E72D297353CC}">
              <c16:uniqueId val="{00000000-596D-48E4-B395-1D5429FC03E2}"/>
            </c:ext>
          </c:extLst>
        </c:ser>
        <c:ser>
          <c:idx val="2"/>
          <c:order val="1"/>
          <c:tx>
            <c:strRef>
              <c:f>Figure_11_GHG_per_pkm_TNC!$E$44</c:f>
              <c:strCache>
                <c:ptCount val="1"/>
                <c:pt idx="0">
                  <c:v>Fuel component</c:v>
                </c:pt>
              </c:strCache>
            </c:strRef>
          </c:tx>
          <c:spPr>
            <a:solidFill>
              <a:srgbClr val="7BC143"/>
            </a:solidFill>
          </c:spPr>
          <c:invertIfNegative val="0"/>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Figure_11_GHG_per_pkm_TNC!$E$45:$E$50</c:f>
              <c:numCache>
                <c:formatCode>0</c:formatCode>
                <c:ptCount val="6"/>
                <c:pt idx="0">
                  <c:v>72.384073195231792</c:v>
                </c:pt>
                <c:pt idx="1">
                  <c:v>94.224095279999986</c:v>
                </c:pt>
                <c:pt idx="2">
                  <c:v>97.263582224516099</c:v>
                </c:pt>
                <c:pt idx="3">
                  <c:v>105.0736546382397</c:v>
                </c:pt>
                <c:pt idx="4">
                  <c:v>144.23747136703813</c:v>
                </c:pt>
                <c:pt idx="5">
                  <c:v>188.44819055999997</c:v>
                </c:pt>
              </c:numCache>
            </c:numRef>
          </c:val>
          <c:extLst>
            <c:ext xmlns:c16="http://schemas.microsoft.com/office/drawing/2014/chart" uri="{C3380CC4-5D6E-409C-BE32-E72D297353CC}">
              <c16:uniqueId val="{00000001-596D-48E4-B395-1D5429FC03E2}"/>
            </c:ext>
          </c:extLst>
        </c:ser>
        <c:ser>
          <c:idx val="3"/>
          <c:order val="2"/>
          <c:tx>
            <c:strRef>
              <c:f>Figure_11_GHG_per_pkm_TNC!$F$44</c:f>
              <c:strCache>
                <c:ptCount val="1"/>
                <c:pt idx="0">
                  <c:v>Infrastructure component</c:v>
                </c:pt>
              </c:strCache>
            </c:strRef>
          </c:tx>
          <c:spPr>
            <a:solidFill>
              <a:srgbClr val="939598"/>
            </a:solidFill>
          </c:spPr>
          <c:invertIfNegative val="0"/>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Figure_11_GHG_per_pkm_TNC!$F$45:$F$50</c:f>
              <c:numCache>
                <c:formatCode>0</c:formatCode>
                <c:ptCount val="6"/>
                <c:pt idx="0">
                  <c:v>12.147334446495694</c:v>
                </c:pt>
                <c:pt idx="1">
                  <c:v>15.812478460524565</c:v>
                </c:pt>
                <c:pt idx="2">
                  <c:v>16.322558410864065</c:v>
                </c:pt>
                <c:pt idx="3">
                  <c:v>17.63322742233246</c:v>
                </c:pt>
                <c:pt idx="4">
                  <c:v>24.205612188838192</c:v>
                </c:pt>
                <c:pt idx="5">
                  <c:v>31.624956921049129</c:v>
                </c:pt>
              </c:numCache>
            </c:numRef>
          </c:val>
          <c:extLst>
            <c:ext xmlns:c16="http://schemas.microsoft.com/office/drawing/2014/chart" uri="{C3380CC4-5D6E-409C-BE32-E72D297353CC}">
              <c16:uniqueId val="{00000002-596D-48E4-B395-1D5429FC03E2}"/>
            </c:ext>
          </c:extLst>
        </c:ser>
        <c:ser>
          <c:idx val="4"/>
          <c:order val="3"/>
          <c:tx>
            <c:strRef>
              <c:f>Figure_11_GHG_per_pkm_TNC!$G$44</c:f>
              <c:strCache>
                <c:ptCount val="1"/>
                <c:pt idx="0">
                  <c:v>Operational services</c:v>
                </c:pt>
              </c:strCache>
            </c:strRef>
          </c:tx>
          <c:spPr>
            <a:solidFill>
              <a:srgbClr val="007DC3"/>
            </a:solidFill>
          </c:spPr>
          <c:invertIfNegative val="0"/>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Figure_11_GHG_per_pkm_TNC!$G$45:$G$50</c:f>
              <c:numCache>
                <c:formatCode>0</c:formatCode>
                <c:ptCount val="6"/>
                <c:pt idx="0">
                  <c:v>66.474093885690067</c:v>
                </c:pt>
                <c:pt idx="1">
                  <c:v>86.530932558096538</c:v>
                </c:pt>
                <c:pt idx="2">
                  <c:v>89.322252963196405</c:v>
                </c:pt>
                <c:pt idx="3">
                  <c:v>96.494652414711396</c:v>
                </c:pt>
                <c:pt idx="4">
                  <c:v>132.4608410420129</c:v>
                </c:pt>
                <c:pt idx="5">
                  <c:v>173.06186511619308</c:v>
                </c:pt>
              </c:numCache>
            </c:numRef>
          </c:val>
          <c:extLst>
            <c:ext xmlns:c16="http://schemas.microsoft.com/office/drawing/2014/chart" uri="{C3380CC4-5D6E-409C-BE32-E72D297353CC}">
              <c16:uniqueId val="{00000003-596D-48E4-B395-1D5429FC03E2}"/>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Figure_11_GHG_per_pkm_TNC!$H$44</c:f>
              <c:strCache>
                <c:ptCount val="1"/>
                <c:pt idx="0">
                  <c:v>Private car - ICE (central estimate)</c:v>
                </c:pt>
              </c:strCache>
            </c:strRef>
          </c:tx>
          <c:spPr>
            <a:ln>
              <a:solidFill>
                <a:srgbClr val="EEA320"/>
              </a:solidFill>
            </a:ln>
          </c:spPr>
          <c:marker>
            <c:symbol val="none"/>
          </c:marker>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Figure_11_GHG_per_pkm_TNC!$H$45:$H$50</c:f>
              <c:numCache>
                <c:formatCode>0</c:formatCode>
                <c:ptCount val="6"/>
                <c:pt idx="0">
                  <c:v>161.97203672281782</c:v>
                </c:pt>
                <c:pt idx="1">
                  <c:v>161.97203672281782</c:v>
                </c:pt>
                <c:pt idx="2">
                  <c:v>161.97203672281782</c:v>
                </c:pt>
                <c:pt idx="3">
                  <c:v>161.97203672281782</c:v>
                </c:pt>
                <c:pt idx="4">
                  <c:v>161.97203672281782</c:v>
                </c:pt>
                <c:pt idx="5">
                  <c:v>161.97203672281782</c:v>
                </c:pt>
              </c:numCache>
            </c:numRef>
          </c:val>
          <c:smooth val="0"/>
          <c:extLst>
            <c:ext xmlns:c16="http://schemas.microsoft.com/office/drawing/2014/chart" uri="{C3380CC4-5D6E-409C-BE32-E72D297353CC}">
              <c16:uniqueId val="{00000004-596D-48E4-B395-1D5429FC03E2}"/>
            </c:ext>
          </c:extLst>
        </c:ser>
        <c:ser>
          <c:idx val="6"/>
          <c:order val="5"/>
          <c:tx>
            <c:strRef>
              <c:f>Figure_11_GHG_per_pkm_TNC!$I$44</c:f>
              <c:strCache>
                <c:ptCount val="1"/>
                <c:pt idx="0">
                  <c:v>Ridesourcing - car - ICE (central estimate)</c:v>
                </c:pt>
              </c:strCache>
            </c:strRef>
          </c:tx>
          <c:spPr>
            <a:ln>
              <a:solidFill>
                <a:schemeClr val="tx1"/>
              </a:solidFill>
            </a:ln>
          </c:spPr>
          <c:marker>
            <c:symbol val="none"/>
          </c:marker>
          <c:cat>
            <c:strRef>
              <c:f>Figure_11_GHG_per_pkm_TNC!$C$45:$C$50</c:f>
              <c:strCache>
                <c:ptCount val="6"/>
                <c:pt idx="0">
                  <c:v>25% lower deadheading km share and 2.25 passengers</c:v>
                </c:pt>
                <c:pt idx="1">
                  <c:v>Two passengers on board, no change in deadheading km share</c:v>
                </c:pt>
                <c:pt idx="2">
                  <c:v>25% higher average load: 1,94 passengers on board, no change in deadheading km share</c:v>
                </c:pt>
                <c:pt idx="3">
                  <c:v>Average load, 25% lower deadheading km share</c:v>
                </c:pt>
                <c:pt idx="4">
                  <c:v>Average load, 25% higher deadheading km share</c:v>
                </c:pt>
                <c:pt idx="5">
                  <c:v>Single passenger on board, no change in deadheading km share</c:v>
                </c:pt>
              </c:strCache>
            </c:strRef>
          </c:cat>
          <c:val>
            <c:numRef>
              <c:f>Figure_11_GHG_per_pkm_TNC!$I$45:$I$50</c:f>
              <c:numCache>
                <c:formatCode>0</c:formatCode>
                <c:ptCount val="6"/>
                <c:pt idx="0">
                  <c:v>275.94612396656066</c:v>
                </c:pt>
                <c:pt idx="1">
                  <c:v>275.94612396656066</c:v>
                </c:pt>
                <c:pt idx="2">
                  <c:v>275.94612396656066</c:v>
                </c:pt>
                <c:pt idx="3">
                  <c:v>275.94612396656066</c:v>
                </c:pt>
                <c:pt idx="4">
                  <c:v>275.94612396656066</c:v>
                </c:pt>
                <c:pt idx="5">
                  <c:v>275.94612396656066</c:v>
                </c:pt>
              </c:numCache>
            </c:numRef>
          </c:val>
          <c:smooth val="0"/>
          <c:extLst>
            <c:ext xmlns:c16="http://schemas.microsoft.com/office/drawing/2014/chart" uri="{C3380CC4-5D6E-409C-BE32-E72D297353CC}">
              <c16:uniqueId val="{00000005-596D-48E4-B395-1D5429FC03E2}"/>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Figure_11_GHG_per_pkm_TNC!$C$11</c:f>
              <c:strCache>
                <c:ptCount val="1"/>
                <c:pt idx="0">
                  <c:v>GHG emissions per pkm [g CO₂/pkm]</c:v>
                </c:pt>
              </c:strCache>
            </c:strRef>
          </c:tx>
          <c:layout>
            <c:manualLayout>
              <c:xMode val="edge"/>
              <c:yMode val="edge"/>
              <c:x val="0.22312266386799609"/>
              <c:y val="8.068946357233249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100"/>
      </c:valAx>
      <c:spPr>
        <a:solidFill>
          <a:srgbClr val="F9F8F7"/>
        </a:solidFill>
        <a:ln>
          <a:noFill/>
        </a:ln>
      </c:spPr>
    </c:plotArea>
    <c:legend>
      <c:legendPos val="b"/>
      <c:layout>
        <c:manualLayout>
          <c:xMode val="edge"/>
          <c:yMode val="edge"/>
          <c:x val="0.23193191583056108"/>
          <c:y val="0.86544334241972021"/>
          <c:w val="0.54616461634811697"/>
          <c:h val="0.13455666256814694"/>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00934618846001"/>
          <c:y val="3.7099579067527554E-2"/>
          <c:w val="0.48259688265156653"/>
          <c:h val="0.52355415938358363"/>
        </c:manualLayout>
      </c:layout>
      <c:barChart>
        <c:barDir val="col"/>
        <c:grouping val="stacked"/>
        <c:varyColors val="0"/>
        <c:ser>
          <c:idx val="1"/>
          <c:order val="0"/>
          <c:tx>
            <c:strRef>
              <c:f>MJ_per_pkm_TNC!$D$44</c:f>
              <c:strCache>
                <c:ptCount val="1"/>
                <c:pt idx="0">
                  <c:v>Vehicle component</c:v>
                </c:pt>
              </c:strCache>
            </c:strRef>
          </c:tx>
          <c:spPr>
            <a:solidFill>
              <a:srgbClr val="003E7E"/>
            </a:solidFill>
          </c:spPr>
          <c:invertIfNegative val="0"/>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MJ_per_pkm_TNC!$D$45:$D$50</c:f>
              <c:numCache>
                <c:formatCode>0.0</c:formatCode>
                <c:ptCount val="6"/>
                <c:pt idx="0">
                  <c:v>0.14662999537918589</c:v>
                </c:pt>
                <c:pt idx="1">
                  <c:v>0.19087180432980227</c:v>
                </c:pt>
                <c:pt idx="2">
                  <c:v>0.19702895930818298</c:v>
                </c:pt>
                <c:pt idx="3">
                  <c:v>0.21284999329236662</c:v>
                </c:pt>
                <c:pt idx="4">
                  <c:v>0.29218499079224869</c:v>
                </c:pt>
                <c:pt idx="5">
                  <c:v>0.38174360865960455</c:v>
                </c:pt>
              </c:numCache>
            </c:numRef>
          </c:val>
          <c:extLst>
            <c:ext xmlns:c16="http://schemas.microsoft.com/office/drawing/2014/chart" uri="{C3380CC4-5D6E-409C-BE32-E72D297353CC}">
              <c16:uniqueId val="{00000000-823C-4DC6-9706-EC23F5BBE575}"/>
            </c:ext>
          </c:extLst>
        </c:ser>
        <c:ser>
          <c:idx val="2"/>
          <c:order val="1"/>
          <c:tx>
            <c:strRef>
              <c:f>MJ_per_pkm_TNC!$E$44</c:f>
              <c:strCache>
                <c:ptCount val="1"/>
                <c:pt idx="0">
                  <c:v>Fuel component</c:v>
                </c:pt>
              </c:strCache>
            </c:strRef>
          </c:tx>
          <c:spPr>
            <a:solidFill>
              <a:srgbClr val="7BC143"/>
            </a:solidFill>
          </c:spPr>
          <c:invertIfNegative val="0"/>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MJ_per_pkm_TNC!$E$45:$E$50</c:f>
              <c:numCache>
                <c:formatCode>0.0</c:formatCode>
                <c:ptCount val="6"/>
                <c:pt idx="0">
                  <c:v>1.0686148256077252</c:v>
                </c:pt>
                <c:pt idx="1">
                  <c:v>1.3910417126445385</c:v>
                </c:pt>
                <c:pt idx="2">
                  <c:v>1.4359140259556524</c:v>
                </c:pt>
                <c:pt idx="3">
                  <c:v>1.5512150694305686</c:v>
                </c:pt>
                <c:pt idx="4">
                  <c:v>2.1293952316728713</c:v>
                </c:pt>
                <c:pt idx="5">
                  <c:v>2.7820834252890769</c:v>
                </c:pt>
              </c:numCache>
            </c:numRef>
          </c:val>
          <c:extLst>
            <c:ext xmlns:c16="http://schemas.microsoft.com/office/drawing/2014/chart" uri="{C3380CC4-5D6E-409C-BE32-E72D297353CC}">
              <c16:uniqueId val="{00000001-823C-4DC6-9706-EC23F5BBE575}"/>
            </c:ext>
          </c:extLst>
        </c:ser>
        <c:ser>
          <c:idx val="3"/>
          <c:order val="2"/>
          <c:tx>
            <c:strRef>
              <c:f>MJ_per_pkm_TNC!$F$44</c:f>
              <c:strCache>
                <c:ptCount val="1"/>
                <c:pt idx="0">
                  <c:v>Infrastructure component</c:v>
                </c:pt>
              </c:strCache>
            </c:strRef>
          </c:tx>
          <c:spPr>
            <a:solidFill>
              <a:srgbClr val="939598"/>
            </a:solidFill>
          </c:spPr>
          <c:invertIfNegative val="0"/>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MJ_per_pkm_TNC!$F$45:$F$50</c:f>
              <c:numCache>
                <c:formatCode>0.0</c:formatCode>
                <c:ptCount val="6"/>
                <c:pt idx="0">
                  <c:v>3.5550976474342959E-2</c:v>
                </c:pt>
                <c:pt idx="1">
                  <c:v>4.6277564203670567E-2</c:v>
                </c:pt>
                <c:pt idx="2">
                  <c:v>4.7770388855401871E-2</c:v>
                </c:pt>
                <c:pt idx="3">
                  <c:v>5.1606256172433328E-2</c:v>
                </c:pt>
                <c:pt idx="4">
                  <c:v>7.0841315291249374E-2</c:v>
                </c:pt>
                <c:pt idx="5">
                  <c:v>9.2555128407341133E-2</c:v>
                </c:pt>
              </c:numCache>
            </c:numRef>
          </c:val>
          <c:extLst>
            <c:ext xmlns:c16="http://schemas.microsoft.com/office/drawing/2014/chart" uri="{C3380CC4-5D6E-409C-BE32-E72D297353CC}">
              <c16:uniqueId val="{00000002-823C-4DC6-9706-EC23F5BBE575}"/>
            </c:ext>
          </c:extLst>
        </c:ser>
        <c:ser>
          <c:idx val="4"/>
          <c:order val="3"/>
          <c:tx>
            <c:strRef>
              <c:f>MJ_per_pkm_TNC!$G$44</c:f>
              <c:strCache>
                <c:ptCount val="1"/>
                <c:pt idx="0">
                  <c:v>Operational services</c:v>
                </c:pt>
              </c:strCache>
            </c:strRef>
          </c:tx>
          <c:spPr>
            <a:solidFill>
              <a:srgbClr val="007DC3"/>
            </a:solidFill>
          </c:spPr>
          <c:invertIfNegative val="0"/>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MJ_per_pkm_TNC!$G$45:$G$50</c:f>
              <c:numCache>
                <c:formatCode>0.0</c:formatCode>
                <c:ptCount val="6"/>
                <c:pt idx="0">
                  <c:v>0.98136508639814424</c:v>
                </c:pt>
                <c:pt idx="1">
                  <c:v>1.277466621087239</c:v>
                </c:pt>
                <c:pt idx="2">
                  <c:v>1.3186752217674724</c:v>
                </c:pt>
                <c:pt idx="3">
                  <c:v>1.4245622221908543</c:v>
                </c:pt>
                <c:pt idx="4">
                  <c:v>1.9555354140983543</c:v>
                </c:pt>
                <c:pt idx="5">
                  <c:v>2.5549332421744779</c:v>
                </c:pt>
              </c:numCache>
            </c:numRef>
          </c:val>
          <c:extLst>
            <c:ext xmlns:c16="http://schemas.microsoft.com/office/drawing/2014/chart" uri="{C3380CC4-5D6E-409C-BE32-E72D297353CC}">
              <c16:uniqueId val="{00000003-823C-4DC6-9706-EC23F5BBE575}"/>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MJ_per_pkm_TNC!$H$44</c:f>
              <c:strCache>
                <c:ptCount val="1"/>
                <c:pt idx="0">
                  <c:v>Private car - ICE (central estimate)</c:v>
                </c:pt>
              </c:strCache>
            </c:strRef>
          </c:tx>
          <c:spPr>
            <a:ln>
              <a:solidFill>
                <a:srgbClr val="EEA320"/>
              </a:solidFill>
            </a:ln>
          </c:spPr>
          <c:marker>
            <c:symbol val="none"/>
          </c:marker>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MJ_per_pkm_TNC!$H$45:$H$50</c:f>
              <c:numCache>
                <c:formatCode>0.0</c:formatCode>
                <c:ptCount val="6"/>
                <c:pt idx="0">
                  <c:v>2.1835613123627797</c:v>
                </c:pt>
                <c:pt idx="1">
                  <c:v>2.1835613123627797</c:v>
                </c:pt>
                <c:pt idx="2">
                  <c:v>2.1835613123627797</c:v>
                </c:pt>
                <c:pt idx="3">
                  <c:v>2.1835613123627797</c:v>
                </c:pt>
                <c:pt idx="4">
                  <c:v>2.1835613123627797</c:v>
                </c:pt>
                <c:pt idx="5">
                  <c:v>2.1835613123627797</c:v>
                </c:pt>
              </c:numCache>
            </c:numRef>
          </c:val>
          <c:smooth val="0"/>
          <c:extLst>
            <c:ext xmlns:c16="http://schemas.microsoft.com/office/drawing/2014/chart" uri="{C3380CC4-5D6E-409C-BE32-E72D297353CC}">
              <c16:uniqueId val="{00000004-823C-4DC6-9706-EC23F5BBE575}"/>
            </c:ext>
          </c:extLst>
        </c:ser>
        <c:ser>
          <c:idx val="6"/>
          <c:order val="5"/>
          <c:tx>
            <c:strRef>
              <c:f>MJ_per_pkm_TNC!$I$44</c:f>
              <c:strCache>
                <c:ptCount val="1"/>
                <c:pt idx="0">
                  <c:v>Ridesourcing - car - ICE (central estimate)</c:v>
                </c:pt>
              </c:strCache>
            </c:strRef>
          </c:tx>
          <c:spPr>
            <a:ln>
              <a:solidFill>
                <a:schemeClr val="tx1"/>
              </a:solidFill>
            </a:ln>
          </c:spPr>
          <c:marker>
            <c:symbol val="none"/>
          </c:marker>
          <c:cat>
            <c:strRef>
              <c:f>MJ_per_pkm_TNC!$C$45:$C$50</c:f>
              <c:strCache>
                <c:ptCount val="6"/>
                <c:pt idx="0">
                  <c:v>A5% lower deadheading km share and 2.25 passengers</c:v>
                </c:pt>
                <c:pt idx="1">
                  <c:v>To passengers on board, no change in deadheading km share</c:v>
                </c:pt>
                <c:pt idx="2">
                  <c:v>5% higher average load: 1,94 passengers on board, no change in deadheading km share</c:v>
                </c:pt>
                <c:pt idx="3">
                  <c:v>Average load, 25% lower deadheading km share</c:v>
                </c:pt>
                <c:pt idx="4">
                  <c:v>Average load, 25% higher deadheading km share</c:v>
                </c:pt>
                <c:pt idx="5">
                  <c:v>Sngle passenger on board, no change in deadheading km share</c:v>
                </c:pt>
              </c:strCache>
            </c:strRef>
          </c:cat>
          <c:val>
            <c:numRef>
              <c:f>MJ_per_pkm_TNC!$I$45:$I$50</c:f>
              <c:numCache>
                <c:formatCode>0.0</c:formatCode>
                <c:ptCount val="6"/>
                <c:pt idx="0">
                  <c:v>3.7492357448583875</c:v>
                </c:pt>
                <c:pt idx="1">
                  <c:v>3.7492357448583875</c:v>
                </c:pt>
                <c:pt idx="2">
                  <c:v>3.7492357448583875</c:v>
                </c:pt>
                <c:pt idx="3">
                  <c:v>3.7492357448583875</c:v>
                </c:pt>
                <c:pt idx="4">
                  <c:v>3.7492357448583875</c:v>
                </c:pt>
                <c:pt idx="5">
                  <c:v>3.7492357448583875</c:v>
                </c:pt>
              </c:numCache>
            </c:numRef>
          </c:val>
          <c:smooth val="0"/>
          <c:extLst>
            <c:ext xmlns:c16="http://schemas.microsoft.com/office/drawing/2014/chart" uri="{C3380CC4-5D6E-409C-BE32-E72D297353CC}">
              <c16:uniqueId val="{00000005-823C-4DC6-9706-EC23F5BBE575}"/>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MJ_per_pkm_TNC!$C$11</c:f>
              <c:strCache>
                <c:ptCount val="1"/>
                <c:pt idx="0">
                  <c:v>Energy consumption per pkm [MJ/pkm]</c:v>
                </c:pt>
              </c:strCache>
            </c:strRef>
          </c:tx>
          <c:layout>
            <c:manualLayout>
              <c:xMode val="edge"/>
              <c:yMode val="edge"/>
              <c:x val="0.21801050789571483"/>
              <c:y val="6.1561819997859681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0.26547607103441356"/>
          <c:y val="0.86544340598580249"/>
          <c:w val="0.49984014449287462"/>
          <c:h val="0.13455666256814694"/>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15653200194537E-2"/>
          <c:y val="3.9679536487928338E-2"/>
          <c:w val="0.85450622963502731"/>
          <c:h val="0.60148989400705"/>
        </c:manualLayout>
      </c:layout>
      <c:barChart>
        <c:barDir val="col"/>
        <c:grouping val="stacked"/>
        <c:varyColors val="0"/>
        <c:ser>
          <c:idx val="1"/>
          <c:order val="0"/>
          <c:tx>
            <c:strRef>
              <c:f>Figure_12_GHG_per_pkm_Bus!$D$44</c:f>
              <c:strCache>
                <c:ptCount val="1"/>
                <c:pt idx="0">
                  <c:v>Vehicle component</c:v>
                </c:pt>
              </c:strCache>
            </c:strRef>
          </c:tx>
          <c:spPr>
            <a:solidFill>
              <a:srgbClr val="003E7E"/>
            </a:solidFill>
          </c:spPr>
          <c:invertIfNegative val="0"/>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Figure_12_GHG_per_pkm_Bus!$D$45:$D$54</c:f>
              <c:numCache>
                <c:formatCode>0</c:formatCode>
                <c:ptCount val="10"/>
                <c:pt idx="0">
                  <c:v>11.055486201853636</c:v>
                </c:pt>
                <c:pt idx="1">
                  <c:v>17.060980443414817</c:v>
                </c:pt>
                <c:pt idx="2">
                  <c:v>5.3894320699833536</c:v>
                </c:pt>
                <c:pt idx="3">
                  <c:v>11.025198611180571</c:v>
                </c:pt>
                <c:pt idx="4">
                  <c:v>17.060980443414817</c:v>
                </c:pt>
                <c:pt idx="5">
                  <c:v>6.5489200974263815</c:v>
                </c:pt>
                <c:pt idx="6">
                  <c:v>10.642861450889445</c:v>
                </c:pt>
                <c:pt idx="7">
                  <c:v>8.0841481049750303</c:v>
                </c:pt>
                <c:pt idx="8">
                  <c:v>8.0841481049750303</c:v>
                </c:pt>
                <c:pt idx="9">
                  <c:v>16.168296209950061</c:v>
                </c:pt>
              </c:numCache>
            </c:numRef>
          </c:val>
          <c:extLst>
            <c:ext xmlns:c16="http://schemas.microsoft.com/office/drawing/2014/chart" uri="{C3380CC4-5D6E-409C-BE32-E72D297353CC}">
              <c16:uniqueId val="{00000000-039F-446C-92FE-52B667ED3B02}"/>
            </c:ext>
          </c:extLst>
        </c:ser>
        <c:ser>
          <c:idx val="2"/>
          <c:order val="1"/>
          <c:tx>
            <c:strRef>
              <c:f>Figure_12_GHG_per_pkm_Bus!$E$44</c:f>
              <c:strCache>
                <c:ptCount val="1"/>
                <c:pt idx="0">
                  <c:v>Fuel component</c:v>
                </c:pt>
              </c:strCache>
            </c:strRef>
          </c:tx>
          <c:spPr>
            <a:solidFill>
              <a:srgbClr val="7BC143"/>
            </a:solidFill>
          </c:spPr>
          <c:invertIfNegative val="0"/>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Figure_12_GHG_per_pkm_Bus!$E$45:$E$54</c:f>
              <c:numCache>
                <c:formatCode>0</c:formatCode>
                <c:ptCount val="10"/>
                <c:pt idx="0">
                  <c:v>0.44440777552615163</c:v>
                </c:pt>
                <c:pt idx="1">
                  <c:v>0</c:v>
                </c:pt>
                <c:pt idx="2">
                  <c:v>47.890416662597374</c:v>
                </c:pt>
                <c:pt idx="3">
                  <c:v>43.913662604355508</c:v>
                </c:pt>
                <c:pt idx="4">
                  <c:v>10.462368334191947</c:v>
                </c:pt>
                <c:pt idx="5">
                  <c:v>71.835624993896062</c:v>
                </c:pt>
                <c:pt idx="6">
                  <c:v>71.835624993896062</c:v>
                </c:pt>
                <c:pt idx="7">
                  <c:v>64.652062494506453</c:v>
                </c:pt>
                <c:pt idx="8">
                  <c:v>71.835624993896076</c:v>
                </c:pt>
                <c:pt idx="9">
                  <c:v>143.67124998779212</c:v>
                </c:pt>
              </c:numCache>
            </c:numRef>
          </c:val>
          <c:extLst>
            <c:ext xmlns:c16="http://schemas.microsoft.com/office/drawing/2014/chart" uri="{C3380CC4-5D6E-409C-BE32-E72D297353CC}">
              <c16:uniqueId val="{00000001-039F-446C-92FE-52B667ED3B02}"/>
            </c:ext>
          </c:extLst>
        </c:ser>
        <c:ser>
          <c:idx val="3"/>
          <c:order val="2"/>
          <c:tx>
            <c:strRef>
              <c:f>Figure_12_GHG_per_pkm_Bus!$F$44</c:f>
              <c:strCache>
                <c:ptCount val="1"/>
                <c:pt idx="0">
                  <c:v>Infrastructure component</c:v>
                </c:pt>
              </c:strCache>
            </c:strRef>
          </c:tx>
          <c:spPr>
            <a:solidFill>
              <a:srgbClr val="939598"/>
            </a:solidFill>
          </c:spPr>
          <c:invertIfNegative val="0"/>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Figure_12_GHG_per_pkm_Bus!$F$45:$F$54</c:f>
              <c:numCache>
                <c:formatCode>0</c:formatCode>
                <c:ptCount val="10"/>
                <c:pt idx="0">
                  <c:v>4.0625475229856942</c:v>
                </c:pt>
                <c:pt idx="1">
                  <c:v>3.9264293380027726</c:v>
                </c:pt>
                <c:pt idx="2">
                  <c:v>2.4016301590520137</c:v>
                </c:pt>
                <c:pt idx="3">
                  <c:v>4.0625475229856942</c:v>
                </c:pt>
                <c:pt idx="4">
                  <c:v>3.9264293380027726</c:v>
                </c:pt>
                <c:pt idx="5">
                  <c:v>3.6024452385780199</c:v>
                </c:pt>
                <c:pt idx="6">
                  <c:v>3.6024452385780199</c:v>
                </c:pt>
                <c:pt idx="7">
                  <c:v>15.378021549178094</c:v>
                </c:pt>
                <c:pt idx="8">
                  <c:v>3.9626897624358226</c:v>
                </c:pt>
                <c:pt idx="9">
                  <c:v>7.2048904771560398</c:v>
                </c:pt>
              </c:numCache>
            </c:numRef>
          </c:val>
          <c:extLst>
            <c:ext xmlns:c16="http://schemas.microsoft.com/office/drawing/2014/chart" uri="{C3380CC4-5D6E-409C-BE32-E72D297353CC}">
              <c16:uniqueId val="{00000002-039F-446C-92FE-52B667ED3B02}"/>
            </c:ext>
          </c:extLst>
        </c:ser>
        <c:ser>
          <c:idx val="4"/>
          <c:order val="3"/>
          <c:tx>
            <c:strRef>
              <c:f>Figure_12_GHG_per_pkm_Bus!$G$44</c:f>
              <c:strCache>
                <c:ptCount val="1"/>
                <c:pt idx="0">
                  <c:v>Operational services</c:v>
                </c:pt>
              </c:strCache>
            </c:strRef>
          </c:tx>
          <c:spPr>
            <a:solidFill>
              <a:srgbClr val="007DC3"/>
            </a:solidFill>
          </c:spPr>
          <c:invertIfNegative val="0"/>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Figure_12_GHG_per_pkm_Bus!$G$45:$G$54</c:f>
              <c:numCache>
                <c:formatCode>0</c:formatCode>
                <c:ptCount val="10"/>
                <c:pt idx="0">
                  <c:v>4.9378641725127959E-2</c:v>
                </c:pt>
                <c:pt idx="1">
                  <c:v>0</c:v>
                </c:pt>
                <c:pt idx="2">
                  <c:v>5.3211574069552645</c:v>
                </c:pt>
                <c:pt idx="3">
                  <c:v>4.8792958449283903</c:v>
                </c:pt>
                <c:pt idx="4">
                  <c:v>1.1624853704657718</c:v>
                </c:pt>
                <c:pt idx="5">
                  <c:v>7.9817361104328963</c:v>
                </c:pt>
                <c:pt idx="6">
                  <c:v>7.9817361104328963</c:v>
                </c:pt>
                <c:pt idx="7">
                  <c:v>7.1835624993896063</c:v>
                </c:pt>
                <c:pt idx="8">
                  <c:v>15.963472220865796</c:v>
                </c:pt>
                <c:pt idx="9">
                  <c:v>15.963472220865793</c:v>
                </c:pt>
              </c:numCache>
            </c:numRef>
          </c:val>
          <c:extLst>
            <c:ext xmlns:c16="http://schemas.microsoft.com/office/drawing/2014/chart" uri="{C3380CC4-5D6E-409C-BE32-E72D297353CC}">
              <c16:uniqueId val="{00000003-039F-446C-92FE-52B667ED3B02}"/>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Figure_12_GHG_per_pkm_Bus!$H$44</c:f>
              <c:strCache>
                <c:ptCount val="1"/>
                <c:pt idx="0">
                  <c:v>Private car - ICE (central estimate)</c:v>
                </c:pt>
              </c:strCache>
            </c:strRef>
          </c:tx>
          <c:spPr>
            <a:ln>
              <a:solidFill>
                <a:srgbClr val="EEA320"/>
              </a:solidFill>
            </a:ln>
          </c:spPr>
          <c:marker>
            <c:symbol val="none"/>
          </c:marker>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Figure_12_GHG_per_pkm_Bus!$H$45:$H$54</c:f>
              <c:numCache>
                <c:formatCode>0</c:formatCode>
                <c:ptCount val="10"/>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numCache>
            </c:numRef>
          </c:val>
          <c:smooth val="0"/>
          <c:extLst>
            <c:ext xmlns:c16="http://schemas.microsoft.com/office/drawing/2014/chart" uri="{C3380CC4-5D6E-409C-BE32-E72D297353CC}">
              <c16:uniqueId val="{00000004-039F-446C-92FE-52B667ED3B02}"/>
            </c:ext>
          </c:extLst>
        </c:ser>
        <c:ser>
          <c:idx val="6"/>
          <c:order val="5"/>
          <c:tx>
            <c:strRef>
              <c:f>Figure_12_GHG_per_pkm_Bus!$I$44</c:f>
              <c:strCache>
                <c:ptCount val="1"/>
                <c:pt idx="0">
                  <c:v>Bus - ICE (central estimate)</c:v>
                </c:pt>
              </c:strCache>
            </c:strRef>
          </c:tx>
          <c:spPr>
            <a:ln>
              <a:solidFill>
                <a:schemeClr val="tx1"/>
              </a:solidFill>
            </a:ln>
          </c:spPr>
          <c:marker>
            <c:symbol val="none"/>
          </c:marker>
          <c:cat>
            <c:strRef>
              <c:f>Figure_12_GHG_per_pkm_Bus!$C$45:$C$54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Figure_12_GHG_per_pkm_Bus!$I$45:$I$54</c:f>
              <c:numCache>
                <c:formatCode>0</c:formatCode>
                <c:ptCount val="10"/>
                <c:pt idx="0">
                  <c:v>91.433521668933466</c:v>
                </c:pt>
                <c:pt idx="1">
                  <c:v>91.433521668933466</c:v>
                </c:pt>
                <c:pt idx="2">
                  <c:v>91.433521668933466</c:v>
                </c:pt>
                <c:pt idx="3">
                  <c:v>91.433521668933466</c:v>
                </c:pt>
                <c:pt idx="4">
                  <c:v>91.433521668933466</c:v>
                </c:pt>
                <c:pt idx="5">
                  <c:v>91.433521668933466</c:v>
                </c:pt>
                <c:pt idx="6">
                  <c:v>91.433521668933466</c:v>
                </c:pt>
                <c:pt idx="7">
                  <c:v>91.433521668933466</c:v>
                </c:pt>
                <c:pt idx="8">
                  <c:v>91.433521668933466</c:v>
                </c:pt>
                <c:pt idx="9">
                  <c:v>91.433521668933466</c:v>
                </c:pt>
              </c:numCache>
            </c:numRef>
          </c:val>
          <c:smooth val="0"/>
          <c:extLst>
            <c:ext xmlns:c16="http://schemas.microsoft.com/office/drawing/2014/chart" uri="{C3380CC4-5D6E-409C-BE32-E72D297353CC}">
              <c16:uniqueId val="{00000005-039F-446C-92FE-52B667ED3B02}"/>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Figure_12_GHG_per_pkm_Bus!$C$11</c:f>
              <c:strCache>
                <c:ptCount val="1"/>
                <c:pt idx="0">
                  <c:v>GHG emissions per pkm [g CO₂/pkm]</c:v>
                </c:pt>
              </c:strCache>
            </c:strRef>
          </c:tx>
          <c:layout>
            <c:manualLayout>
              <c:xMode val="edge"/>
              <c:yMode val="edge"/>
              <c:x val="2.3748580949027476E-2"/>
              <c:y val="0.11152647398415934"/>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8.3790363841968321E-2"/>
          <c:y val="0.93082077205042191"/>
          <c:w val="0.87004868174021022"/>
          <c:h val="6.6601014831413966E-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415653200194537E-2"/>
          <c:y val="3.9679536487928338E-2"/>
          <c:w val="0.85450622963502731"/>
          <c:h val="0.60148989400705"/>
        </c:manualLayout>
      </c:layout>
      <c:barChart>
        <c:barDir val="col"/>
        <c:grouping val="stacked"/>
        <c:varyColors val="0"/>
        <c:ser>
          <c:idx val="1"/>
          <c:order val="0"/>
          <c:tx>
            <c:strRef>
              <c:f>Figure_12_MJ_per_pkm_Bus!$D$44</c:f>
              <c:strCache>
                <c:ptCount val="1"/>
                <c:pt idx="0">
                  <c:v>Vehicle component</c:v>
                </c:pt>
              </c:strCache>
            </c:strRef>
          </c:tx>
          <c:spPr>
            <a:solidFill>
              <a:srgbClr val="003E7E"/>
            </a:solidFill>
          </c:spPr>
          <c:invertIfNegative val="0"/>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Figure_12_MJ_per_pkm_Bus!$D$45:$D$54</c:f>
              <c:numCache>
                <c:formatCode>0</c:formatCode>
                <c:ptCount val="10"/>
                <c:pt idx="0">
                  <c:v>0.13551642380881848</c:v>
                </c:pt>
                <c:pt idx="1">
                  <c:v>0.21591142780196612</c:v>
                </c:pt>
                <c:pt idx="2">
                  <c:v>6.5280380666689813E-2</c:v>
                </c:pt>
                <c:pt idx="3">
                  <c:v>0.13530930508455991</c:v>
                </c:pt>
                <c:pt idx="4">
                  <c:v>0.21591142780196612</c:v>
                </c:pt>
                <c:pt idx="5">
                  <c:v>7.8337492729237582E-2</c:v>
                </c:pt>
                <c:pt idx="6">
                  <c:v>0.1305590347846966</c:v>
                </c:pt>
                <c:pt idx="7">
                  <c:v>9.7920571000034706E-2</c:v>
                </c:pt>
                <c:pt idx="8">
                  <c:v>9.792057100003472E-2</c:v>
                </c:pt>
                <c:pt idx="9">
                  <c:v>0.19584114200006941</c:v>
                </c:pt>
              </c:numCache>
            </c:numRef>
          </c:val>
          <c:extLst>
            <c:ext xmlns:c16="http://schemas.microsoft.com/office/drawing/2014/chart" uri="{C3380CC4-5D6E-409C-BE32-E72D297353CC}">
              <c16:uniqueId val="{00000000-EEF5-41A9-A856-972A2804F806}"/>
            </c:ext>
          </c:extLst>
        </c:ser>
        <c:ser>
          <c:idx val="2"/>
          <c:order val="1"/>
          <c:tx>
            <c:strRef>
              <c:f>Figure_12_MJ_per_pkm_Bus!$E$44</c:f>
              <c:strCache>
                <c:ptCount val="1"/>
                <c:pt idx="0">
                  <c:v>Fuel component</c:v>
                </c:pt>
              </c:strCache>
            </c:strRef>
          </c:tx>
          <c:spPr>
            <a:solidFill>
              <a:srgbClr val="7BC143"/>
            </a:solidFill>
          </c:spPr>
          <c:invertIfNegative val="0"/>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Figure_12_MJ_per_pkm_Bus!$E$45:$E$54</c:f>
              <c:numCache>
                <c:formatCode>0</c:formatCode>
                <c:ptCount val="10"/>
                <c:pt idx="0">
                  <c:v>1.0293112187045037</c:v>
                </c:pt>
                <c:pt idx="1">
                  <c:v>0.30595657821488215</c:v>
                </c:pt>
                <c:pt idx="2">
                  <c:v>0.64382150073896938</c:v>
                </c:pt>
                <c:pt idx="3">
                  <c:v>0.68847733067782246</c:v>
                </c:pt>
                <c:pt idx="4">
                  <c:v>0.75481618268336226</c:v>
                </c:pt>
                <c:pt idx="5">
                  <c:v>0.96573225110845395</c:v>
                </c:pt>
                <c:pt idx="6">
                  <c:v>0.96573225110845395</c:v>
                </c:pt>
                <c:pt idx="7">
                  <c:v>0.86915902599760864</c:v>
                </c:pt>
                <c:pt idx="8">
                  <c:v>0.96573225110845407</c:v>
                </c:pt>
                <c:pt idx="9">
                  <c:v>1.9314645022169079</c:v>
                </c:pt>
              </c:numCache>
            </c:numRef>
          </c:val>
          <c:extLst>
            <c:ext xmlns:c16="http://schemas.microsoft.com/office/drawing/2014/chart" uri="{C3380CC4-5D6E-409C-BE32-E72D297353CC}">
              <c16:uniqueId val="{00000001-EEF5-41A9-A856-972A2804F806}"/>
            </c:ext>
          </c:extLst>
        </c:ser>
        <c:ser>
          <c:idx val="3"/>
          <c:order val="2"/>
          <c:tx>
            <c:strRef>
              <c:f>Figure_12_MJ_per_pkm_Bus!$F$44</c:f>
              <c:strCache>
                <c:ptCount val="1"/>
                <c:pt idx="0">
                  <c:v>Infrastructure component</c:v>
                </c:pt>
              </c:strCache>
            </c:strRef>
          </c:tx>
          <c:spPr>
            <a:solidFill>
              <a:srgbClr val="939598"/>
            </a:solidFill>
          </c:spPr>
          <c:invertIfNegative val="0"/>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Figure_12_MJ_per_pkm_Bus!$F$45:$F$54</c:f>
              <c:numCache>
                <c:formatCode>0</c:formatCode>
                <c:ptCount val="10"/>
                <c:pt idx="0">
                  <c:v>1.1889648058321935E-2</c:v>
                </c:pt>
                <c:pt idx="1">
                  <c:v>1.1491277995048165E-2</c:v>
                </c:pt>
                <c:pt idx="2">
                  <c:v>7.0287269738556904E-3</c:v>
                </c:pt>
                <c:pt idx="3">
                  <c:v>1.1889648058321935E-2</c:v>
                </c:pt>
                <c:pt idx="4">
                  <c:v>1.1491277995048165E-2</c:v>
                </c:pt>
                <c:pt idx="5">
                  <c:v>1.0543090460783534E-2</c:v>
                </c:pt>
                <c:pt idx="6">
                  <c:v>1.0543090460783534E-2</c:v>
                </c:pt>
                <c:pt idx="7">
                  <c:v>4.5006061595223842E-2</c:v>
                </c:pt>
                <c:pt idx="8">
                  <c:v>1.1597399506861891E-2</c:v>
                </c:pt>
                <c:pt idx="9">
                  <c:v>2.1086180921567069E-2</c:v>
                </c:pt>
              </c:numCache>
            </c:numRef>
          </c:val>
          <c:extLst>
            <c:ext xmlns:c16="http://schemas.microsoft.com/office/drawing/2014/chart" uri="{C3380CC4-5D6E-409C-BE32-E72D297353CC}">
              <c16:uniqueId val="{00000002-EEF5-41A9-A856-972A2804F806}"/>
            </c:ext>
          </c:extLst>
        </c:ser>
        <c:ser>
          <c:idx val="4"/>
          <c:order val="3"/>
          <c:tx>
            <c:strRef>
              <c:f>Figure_12_MJ_per_pkm_Bus!$G$44</c:f>
              <c:strCache>
                <c:ptCount val="1"/>
                <c:pt idx="0">
                  <c:v>Operational services</c:v>
                </c:pt>
              </c:strCache>
            </c:strRef>
          </c:tx>
          <c:spPr>
            <a:solidFill>
              <a:srgbClr val="007DC3"/>
            </a:solidFill>
          </c:spPr>
          <c:invertIfNegative val="0"/>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Figure_12_MJ_per_pkm_Bus!$G$45:$G$54</c:f>
              <c:numCache>
                <c:formatCode>0</c:formatCode>
                <c:ptCount val="10"/>
                <c:pt idx="0">
                  <c:v>0.11436791318938933</c:v>
                </c:pt>
                <c:pt idx="1">
                  <c:v>3.3995175357209133E-2</c:v>
                </c:pt>
                <c:pt idx="2">
                  <c:v>7.1535722304329932E-2</c:v>
                </c:pt>
                <c:pt idx="3">
                  <c:v>7.6497481186424715E-2</c:v>
                </c:pt>
                <c:pt idx="4">
                  <c:v>8.3868464742595822E-2</c:v>
                </c:pt>
                <c:pt idx="5">
                  <c:v>0.10730358345649488</c:v>
                </c:pt>
                <c:pt idx="6">
                  <c:v>0.10730358345649489</c:v>
                </c:pt>
                <c:pt idx="7">
                  <c:v>9.6573225110845415E-2</c:v>
                </c:pt>
                <c:pt idx="8">
                  <c:v>0.21460716691298981</c:v>
                </c:pt>
                <c:pt idx="9">
                  <c:v>0.21460716691298978</c:v>
                </c:pt>
              </c:numCache>
            </c:numRef>
          </c:val>
          <c:extLst>
            <c:ext xmlns:c16="http://schemas.microsoft.com/office/drawing/2014/chart" uri="{C3380CC4-5D6E-409C-BE32-E72D297353CC}">
              <c16:uniqueId val="{00000003-EEF5-41A9-A856-972A2804F806}"/>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Figure_12_MJ_per_pkm_Bus!$H$44</c:f>
              <c:strCache>
                <c:ptCount val="1"/>
                <c:pt idx="0">
                  <c:v>Private car - ICE (central estimate)</c:v>
                </c:pt>
              </c:strCache>
            </c:strRef>
          </c:tx>
          <c:spPr>
            <a:ln>
              <a:solidFill>
                <a:srgbClr val="EEA320"/>
              </a:solidFill>
            </a:ln>
          </c:spPr>
          <c:marker>
            <c:symbol val="none"/>
          </c:marker>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Figure_12_MJ_per_pkm_Bus!$H$45:$H$54</c:f>
              <c:numCache>
                <c:formatCode>0</c:formatCode>
                <c:ptCount val="10"/>
                <c:pt idx="0">
                  <c:v>2.1835613123627797</c:v>
                </c:pt>
                <c:pt idx="1">
                  <c:v>2.1835613123627797</c:v>
                </c:pt>
                <c:pt idx="2">
                  <c:v>2.1835613123627797</c:v>
                </c:pt>
                <c:pt idx="3">
                  <c:v>2.1835613123627797</c:v>
                </c:pt>
                <c:pt idx="4">
                  <c:v>2.1835613123627797</c:v>
                </c:pt>
                <c:pt idx="5">
                  <c:v>2.1835613123627797</c:v>
                </c:pt>
                <c:pt idx="6">
                  <c:v>2.1835613123627797</c:v>
                </c:pt>
                <c:pt idx="7">
                  <c:v>2.1835613123627797</c:v>
                </c:pt>
                <c:pt idx="8">
                  <c:v>2.1835613123627797</c:v>
                </c:pt>
                <c:pt idx="9">
                  <c:v>2.1835613123627797</c:v>
                </c:pt>
              </c:numCache>
            </c:numRef>
          </c:val>
          <c:smooth val="0"/>
          <c:extLst>
            <c:ext xmlns:c16="http://schemas.microsoft.com/office/drawing/2014/chart" uri="{C3380CC4-5D6E-409C-BE32-E72D297353CC}">
              <c16:uniqueId val="{00000004-EEF5-41A9-A856-972A2804F806}"/>
            </c:ext>
          </c:extLst>
        </c:ser>
        <c:ser>
          <c:idx val="6"/>
          <c:order val="5"/>
          <c:tx>
            <c:strRef>
              <c:f>Figure_12_MJ_per_pkm_Bus!$I$44</c:f>
              <c:strCache>
                <c:ptCount val="1"/>
                <c:pt idx="0">
                  <c:v>Bus - ICE (central estimate)</c:v>
                </c:pt>
              </c:strCache>
            </c:strRef>
          </c:tx>
          <c:spPr>
            <a:ln>
              <a:solidFill>
                <a:schemeClr val="tx1"/>
              </a:solidFill>
            </a:ln>
          </c:spPr>
          <c:marker>
            <c:symbol val="none"/>
          </c:marker>
          <c:cat>
            <c:strRef>
              <c:f>Figure_12_MJ_per_pkm_Bus!$C$45:$C$54</c:f>
              <c:strCache>
                <c:ptCount val="10"/>
                <c:pt idx="0">
                  <c:v>FCEV -  hydrogen from electrolysis (100% zero-carbon electricity)</c:v>
                </c:pt>
                <c:pt idx="1">
                  <c:v>BEV - Two o packs, 100% zero-carbon electricity</c:v>
                </c:pt>
                <c:pt idx="2">
                  <c:v>ICE - Ridership up by 50%</c:v>
                </c:pt>
                <c:pt idx="3">
                  <c:v>FCEV - Hydrogen from natural gas</c:v>
                </c:pt>
                <c:pt idx="4">
                  <c:v>BEV - Two o packs, electricity with global average carbon intensity</c:v>
                </c:pt>
                <c:pt idx="5">
                  <c:v>ICE - Lifetime 25% larger</c:v>
                </c:pt>
                <c:pt idx="6">
                  <c:v>ICE - Lifetime 25% lower</c:v>
                </c:pt>
                <c:pt idx="7">
                  <c:v>ICE - 100% bus lane</c:v>
                </c:pt>
                <c:pt idx="8">
                  <c:v>ICE - Deadheading doubled</c:v>
                </c:pt>
                <c:pt idx="9">
                  <c:v>ICE - Ridership down by 50%</c:v>
                </c:pt>
              </c:strCache>
            </c:strRef>
          </c:cat>
          <c:val>
            <c:numRef>
              <c:f>Figure_12_MJ_per_pkm_Bus!$I$45:$I$54</c:f>
              <c:numCache>
                <c:formatCode>0</c:formatCode>
                <c:ptCount val="10"/>
                <c:pt idx="0">
                  <c:v>1.181499496025767</c:v>
                </c:pt>
                <c:pt idx="1">
                  <c:v>1.181499496025767</c:v>
                </c:pt>
                <c:pt idx="2">
                  <c:v>1.181499496025767</c:v>
                </c:pt>
                <c:pt idx="3">
                  <c:v>1.181499496025767</c:v>
                </c:pt>
                <c:pt idx="4">
                  <c:v>1.181499496025767</c:v>
                </c:pt>
                <c:pt idx="5">
                  <c:v>1.181499496025767</c:v>
                </c:pt>
                <c:pt idx="6">
                  <c:v>1.181499496025767</c:v>
                </c:pt>
                <c:pt idx="7">
                  <c:v>1.181499496025767</c:v>
                </c:pt>
                <c:pt idx="8">
                  <c:v>1.181499496025767</c:v>
                </c:pt>
                <c:pt idx="9">
                  <c:v>1.181499496025767</c:v>
                </c:pt>
              </c:numCache>
            </c:numRef>
          </c:val>
          <c:smooth val="0"/>
          <c:extLst>
            <c:ext xmlns:c16="http://schemas.microsoft.com/office/drawing/2014/chart" uri="{C3380CC4-5D6E-409C-BE32-E72D297353CC}">
              <c16:uniqueId val="{00000005-EEF5-41A9-A856-972A2804F806}"/>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Figure_12_MJ_per_pkm_Bus!$C$11</c:f>
              <c:strCache>
                <c:ptCount val="1"/>
                <c:pt idx="0">
                  <c:v>Energy consumption per pkm [MJ/pkm]</c:v>
                </c:pt>
              </c:strCache>
            </c:strRef>
          </c:tx>
          <c:layout>
            <c:manualLayout>
              <c:xMode val="edge"/>
              <c:yMode val="edge"/>
              <c:x val="2.3748580949027476E-2"/>
              <c:y val="0.1056492795809144"/>
            </c:manualLayout>
          </c:layout>
          <c:overlay val="0"/>
          <c:txPr>
            <a:bodyPr rot="-5400000" vert="horz"/>
            <a:lstStyle/>
            <a:p>
              <a:pPr>
                <a:defRPr/>
              </a:pPr>
              <a:endParaRPr lang="en-FI"/>
            </a:p>
          </c:txPr>
        </c:title>
        <c:numFmt formatCode="#,##0.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0.28608395820242105"/>
          <c:y val="0.87985402016419501"/>
          <c:w val="0.55631272966892187"/>
          <c:h val="0.11756776671764085"/>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423365813302254"/>
          <c:y val="3.9679536487928338E-2"/>
          <c:w val="0.48259688265156653"/>
          <c:h val="0.65568431845465069"/>
        </c:manualLayout>
      </c:layout>
      <c:barChart>
        <c:barDir val="col"/>
        <c:grouping val="stacked"/>
        <c:varyColors val="0"/>
        <c:ser>
          <c:idx val="1"/>
          <c:order val="0"/>
          <c:tx>
            <c:strRef>
              <c:f>Figure_13_GHG_per_pkm_Metro!$D$44</c:f>
              <c:strCache>
                <c:ptCount val="1"/>
                <c:pt idx="0">
                  <c:v>Vehicle component</c:v>
                </c:pt>
              </c:strCache>
            </c:strRef>
          </c:tx>
          <c:spPr>
            <a:solidFill>
              <a:srgbClr val="003E7E"/>
            </a:solidFill>
          </c:spPr>
          <c:invertIfNegative val="0"/>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Figure_13_GHG_per_pkm_Metro!$D$45:$D$50</c:f>
              <c:numCache>
                <c:formatCode>0</c:formatCode>
                <c:ptCount val="6"/>
                <c:pt idx="0">
                  <c:v>1.6226086256394694</c:v>
                </c:pt>
                <c:pt idx="1">
                  <c:v>2.0282607820493368</c:v>
                </c:pt>
                <c:pt idx="2">
                  <c:v>2.0282607820493368</c:v>
                </c:pt>
                <c:pt idx="3">
                  <c:v>2.0282607820493368</c:v>
                </c:pt>
                <c:pt idx="4">
                  <c:v>2.0282607820493368</c:v>
                </c:pt>
                <c:pt idx="5">
                  <c:v>2.7043477093991153</c:v>
                </c:pt>
              </c:numCache>
            </c:numRef>
          </c:val>
          <c:extLst>
            <c:ext xmlns:c16="http://schemas.microsoft.com/office/drawing/2014/chart" uri="{C3380CC4-5D6E-409C-BE32-E72D297353CC}">
              <c16:uniqueId val="{00000000-7D7E-4DED-8DC2-4D2FBC3348EB}"/>
            </c:ext>
          </c:extLst>
        </c:ser>
        <c:ser>
          <c:idx val="2"/>
          <c:order val="1"/>
          <c:tx>
            <c:strRef>
              <c:f>Figure_13_GHG_per_pkm_Metro!$E$44</c:f>
              <c:strCache>
                <c:ptCount val="1"/>
                <c:pt idx="0">
                  <c:v>Fuel component</c:v>
                </c:pt>
              </c:strCache>
            </c:strRef>
          </c:tx>
          <c:spPr>
            <a:solidFill>
              <a:srgbClr val="7BC143"/>
            </a:solidFill>
          </c:spPr>
          <c:invertIfNegative val="0"/>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Figure_13_GHG_per_pkm_Metro!$E$45:$E$50</c:f>
              <c:numCache>
                <c:formatCode>0</c:formatCode>
                <c:ptCount val="6"/>
                <c:pt idx="0">
                  <c:v>9.6587189443191974</c:v>
                </c:pt>
                <c:pt idx="1">
                  <c:v>12.073398680398997</c:v>
                </c:pt>
                <c:pt idx="2">
                  <c:v>12.073398680398997</c:v>
                </c:pt>
                <c:pt idx="3">
                  <c:v>12.073398680398997</c:v>
                </c:pt>
                <c:pt idx="4">
                  <c:v>12.073398680398997</c:v>
                </c:pt>
                <c:pt idx="5">
                  <c:v>16.097864907198662</c:v>
                </c:pt>
              </c:numCache>
            </c:numRef>
          </c:val>
          <c:extLst>
            <c:ext xmlns:c16="http://schemas.microsoft.com/office/drawing/2014/chart" uri="{C3380CC4-5D6E-409C-BE32-E72D297353CC}">
              <c16:uniqueId val="{00000001-7D7E-4DED-8DC2-4D2FBC3348EB}"/>
            </c:ext>
          </c:extLst>
        </c:ser>
        <c:ser>
          <c:idx val="3"/>
          <c:order val="2"/>
          <c:tx>
            <c:strRef>
              <c:f>Figure_13_GHG_per_pkm_Metro!$F$44</c:f>
              <c:strCache>
                <c:ptCount val="1"/>
                <c:pt idx="0">
                  <c:v>Infrastructure component</c:v>
                </c:pt>
              </c:strCache>
            </c:strRef>
          </c:tx>
          <c:spPr>
            <a:solidFill>
              <a:srgbClr val="939598"/>
            </a:solidFill>
          </c:spPr>
          <c:invertIfNegative val="0"/>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Figure_13_GHG_per_pkm_Metro!$F$45:$F$50</c:f>
              <c:numCache>
                <c:formatCode>0</c:formatCode>
                <c:ptCount val="6"/>
                <c:pt idx="0">
                  <c:v>8.8027234028980494</c:v>
                </c:pt>
                <c:pt idx="1">
                  <c:v>8.8027234028980494</c:v>
                </c:pt>
                <c:pt idx="2">
                  <c:v>8.8027234028980494</c:v>
                </c:pt>
                <c:pt idx="3">
                  <c:v>14.671205671496748</c:v>
                </c:pt>
                <c:pt idx="4">
                  <c:v>14.671205671496748</c:v>
                </c:pt>
                <c:pt idx="5">
                  <c:v>14.671205671496748</c:v>
                </c:pt>
              </c:numCache>
            </c:numRef>
          </c:val>
          <c:extLst>
            <c:ext xmlns:c16="http://schemas.microsoft.com/office/drawing/2014/chart" uri="{C3380CC4-5D6E-409C-BE32-E72D297353CC}">
              <c16:uniqueId val="{00000002-7D7E-4DED-8DC2-4D2FBC3348EB}"/>
            </c:ext>
          </c:extLst>
        </c:ser>
        <c:ser>
          <c:idx val="4"/>
          <c:order val="3"/>
          <c:tx>
            <c:strRef>
              <c:f>Figure_13_GHG_per_pkm_Metro!$G$44</c:f>
              <c:strCache>
                <c:ptCount val="1"/>
                <c:pt idx="0">
                  <c:v>Operational services</c:v>
                </c:pt>
              </c:strCache>
            </c:strRef>
          </c:tx>
          <c:spPr>
            <a:solidFill>
              <a:srgbClr val="007DC3"/>
            </a:solidFill>
          </c:spPr>
          <c:invertIfNegative val="0"/>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Figure_13_GHG_per_pkm_Metro!$G$45:$G$50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D7E-4DED-8DC2-4D2FBC3348EB}"/>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Figure_13_GHG_per_pkm_Metro!$H$44</c:f>
              <c:strCache>
                <c:ptCount val="1"/>
                <c:pt idx="0">
                  <c:v>Private car - ICE (central estimate)</c:v>
                </c:pt>
              </c:strCache>
            </c:strRef>
          </c:tx>
          <c:spPr>
            <a:ln>
              <a:solidFill>
                <a:srgbClr val="EEA320"/>
              </a:solidFill>
            </a:ln>
          </c:spPr>
          <c:marker>
            <c:symbol val="none"/>
          </c:marker>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Figure_13_GHG_per_pkm_Metro!$H$45:$H$50</c:f>
              <c:numCache>
                <c:formatCode>0</c:formatCode>
                <c:ptCount val="6"/>
                <c:pt idx="0">
                  <c:v>161.97203672281782</c:v>
                </c:pt>
                <c:pt idx="1">
                  <c:v>161.97203672281782</c:v>
                </c:pt>
                <c:pt idx="2">
                  <c:v>161.97203672281782</c:v>
                </c:pt>
                <c:pt idx="3">
                  <c:v>161.97203672281782</c:v>
                </c:pt>
                <c:pt idx="4">
                  <c:v>161.97203672281782</c:v>
                </c:pt>
                <c:pt idx="5">
                  <c:v>161.97203672281782</c:v>
                </c:pt>
              </c:numCache>
            </c:numRef>
          </c:val>
          <c:smooth val="0"/>
          <c:extLst>
            <c:ext xmlns:c16="http://schemas.microsoft.com/office/drawing/2014/chart" uri="{C3380CC4-5D6E-409C-BE32-E72D297353CC}">
              <c16:uniqueId val="{00000004-7D7E-4DED-8DC2-4D2FBC3348EB}"/>
            </c:ext>
          </c:extLst>
        </c:ser>
        <c:ser>
          <c:idx val="6"/>
          <c:order val="5"/>
          <c:tx>
            <c:strRef>
              <c:f>Figure_13_GHG_per_pkm_Metro!$I$44</c:f>
              <c:strCache>
                <c:ptCount val="1"/>
                <c:pt idx="0">
                  <c:v>Metro/urban train (central estimate)</c:v>
                </c:pt>
              </c:strCache>
            </c:strRef>
          </c:tx>
          <c:spPr>
            <a:ln>
              <a:solidFill>
                <a:schemeClr val="tx1"/>
              </a:solidFill>
            </a:ln>
          </c:spPr>
          <c:marker>
            <c:symbol val="none"/>
          </c:marker>
          <c:cat>
            <c:strRef>
              <c:f>Figure_13_GHG_per_pkm_Metro!$C$45:$C$50</c:f>
              <c:strCache>
                <c:ptCount val="6"/>
                <c:pt idx="0">
                  <c:v>Ridership per train up by 50%</c:v>
                </c:pt>
                <c:pt idx="1">
                  <c:v>Network usage frequency up by 25%</c:v>
                </c:pt>
                <c:pt idx="2">
                  <c:v>Infrastructure lifetime 25% higher</c:v>
                </c:pt>
                <c:pt idx="3">
                  <c:v>Infrastructure lifetime 25% lower</c:v>
                </c:pt>
                <c:pt idx="4">
                  <c:v>Network usage frequency down by 25%</c:v>
                </c:pt>
                <c:pt idx="5">
                  <c:v>Ridership per train down by 50%</c:v>
                </c:pt>
              </c:strCache>
            </c:strRef>
          </c:cat>
          <c:val>
            <c:numRef>
              <c:f>Figure_13_GHG_per_pkm_Metro!$I$45:$I$50</c:f>
              <c:numCache>
                <c:formatCode>0</c:formatCode>
                <c:ptCount val="6"/>
                <c:pt idx="0">
                  <c:v>25.105063716070894</c:v>
                </c:pt>
                <c:pt idx="1">
                  <c:v>25.105063716070894</c:v>
                </c:pt>
                <c:pt idx="2">
                  <c:v>25.105063716070894</c:v>
                </c:pt>
                <c:pt idx="3">
                  <c:v>25.105063716070894</c:v>
                </c:pt>
                <c:pt idx="4">
                  <c:v>25.105063716070894</c:v>
                </c:pt>
                <c:pt idx="5">
                  <c:v>25.105063716070894</c:v>
                </c:pt>
              </c:numCache>
            </c:numRef>
          </c:val>
          <c:smooth val="0"/>
          <c:extLst>
            <c:ext xmlns:c16="http://schemas.microsoft.com/office/drawing/2014/chart" uri="{C3380CC4-5D6E-409C-BE32-E72D297353CC}">
              <c16:uniqueId val="{00000005-7D7E-4DED-8DC2-4D2FBC3348EB}"/>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Figure_13_GHG_per_pkm_Metro!$C$11</c:f>
              <c:strCache>
                <c:ptCount val="1"/>
                <c:pt idx="0">
                  <c:v>GHG emissions per pkm [g CO₂/pkm]</c:v>
                </c:pt>
              </c:strCache>
            </c:strRef>
          </c:tx>
          <c:layout>
            <c:manualLayout>
              <c:xMode val="edge"/>
              <c:yMode val="edge"/>
              <c:x val="0.22312266386799609"/>
              <c:y val="8.068946357233249E-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valAx>
      <c:spPr>
        <a:solidFill>
          <a:srgbClr val="F9F8F7"/>
        </a:solidFill>
        <a:ln>
          <a:noFill/>
        </a:ln>
      </c:spPr>
    </c:plotArea>
    <c:legend>
      <c:legendPos val="b"/>
      <c:layout>
        <c:manualLayout>
          <c:xMode val="edge"/>
          <c:yMode val="edge"/>
          <c:x val="0.27953449995818697"/>
          <c:y val="0.86544334241972021"/>
          <c:w val="0.49856210549980434"/>
          <c:h val="0.13455666256814694"/>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057883969120556"/>
          <c:y val="3.9458208669675504E-2"/>
          <c:w val="0.5041314252412793"/>
          <c:h val="0.79122976933126121"/>
        </c:manualLayout>
      </c:layout>
      <c:barChart>
        <c:barDir val="bar"/>
        <c:grouping val="stacked"/>
        <c:varyColors val="0"/>
        <c:ser>
          <c:idx val="1"/>
          <c:order val="0"/>
          <c:tx>
            <c:strRef>
              <c:f>'Figure_14_GHG_per_pkm_PT+Shared'!$B$45</c:f>
              <c:strCache>
                <c:ptCount val="1"/>
                <c:pt idx="0">
                  <c:v>Main mode of transport/vehicle type</c:v>
                </c:pt>
              </c:strCache>
            </c:strRef>
          </c:tx>
          <c:spPr>
            <a:solidFill>
              <a:srgbClr val="003E7E"/>
            </a:solidFill>
          </c:spPr>
          <c:invertIfNegative val="0"/>
          <c:cat>
            <c:strRef>
              <c:f>'Figure_14_GHG_per_pkm_PT+Shared'!$C$44:$S$44</c:f>
              <c:strCache>
                <c:ptCount val="17"/>
                <c:pt idx="0">
                  <c:v>Metro/urban train (50%) + Ridesourcing - car - ICE (50%)</c:v>
                </c:pt>
                <c:pt idx="1">
                  <c:v>Metro/urban train (80%) + Ridesourcing - car - ICE (20%)</c:v>
                </c:pt>
                <c:pt idx="2">
                  <c:v>Metro/urban train (80%) + Shared moped - BEV (20%)</c:v>
                </c:pt>
                <c:pt idx="3">
                  <c:v>Metro/urban train (80%) + Shared e-bike (20%)</c:v>
                </c:pt>
                <c:pt idx="4">
                  <c:v>Metro/urban train (80%) + Shared bike (20%)</c:v>
                </c:pt>
                <c:pt idx="5">
                  <c:v>Metro/urban train (80%) + Shared e-scooter (new generation) (20%)</c:v>
                </c:pt>
                <c:pt idx="6">
                  <c:v>Metro/urban train (80%) + Shared e-scooter (first generation) (20%)</c:v>
                </c:pt>
                <c:pt idx="7">
                  <c:v>Bus - ICE (60%) + Ridesourcing - car - ICE (40%)</c:v>
                </c:pt>
                <c:pt idx="8">
                  <c:v>Bus - ICE (80%) + Ridesourcing - car - ICE (20%)</c:v>
                </c:pt>
                <c:pt idx="9">
                  <c:v>Bus - ICE (80%) + Shared moped - BEV (20%)</c:v>
                </c:pt>
                <c:pt idx="10">
                  <c:v>Bus - ICE (80%) + Shared e-bike (20%)</c:v>
                </c:pt>
                <c:pt idx="11">
                  <c:v>Bus - ICE (80%) + Shared bike (20%)</c:v>
                </c:pt>
                <c:pt idx="12">
                  <c:v>Bus - ICE (80%) + Shared e-scooter (new generation) (20% of all trip distance)</c:v>
                </c:pt>
                <c:pt idx="13">
                  <c:v>Bus - ICE (80%) + Shared e-scooter (first generation) (20% of all trip distance)</c:v>
                </c:pt>
                <c:pt idx="14">
                  <c:v>Metro/urban train</c:v>
                </c:pt>
                <c:pt idx="15">
                  <c:v>Bus - ICE</c:v>
                </c:pt>
                <c:pt idx="16">
                  <c:v>Private car - ICE</c:v>
                </c:pt>
              </c:strCache>
            </c:strRef>
          </c:cat>
          <c:val>
            <c:numRef>
              <c:f>'Figure_14_GHG_per_pkm_PT+Shared'!$C$45:$S$45</c:f>
              <c:numCache>
                <c:formatCode>0.0</c:formatCode>
                <c:ptCount val="17"/>
                <c:pt idx="0">
                  <c:v>12.552531858035447</c:v>
                </c:pt>
                <c:pt idx="1">
                  <c:v>20.084050972856716</c:v>
                </c:pt>
                <c:pt idx="2">
                  <c:v>20.084050972856716</c:v>
                </c:pt>
                <c:pt idx="3">
                  <c:v>20.084050972856716</c:v>
                </c:pt>
                <c:pt idx="4">
                  <c:v>20.084050972856716</c:v>
                </c:pt>
                <c:pt idx="5">
                  <c:v>20.084050972856716</c:v>
                </c:pt>
                <c:pt idx="6">
                  <c:v>20.084050972856716</c:v>
                </c:pt>
                <c:pt idx="7">
                  <c:v>54.860113001360077</c:v>
                </c:pt>
                <c:pt idx="8">
                  <c:v>73.146817335146778</c:v>
                </c:pt>
                <c:pt idx="9">
                  <c:v>73.146817335146778</c:v>
                </c:pt>
                <c:pt idx="10">
                  <c:v>73.146817335146778</c:v>
                </c:pt>
                <c:pt idx="11">
                  <c:v>73.146817335146778</c:v>
                </c:pt>
                <c:pt idx="12">
                  <c:v>73.146817335146778</c:v>
                </c:pt>
                <c:pt idx="13">
                  <c:v>73.146817335146778</c:v>
                </c:pt>
                <c:pt idx="14">
                  <c:v>25.105063716070894</c:v>
                </c:pt>
                <c:pt idx="15">
                  <c:v>91.433521668933466</c:v>
                </c:pt>
                <c:pt idx="16">
                  <c:v>161.97203672281782</c:v>
                </c:pt>
              </c:numCache>
            </c:numRef>
          </c:val>
          <c:extLst>
            <c:ext xmlns:c16="http://schemas.microsoft.com/office/drawing/2014/chart" uri="{C3380CC4-5D6E-409C-BE32-E72D297353CC}">
              <c16:uniqueId val="{00000000-B53A-4EB2-93E9-B71C094F66C0}"/>
            </c:ext>
          </c:extLst>
        </c:ser>
        <c:ser>
          <c:idx val="2"/>
          <c:order val="1"/>
          <c:tx>
            <c:strRef>
              <c:f>'Figure_14_GHG_per_pkm_PT+Shared'!$B$46</c:f>
              <c:strCache>
                <c:ptCount val="1"/>
                <c:pt idx="0">
                  <c:v>Complementary mode of transport/vehicle type</c:v>
                </c:pt>
              </c:strCache>
            </c:strRef>
          </c:tx>
          <c:spPr>
            <a:solidFill>
              <a:srgbClr val="7BC143"/>
            </a:solidFill>
          </c:spPr>
          <c:invertIfNegative val="0"/>
          <c:cat>
            <c:strRef>
              <c:f>'Figure_14_GHG_per_pkm_PT+Shared'!$C$44:$S$44</c:f>
              <c:strCache>
                <c:ptCount val="17"/>
                <c:pt idx="0">
                  <c:v>Metro/urban train (50%) + Ridesourcing - car - ICE (50%)</c:v>
                </c:pt>
                <c:pt idx="1">
                  <c:v>Metro/urban train (80%) + Ridesourcing - car - ICE (20%)</c:v>
                </c:pt>
                <c:pt idx="2">
                  <c:v>Metro/urban train (80%) + Shared moped - BEV (20%)</c:v>
                </c:pt>
                <c:pt idx="3">
                  <c:v>Metro/urban train (80%) + Shared e-bike (20%)</c:v>
                </c:pt>
                <c:pt idx="4">
                  <c:v>Metro/urban train (80%) + Shared bike (20%)</c:v>
                </c:pt>
                <c:pt idx="5">
                  <c:v>Metro/urban train (80%) + Shared e-scooter (new generation) (20%)</c:v>
                </c:pt>
                <c:pt idx="6">
                  <c:v>Metro/urban train (80%) + Shared e-scooter (first generation) (20%)</c:v>
                </c:pt>
                <c:pt idx="7">
                  <c:v>Bus - ICE (60%) + Ridesourcing - car - ICE (40%)</c:v>
                </c:pt>
                <c:pt idx="8">
                  <c:v>Bus - ICE (80%) + Ridesourcing - car - ICE (20%)</c:v>
                </c:pt>
                <c:pt idx="9">
                  <c:v>Bus - ICE (80%) + Shared moped - BEV (20%)</c:v>
                </c:pt>
                <c:pt idx="10">
                  <c:v>Bus - ICE (80%) + Shared e-bike (20%)</c:v>
                </c:pt>
                <c:pt idx="11">
                  <c:v>Bus - ICE (80%) + Shared bike (20%)</c:v>
                </c:pt>
                <c:pt idx="12">
                  <c:v>Bus - ICE (80%) + Shared e-scooter (new generation) (20% of all trip distance)</c:v>
                </c:pt>
                <c:pt idx="13">
                  <c:v>Bus - ICE (80%) + Shared e-scooter (first generation) (20% of all trip distance)</c:v>
                </c:pt>
                <c:pt idx="14">
                  <c:v>Metro/urban train</c:v>
                </c:pt>
                <c:pt idx="15">
                  <c:v>Bus - ICE</c:v>
                </c:pt>
                <c:pt idx="16">
                  <c:v>Private car - ICE</c:v>
                </c:pt>
              </c:strCache>
            </c:strRef>
          </c:cat>
          <c:val>
            <c:numRef>
              <c:f>'Figure_14_GHG_per_pkm_PT+Shared'!$C$46:$S$46</c:f>
              <c:numCache>
                <c:formatCode>0.0</c:formatCode>
                <c:ptCount val="17"/>
                <c:pt idx="0">
                  <c:v>137.97306198328033</c:v>
                </c:pt>
                <c:pt idx="1">
                  <c:v>55.189224793312121</c:v>
                </c:pt>
                <c:pt idx="2">
                  <c:v>12.79307771937467</c:v>
                </c:pt>
                <c:pt idx="3">
                  <c:v>14.811007035789984</c:v>
                </c:pt>
                <c:pt idx="4">
                  <c:v>11.501007449379975</c:v>
                </c:pt>
                <c:pt idx="5">
                  <c:v>20.26045037418065</c:v>
                </c:pt>
                <c:pt idx="6">
                  <c:v>23.409607869065351</c:v>
                </c:pt>
                <c:pt idx="7">
                  <c:v>110.37844958662427</c:v>
                </c:pt>
                <c:pt idx="8">
                  <c:v>55.189224793312121</c:v>
                </c:pt>
                <c:pt idx="9">
                  <c:v>12.79307771937467</c:v>
                </c:pt>
                <c:pt idx="10">
                  <c:v>14.811007035789984</c:v>
                </c:pt>
                <c:pt idx="11">
                  <c:v>11.501007449379975</c:v>
                </c:pt>
                <c:pt idx="12">
                  <c:v>20.26045037418065</c:v>
                </c:pt>
                <c:pt idx="13">
                  <c:v>23.409607869065351</c:v>
                </c:pt>
              </c:numCache>
            </c:numRef>
          </c:val>
          <c:extLst>
            <c:ext xmlns:c16="http://schemas.microsoft.com/office/drawing/2014/chart" uri="{C3380CC4-5D6E-409C-BE32-E72D297353CC}">
              <c16:uniqueId val="{00000001-B53A-4EB2-93E9-B71C094F66C0}"/>
            </c:ext>
          </c:extLst>
        </c:ser>
        <c:dLbls>
          <c:showLegendKey val="0"/>
          <c:showVal val="0"/>
          <c:showCatName val="0"/>
          <c:showSerName val="0"/>
          <c:showPercent val="0"/>
          <c:showBubbleSize val="0"/>
        </c:dLbls>
        <c:gapWidth val="70"/>
        <c:overlap val="100"/>
        <c:axId val="111766912"/>
        <c:axId val="111776896"/>
      </c:barChart>
      <c:catAx>
        <c:axId val="111766912"/>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1776896"/>
        <c:crosses val="autoZero"/>
        <c:auto val="1"/>
        <c:lblAlgn val="ctr"/>
        <c:lblOffset val="100"/>
        <c:noMultiLvlLbl val="0"/>
      </c:catAx>
      <c:valAx>
        <c:axId val="111776896"/>
        <c:scaling>
          <c:orientation val="minMax"/>
        </c:scaling>
        <c:delete val="0"/>
        <c:axPos val="b"/>
        <c:majorGridlines>
          <c:spPr>
            <a:ln w="12700" cap="rnd">
              <a:solidFill>
                <a:schemeClr val="tx1"/>
              </a:solidFill>
              <a:prstDash val="sysDot"/>
            </a:ln>
          </c:spPr>
        </c:majorGridlines>
        <c:title>
          <c:tx>
            <c:strRef>
              <c:f>'Figure_14_GHG_per_pkm_PT+Shared'!$C$12</c:f>
              <c:strCache>
                <c:ptCount val="1"/>
                <c:pt idx="0">
                  <c:v>GHG emissions per pkm [g CO₂/pkm]</c:v>
                </c:pt>
              </c:strCache>
            </c:strRef>
          </c:tx>
          <c:overlay val="0"/>
          <c:txPr>
            <a:bodyPr/>
            <a:lstStyle/>
            <a:p>
              <a:pPr>
                <a:defRPr sz="1100"/>
              </a:pPr>
              <a:endParaRPr lang="en-FI"/>
            </a:p>
          </c:txPr>
        </c:title>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1766912"/>
        <c:crosses val="autoZero"/>
        <c:crossBetween val="between"/>
      </c:valAx>
      <c:spPr>
        <a:solidFill>
          <a:srgbClr val="F9F8F7"/>
        </a:solidFill>
        <a:ln>
          <a:noFill/>
        </a:ln>
      </c:spPr>
    </c:plotArea>
    <c:legend>
      <c:legendPos val="b"/>
      <c:layout>
        <c:manualLayout>
          <c:xMode val="edge"/>
          <c:yMode val="edge"/>
          <c:x val="0.19659420496558383"/>
          <c:y val="0.95754201920009219"/>
          <c:w val="0.73500416030694893"/>
          <c:h val="3.530368182300142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92015155188149111"/>
          <c:y val="3.1894670956209105E-2"/>
          <c:w val="5.9393494718633769E-2"/>
          <c:h val="0.27231081495295317"/>
        </c:manualLayout>
      </c:layout>
      <c:pieChart>
        <c:varyColors val="1"/>
        <c:ser>
          <c:idx val="0"/>
          <c:order val="0"/>
          <c:tx>
            <c:strRef>
              <c:f>Figure_15_GHG_per_pkm_share!$W$44</c:f>
              <c:strCache>
                <c:ptCount val="1"/>
                <c:pt idx="0">
                  <c:v>Ridesourcing -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849B-409E-85F0-E3F42EE1A8E7}"/>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849B-409E-85F0-E3F42EE1A8E7}"/>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849B-409E-85F0-E3F42EE1A8E7}"/>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849B-409E-85F0-E3F42EE1A8E7}"/>
              </c:ext>
            </c:extLst>
          </c:dPt>
          <c:dPt>
            <c:idx val="4"/>
            <c:bubble3D val="0"/>
            <c:spPr>
              <a:solidFill>
                <a:srgbClr val="9E005D"/>
              </a:solidFill>
              <a:ln w="12700" cmpd="sng">
                <a:solidFill>
                  <a:schemeClr val="bg1"/>
                </a:solidFill>
              </a:ln>
            </c:spPr>
            <c:extLst>
              <c:ext xmlns:c16="http://schemas.microsoft.com/office/drawing/2014/chart" uri="{C3380CC4-5D6E-409C-BE32-E72D297353CC}">
                <c16:uniqueId val="{00000009-849B-409E-85F0-E3F42EE1A8E7}"/>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849B-409E-85F0-E3F42EE1A8E7}"/>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849B-409E-85F0-E3F42EE1A8E7}"/>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849B-409E-85F0-E3F42EE1A8E7}"/>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849B-409E-85F0-E3F42EE1A8E7}"/>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849B-409E-85F0-E3F42EE1A8E7}"/>
              </c:ext>
            </c:extLst>
          </c:dPt>
          <c:dLbls>
            <c:delete val="1"/>
          </c:dLbls>
          <c:cat>
            <c:strRef>
              <c:f>Figure_15_GHG_per_pkm_share!$B$45:$B$54</c:f>
              <c:strCache>
                <c:ptCount val="4"/>
                <c:pt idx="0">
                  <c:v>Vehicle component</c:v>
                </c:pt>
                <c:pt idx="1">
                  <c:v>Fuel component</c:v>
                </c:pt>
                <c:pt idx="2">
                  <c:v>Infrastructure component</c:v>
                </c:pt>
                <c:pt idx="3">
                  <c:v>Operational services</c:v>
                </c:pt>
              </c:strCache>
            </c:strRef>
          </c:cat>
          <c:val>
            <c:numRef>
              <c:f>Figure_15_GHG_per_pkm_share!$W$45:$W$54</c:f>
              <c:numCache>
                <c:formatCode>0</c:formatCode>
                <c:ptCount val="4"/>
                <c:pt idx="0">
                  <c:v>24.220828487012707</c:v>
                </c:pt>
                <c:pt idx="1">
                  <c:v>90.564304877419374</c:v>
                </c:pt>
                <c:pt idx="2">
                  <c:v>20.796382999086166</c:v>
                </c:pt>
                <c:pt idx="3">
                  <c:v>83.169954927466094</c:v>
                </c:pt>
              </c:numCache>
            </c:numRef>
          </c:val>
          <c:extLst>
            <c:ext xmlns:c16="http://schemas.microsoft.com/office/drawing/2014/chart" uri="{C3380CC4-5D6E-409C-BE32-E72D297353CC}">
              <c16:uniqueId val="{00000014-849B-409E-85F0-E3F42EE1A8E7}"/>
            </c:ext>
          </c:extLst>
        </c:ser>
        <c:dLbls>
          <c:showLegendKey val="0"/>
          <c:showVal val="0"/>
          <c:showCatName val="1"/>
          <c:showSerName val="0"/>
          <c:showPercent val="1"/>
          <c:showBubbleSize val="0"/>
          <c:showLeaderLines val="1"/>
        </c:dLbls>
        <c:firstSliceAng val="0"/>
      </c:pieChart>
      <c:spPr>
        <a:noFill/>
        <a:ln w="25400">
          <a:noFill/>
        </a:ln>
      </c:spPr>
    </c:plotArea>
    <c:legend>
      <c:legendPos val="b"/>
      <c:layout>
        <c:manualLayout>
          <c:xMode val="edge"/>
          <c:yMode val="edge"/>
          <c:x val="3.5388369954906906E-2"/>
          <c:y val="0.69673145627216782"/>
          <c:w val="0.75268324217384408"/>
          <c:h val="0.25419981917981821"/>
        </c:manualLayout>
      </c:layout>
      <c:overlay val="0"/>
      <c:txPr>
        <a:bodyPr/>
        <a:lstStyle/>
        <a:p>
          <a:pPr>
            <a:defRPr sz="800"/>
          </a:pPr>
          <a:endParaRPr lang="en-FI"/>
        </a:p>
      </c:txPr>
    </c:legend>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'0_Total'!$A$84</c:f>
              <c:strCache>
                <c:ptCount val="1"/>
                <c:pt idx="0">
                  <c:v>Vehicle and battery manufacturing, assembly and disposal - Including fluids</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'0_Total'!$D$84:$CX$84</c:f>
              <c:numCache>
                <c:formatCode>General</c:formatCode>
                <c:ptCount val="99"/>
                <c:pt idx="0">
                  <c:v>0.28608082351542902</c:v>
                </c:pt>
                <c:pt idx="1">
                  <c:v>3.1106262730823859</c:v>
                </c:pt>
                <c:pt idx="2">
                  <c:v>0.22766161641212609</c:v>
                </c:pt>
                <c:pt idx="3">
                  <c:v>1.5625931877532397</c:v>
                </c:pt>
                <c:pt idx="4">
                  <c:v>0.52086439591774669</c:v>
                </c:pt>
                <c:pt idx="5">
                  <c:v>0.78129659387661987</c:v>
                </c:pt>
                <c:pt idx="6">
                  <c:v>0.78129659387661987</c:v>
                </c:pt>
                <c:pt idx="7">
                  <c:v>0.78129659387661987</c:v>
                </c:pt>
                <c:pt idx="8">
                  <c:v>0.78129659387661987</c:v>
                </c:pt>
                <c:pt idx="9">
                  <c:v>0.78129659387661987</c:v>
                </c:pt>
                <c:pt idx="10">
                  <c:v>0.78129659387661987</c:v>
                </c:pt>
                <c:pt idx="11">
                  <c:v>0.43405366326478889</c:v>
                </c:pt>
                <c:pt idx="12">
                  <c:v>1.3021609897943667</c:v>
                </c:pt>
                <c:pt idx="13">
                  <c:v>0.73786373345556044</c:v>
                </c:pt>
                <c:pt idx="14">
                  <c:v>0.82472945429767897</c:v>
                </c:pt>
                <c:pt idx="15">
                  <c:v>0.93318788192471558</c:v>
                </c:pt>
                <c:pt idx="16">
                  <c:v>0.61468636431274037</c:v>
                </c:pt>
                <c:pt idx="17">
                  <c:v>0.78129659387661987</c:v>
                </c:pt>
                <c:pt idx="18">
                  <c:v>0.78129659387661987</c:v>
                </c:pt>
                <c:pt idx="19">
                  <c:v>0.78129659387661987</c:v>
                </c:pt>
                <c:pt idx="20">
                  <c:v>0.38980729437473144</c:v>
                </c:pt>
                <c:pt idx="21">
                  <c:v>0.7269247803490626</c:v>
                </c:pt>
                <c:pt idx="22">
                  <c:v>0.7269247803490626</c:v>
                </c:pt>
                <c:pt idx="23">
                  <c:v>0.4846165202327084</c:v>
                </c:pt>
                <c:pt idx="24">
                  <c:v>0.58471094156209702</c:v>
                </c:pt>
                <c:pt idx="25">
                  <c:v>0.7269247803490626</c:v>
                </c:pt>
                <c:pt idx="26">
                  <c:v>0.7269247803490626</c:v>
                </c:pt>
                <c:pt idx="27">
                  <c:v>0.7269247803490626</c:v>
                </c:pt>
                <c:pt idx="28">
                  <c:v>0.71446861253220184</c:v>
                </c:pt>
                <c:pt idx="29">
                  <c:v>8.6234710901394465E-2</c:v>
                </c:pt>
                <c:pt idx="30">
                  <c:v>0.15088575294465986</c:v>
                </c:pt>
                <c:pt idx="31">
                  <c:v>0.26933428090186151</c:v>
                </c:pt>
                <c:pt idx="32">
                  <c:v>0.44713915737079202</c:v>
                </c:pt>
                <c:pt idx="33">
                  <c:v>9.3283946638785101E-2</c:v>
                </c:pt>
                <c:pt idx="34">
                  <c:v>0.12055830855593497</c:v>
                </c:pt>
                <c:pt idx="35">
                  <c:v>0.23309094264663283</c:v>
                </c:pt>
                <c:pt idx="36">
                  <c:v>0.43619023939789026</c:v>
                </c:pt>
                <c:pt idx="37">
                  <c:v>0.43179450172935752</c:v>
                </c:pt>
                <c:pt idx="38">
                  <c:v>0.46504546779331762</c:v>
                </c:pt>
                <c:pt idx="39">
                  <c:v>0.57796189147796162</c:v>
                </c:pt>
                <c:pt idx="40">
                  <c:v>0.8301579071735451</c:v>
                </c:pt>
                <c:pt idx="41">
                  <c:v>0.8301579071735451</c:v>
                </c:pt>
                <c:pt idx="42">
                  <c:v>0.8301579071735451</c:v>
                </c:pt>
                <c:pt idx="43">
                  <c:v>0.78144204985525167</c:v>
                </c:pt>
                <c:pt idx="44">
                  <c:v>0.72501115433852381</c:v>
                </c:pt>
                <c:pt idx="45">
                  <c:v>0.93530466000856616</c:v>
                </c:pt>
                <c:pt idx="46">
                  <c:v>0.8301579071735451</c:v>
                </c:pt>
                <c:pt idx="47">
                  <c:v>0.77123744700057084</c:v>
                </c:pt>
                <c:pt idx="48">
                  <c:v>0.77123744700057084</c:v>
                </c:pt>
                <c:pt idx="49">
                  <c:v>0.77123744700057084</c:v>
                </c:pt>
                <c:pt idx="50">
                  <c:v>0.77123744700057084</c:v>
                </c:pt>
                <c:pt idx="51">
                  <c:v>0.19595413738150966</c:v>
                </c:pt>
                <c:pt idx="52">
                  <c:v>0.19595413738150966</c:v>
                </c:pt>
                <c:pt idx="53">
                  <c:v>0.19595413738150966</c:v>
                </c:pt>
                <c:pt idx="54">
                  <c:v>0.19595413738150966</c:v>
                </c:pt>
                <c:pt idx="55">
                  <c:v>0.19595413738150966</c:v>
                </c:pt>
                <c:pt idx="56">
                  <c:v>0.19595413738150966</c:v>
                </c:pt>
                <c:pt idx="57">
                  <c:v>0.19595413738150966</c:v>
                </c:pt>
                <c:pt idx="58">
                  <c:v>0.21104336445684074</c:v>
                </c:pt>
                <c:pt idx="59">
                  <c:v>0.26228065785182297</c:v>
                </c:pt>
                <c:pt idx="60">
                  <c:v>0.40849689681893631</c:v>
                </c:pt>
                <c:pt idx="61">
                  <c:v>0.40849689681893631</c:v>
                </c:pt>
                <c:pt idx="62">
                  <c:v>0.40849689681893631</c:v>
                </c:pt>
                <c:pt idx="63">
                  <c:v>0.40849689681893631</c:v>
                </c:pt>
                <c:pt idx="64">
                  <c:v>0.40849689681893631</c:v>
                </c:pt>
                <c:pt idx="65">
                  <c:v>0.38343340977631518</c:v>
                </c:pt>
                <c:pt idx="66">
                  <c:v>0.35283483453689712</c:v>
                </c:pt>
                <c:pt idx="67">
                  <c:v>0.4641589591009756</c:v>
                </c:pt>
                <c:pt idx="68">
                  <c:v>0.40849689681893631</c:v>
                </c:pt>
                <c:pt idx="69">
                  <c:v>0.63119140008294394</c:v>
                </c:pt>
                <c:pt idx="70">
                  <c:v>0.63119140008294394</c:v>
                </c:pt>
                <c:pt idx="71">
                  <c:v>0.63119140008294394</c:v>
                </c:pt>
                <c:pt idx="72">
                  <c:v>0.63119140008294394</c:v>
                </c:pt>
                <c:pt idx="73">
                  <c:v>0.63119140008294394</c:v>
                </c:pt>
                <c:pt idx="74">
                  <c:v>0.5854172455492036</c:v>
                </c:pt>
                <c:pt idx="75">
                  <c:v>0.51986727551886525</c:v>
                </c:pt>
                <c:pt idx="76">
                  <c:v>0.74251552464702253</c:v>
                </c:pt>
                <c:pt idx="77">
                  <c:v>0.63119140008294394</c:v>
                </c:pt>
                <c:pt idx="78">
                  <c:v>0.41227284845280543</c:v>
                </c:pt>
                <c:pt idx="79">
                  <c:v>0.41227284845280543</c:v>
                </c:pt>
                <c:pt idx="80">
                  <c:v>0.41227284845280543</c:v>
                </c:pt>
                <c:pt idx="81">
                  <c:v>0.34995604745809406</c:v>
                </c:pt>
                <c:pt idx="82">
                  <c:v>0.19595413738150966</c:v>
                </c:pt>
                <c:pt idx="83">
                  <c:v>0.21102790408875599</c:v>
                </c:pt>
                <c:pt idx="84">
                  <c:v>0.26226204745640164</c:v>
                </c:pt>
                <c:pt idx="85">
                  <c:v>0.4084994796991579</c:v>
                </c:pt>
                <c:pt idx="86">
                  <c:v>0.63114772882731529</c:v>
                </c:pt>
                <c:pt idx="87">
                  <c:v>0.34995604745809406</c:v>
                </c:pt>
                <c:pt idx="88">
                  <c:v>0.53503976372109585</c:v>
                </c:pt>
                <c:pt idx="89">
                  <c:v>0.57905856667402844</c:v>
                </c:pt>
                <c:pt idx="90">
                  <c:v>0.68118675152799302</c:v>
                </c:pt>
                <c:pt idx="91">
                  <c:v>0.92969879179765935</c:v>
                </c:pt>
                <c:pt idx="92">
                  <c:v>0.9648930272128553</c:v>
                </c:pt>
                <c:pt idx="93">
                  <c:v>0.24280908103416349</c:v>
                </c:pt>
                <c:pt idx="94">
                  <c:v>0.26278452138520558</c:v>
                </c:pt>
                <c:pt idx="95">
                  <c:v>0.30912692631353111</c:v>
                </c:pt>
                <c:pt idx="96">
                  <c:v>0.45366519074045458</c:v>
                </c:pt>
                <c:pt idx="97">
                  <c:v>0.67631670007756273</c:v>
                </c:pt>
                <c:pt idx="98">
                  <c:v>0.43782919975848883</c:v>
                </c:pt>
              </c:numCache>
            </c:numRef>
          </c:val>
          <c:extLst>
            <c:ext xmlns:c16="http://schemas.microsoft.com/office/drawing/2014/chart" uri="{C3380CC4-5D6E-409C-BE32-E72D297353CC}">
              <c16:uniqueId val="{00000000-262A-4FD1-8B01-3E556E555C5E}"/>
            </c:ext>
          </c:extLst>
        </c:ser>
        <c:ser>
          <c:idx val="1"/>
          <c:order val="1"/>
          <c:tx>
            <c:strRef>
              <c:f>'0_Total'!$A$85</c:f>
              <c:strCache>
                <c:ptCount val="1"/>
                <c:pt idx="0">
                  <c:v>Vehicle delivery at point of purchase</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'0_Total'!$D$85:$CX$85</c:f>
              <c:numCache>
                <c:formatCode>General</c:formatCode>
                <c:ptCount val="99"/>
                <c:pt idx="0">
                  <c:v>1.591998041596299E-2</c:v>
                </c:pt>
                <c:pt idx="1">
                  <c:v>0.14492671826945616</c:v>
                </c:pt>
                <c:pt idx="2">
                  <c:v>1.610296869660624E-2</c:v>
                </c:pt>
                <c:pt idx="3">
                  <c:v>8.6956030961673689E-2</c:v>
                </c:pt>
                <c:pt idx="4">
                  <c:v>2.8985343653891233E-2</c:v>
                </c:pt>
                <c:pt idx="5">
                  <c:v>4.3478015480836844E-2</c:v>
                </c:pt>
                <c:pt idx="6">
                  <c:v>4.3478015480836844E-2</c:v>
                </c:pt>
                <c:pt idx="7">
                  <c:v>4.3478015480836844E-2</c:v>
                </c:pt>
                <c:pt idx="8">
                  <c:v>4.3478015480836844E-2</c:v>
                </c:pt>
                <c:pt idx="9">
                  <c:v>4.3478015480836844E-2</c:v>
                </c:pt>
                <c:pt idx="10">
                  <c:v>4.3478015480836844E-2</c:v>
                </c:pt>
                <c:pt idx="11">
                  <c:v>2.415445304490936E-2</c:v>
                </c:pt>
                <c:pt idx="12">
                  <c:v>7.2463359134728081E-2</c:v>
                </c:pt>
                <c:pt idx="13">
                  <c:v>4.3478015480836844E-2</c:v>
                </c:pt>
                <c:pt idx="14">
                  <c:v>4.3478015480836844E-2</c:v>
                </c:pt>
                <c:pt idx="15">
                  <c:v>4.3478015480836844E-2</c:v>
                </c:pt>
                <c:pt idx="16">
                  <c:v>4.3478015480836844E-2</c:v>
                </c:pt>
                <c:pt idx="17">
                  <c:v>4.3478015480836844E-2</c:v>
                </c:pt>
                <c:pt idx="18">
                  <c:v>4.3478015480836844E-2</c:v>
                </c:pt>
                <c:pt idx="19">
                  <c:v>4.3478015480836844E-2</c:v>
                </c:pt>
                <c:pt idx="20">
                  <c:v>2.3701373238039173E-2</c:v>
                </c:pt>
                <c:pt idx="21">
                  <c:v>3.5552059857058754E-2</c:v>
                </c:pt>
                <c:pt idx="22">
                  <c:v>3.5552059857058754E-2</c:v>
                </c:pt>
                <c:pt idx="23">
                  <c:v>2.3701373238039173E-2</c:v>
                </c:pt>
                <c:pt idx="24">
                  <c:v>3.5552059857058754E-2</c:v>
                </c:pt>
                <c:pt idx="25">
                  <c:v>3.5552059857058754E-2</c:v>
                </c:pt>
                <c:pt idx="26">
                  <c:v>3.5552059857058754E-2</c:v>
                </c:pt>
                <c:pt idx="27">
                  <c:v>3.5552059857058754E-2</c:v>
                </c:pt>
                <c:pt idx="28">
                  <c:v>3.2454631890457365E-2</c:v>
                </c:pt>
                <c:pt idx="29">
                  <c:v>8.7429279880425134E-3</c:v>
                </c:pt>
                <c:pt idx="30">
                  <c:v>1.1743365058278861E-2</c:v>
                </c:pt>
                <c:pt idx="31">
                  <c:v>2.8644433100411596E-2</c:v>
                </c:pt>
                <c:pt idx="32">
                  <c:v>3.3854704655074112E-2</c:v>
                </c:pt>
                <c:pt idx="33">
                  <c:v>9.6572964052335127E-3</c:v>
                </c:pt>
                <c:pt idx="34">
                  <c:v>9.4500904002699851E-3</c:v>
                </c:pt>
                <c:pt idx="35">
                  <c:v>2.4130929314453958E-2</c:v>
                </c:pt>
                <c:pt idx="36">
                  <c:v>2.5953092326657934E-2</c:v>
                </c:pt>
                <c:pt idx="37">
                  <c:v>6.7028374214767247E-3</c:v>
                </c:pt>
                <c:pt idx="38">
                  <c:v>7.1621462007133568E-3</c:v>
                </c:pt>
                <c:pt idx="39">
                  <c:v>7.9341164297709495E-3</c:v>
                </c:pt>
                <c:pt idx="40">
                  <c:v>8.1348082863086073E-3</c:v>
                </c:pt>
                <c:pt idx="41">
                  <c:v>8.1348082863086073E-3</c:v>
                </c:pt>
                <c:pt idx="42">
                  <c:v>8.1348082863086073E-3</c:v>
                </c:pt>
                <c:pt idx="43">
                  <c:v>8.1348082863086073E-3</c:v>
                </c:pt>
                <c:pt idx="44">
                  <c:v>7.6629839870952276E-3</c:v>
                </c:pt>
                <c:pt idx="45">
                  <c:v>8.6066325855219828E-3</c:v>
                </c:pt>
                <c:pt idx="46">
                  <c:v>8.1348082863086073E-3</c:v>
                </c:pt>
                <c:pt idx="47">
                  <c:v>7.5979104949436115E-3</c:v>
                </c:pt>
                <c:pt idx="48">
                  <c:v>7.5979104949436115E-3</c:v>
                </c:pt>
                <c:pt idx="49">
                  <c:v>7.5979104949436115E-3</c:v>
                </c:pt>
                <c:pt idx="50">
                  <c:v>7.5979104949436115E-3</c:v>
                </c:pt>
                <c:pt idx="51">
                  <c:v>3.0414124799950639E-3</c:v>
                </c:pt>
                <c:pt idx="52">
                  <c:v>3.0414124799950639E-3</c:v>
                </c:pt>
                <c:pt idx="53">
                  <c:v>3.0414124799950639E-3</c:v>
                </c:pt>
                <c:pt idx="54">
                  <c:v>3.0414124799950639E-3</c:v>
                </c:pt>
                <c:pt idx="55">
                  <c:v>3.0414124799950639E-3</c:v>
                </c:pt>
                <c:pt idx="56">
                  <c:v>3.0414124799950639E-3</c:v>
                </c:pt>
                <c:pt idx="57">
                  <c:v>3.0414124799950639E-3</c:v>
                </c:pt>
                <c:pt idx="58">
                  <c:v>3.249823838573686E-3</c:v>
                </c:pt>
                <c:pt idx="59">
                  <c:v>3.6001053300085688E-3</c:v>
                </c:pt>
                <c:pt idx="60">
                  <c:v>3.8338961104245773E-3</c:v>
                </c:pt>
                <c:pt idx="61">
                  <c:v>3.8338961104245773E-3</c:v>
                </c:pt>
                <c:pt idx="62">
                  <c:v>3.8338961104245773E-3</c:v>
                </c:pt>
                <c:pt idx="63">
                  <c:v>3.8338961104245773E-3</c:v>
                </c:pt>
                <c:pt idx="64">
                  <c:v>3.8338961104245773E-3</c:v>
                </c:pt>
                <c:pt idx="65">
                  <c:v>3.8338961104245773E-3</c:v>
                </c:pt>
                <c:pt idx="66">
                  <c:v>3.5841241220284951E-3</c:v>
                </c:pt>
                <c:pt idx="67">
                  <c:v>4.0836680988206604E-3</c:v>
                </c:pt>
                <c:pt idx="68">
                  <c:v>3.8338961104245773E-3</c:v>
                </c:pt>
                <c:pt idx="69">
                  <c:v>4.8329840640089069E-3</c:v>
                </c:pt>
                <c:pt idx="70">
                  <c:v>4.8329840640089069E-3</c:v>
                </c:pt>
                <c:pt idx="71">
                  <c:v>4.8329840640089069E-3</c:v>
                </c:pt>
                <c:pt idx="72">
                  <c:v>4.8329840640089069E-3</c:v>
                </c:pt>
                <c:pt idx="73">
                  <c:v>4.8329840640089069E-3</c:v>
                </c:pt>
                <c:pt idx="74">
                  <c:v>4.8329840640089069E-3</c:v>
                </c:pt>
                <c:pt idx="75">
                  <c:v>4.3334400872167417E-3</c:v>
                </c:pt>
                <c:pt idx="76">
                  <c:v>5.3325280408010713E-3</c:v>
                </c:pt>
                <c:pt idx="77">
                  <c:v>4.8329840640089069E-3</c:v>
                </c:pt>
                <c:pt idx="78">
                  <c:v>4.0615405984527472E-3</c:v>
                </c:pt>
                <c:pt idx="79">
                  <c:v>4.0615405984527472E-3</c:v>
                </c:pt>
                <c:pt idx="80">
                  <c:v>4.0615405984527472E-3</c:v>
                </c:pt>
                <c:pt idx="81">
                  <c:v>3.4475518870806638E-3</c:v>
                </c:pt>
                <c:pt idx="82">
                  <c:v>3.0414124799950639E-3</c:v>
                </c:pt>
                <c:pt idx="83">
                  <c:v>3.249823838573686E-3</c:v>
                </c:pt>
                <c:pt idx="84">
                  <c:v>3.6001053300085688E-3</c:v>
                </c:pt>
                <c:pt idx="85">
                  <c:v>3.8338961104245773E-3</c:v>
                </c:pt>
                <c:pt idx="86">
                  <c:v>4.8329840640089069E-3</c:v>
                </c:pt>
                <c:pt idx="87">
                  <c:v>3.4475518870806638E-3</c:v>
                </c:pt>
                <c:pt idx="88">
                  <c:v>8.5157426888641478E-3</c:v>
                </c:pt>
                <c:pt idx="89">
                  <c:v>9.0777099845073348E-3</c:v>
                </c:pt>
                <c:pt idx="90">
                  <c:v>9.9141482598003993E-3</c:v>
                </c:pt>
                <c:pt idx="91">
                  <c:v>9.8611495683630073E-3</c:v>
                </c:pt>
                <c:pt idx="92">
                  <c:v>9.6881544553996685E-3</c:v>
                </c:pt>
                <c:pt idx="93">
                  <c:v>3.8640182450721066E-3</c:v>
                </c:pt>
                <c:pt idx="94">
                  <c:v>4.1190109054702034E-3</c:v>
                </c:pt>
                <c:pt idx="95">
                  <c:v>4.4985447728844311E-3</c:v>
                </c:pt>
                <c:pt idx="96">
                  <c:v>4.6172234671567614E-3</c:v>
                </c:pt>
                <c:pt idx="97">
                  <c:v>5.6163114207410918E-3</c:v>
                </c:pt>
                <c:pt idx="98">
                  <c:v>4.3960000841375994E-3</c:v>
                </c:pt>
              </c:numCache>
            </c:numRef>
          </c:val>
          <c:extLst>
            <c:ext xmlns:c16="http://schemas.microsoft.com/office/drawing/2014/chart" uri="{C3380CC4-5D6E-409C-BE32-E72D297353CC}">
              <c16:uniqueId val="{00000001-262A-4FD1-8B01-3E556E555C5E}"/>
            </c:ext>
          </c:extLst>
        </c:ser>
        <c:ser>
          <c:idx val="2"/>
          <c:order val="2"/>
          <c:tx>
            <c:strRef>
              <c:f>'0_Total'!$A$86</c:f>
              <c:strCache>
                <c:ptCount val="1"/>
                <c:pt idx="0">
                  <c:v>Vehicle use (including fuel production)</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'0_Total'!$D$86:$CX$86</c:f>
              <c:numCache>
                <c:formatCode>General</c:formatCode>
                <c:ptCount val="99"/>
                <c:pt idx="0">
                  <c:v>0.10272971336374727</c:v>
                </c:pt>
                <c:pt idx="1">
                  <c:v>6.6427221653518748E-2</c:v>
                </c:pt>
                <c:pt idx="2">
                  <c:v>2.3422712933753951E-2</c:v>
                </c:pt>
                <c:pt idx="3">
                  <c:v>5.7785463767107838E-2</c:v>
                </c:pt>
                <c:pt idx="4">
                  <c:v>5.7785463767107845E-2</c:v>
                </c:pt>
                <c:pt idx="5">
                  <c:v>7.7047285022810455E-2</c:v>
                </c:pt>
                <c:pt idx="6">
                  <c:v>7.7047285022810455E-2</c:v>
                </c:pt>
                <c:pt idx="7">
                  <c:v>5.7785463767107838E-2</c:v>
                </c:pt>
                <c:pt idx="8">
                  <c:v>7.7047285022810455E-2</c:v>
                </c:pt>
                <c:pt idx="9">
                  <c:v>7.7047285022810455E-2</c:v>
                </c:pt>
                <c:pt idx="10">
                  <c:v>7.7047285022810455E-2</c:v>
                </c:pt>
                <c:pt idx="11">
                  <c:v>7.7047285022810455E-2</c:v>
                </c:pt>
                <c:pt idx="12">
                  <c:v>7.7047285022810455E-2</c:v>
                </c:pt>
                <c:pt idx="13">
                  <c:v>0.10272971336374727</c:v>
                </c:pt>
                <c:pt idx="14">
                  <c:v>0.10272971336374727</c:v>
                </c:pt>
                <c:pt idx="15">
                  <c:v>0.10272971336374727</c:v>
                </c:pt>
                <c:pt idx="16">
                  <c:v>0.10272971336374727</c:v>
                </c:pt>
                <c:pt idx="17">
                  <c:v>0.11809283849514444</c:v>
                </c:pt>
                <c:pt idx="18">
                  <c:v>4.1640378548895907E-2</c:v>
                </c:pt>
                <c:pt idx="19">
                  <c:v>0.10272971336374727</c:v>
                </c:pt>
                <c:pt idx="20">
                  <c:v>4.504731861198738E-2</c:v>
                </c:pt>
                <c:pt idx="21">
                  <c:v>4.504731861198738E-2</c:v>
                </c:pt>
                <c:pt idx="22">
                  <c:v>0.11113487172987203</c:v>
                </c:pt>
                <c:pt idx="23">
                  <c:v>0.11113487172987203</c:v>
                </c:pt>
                <c:pt idx="24">
                  <c:v>0.11113487172987203</c:v>
                </c:pt>
                <c:pt idx="25">
                  <c:v>0.11113487172987203</c:v>
                </c:pt>
                <c:pt idx="26">
                  <c:v>0.11113487172987203</c:v>
                </c:pt>
                <c:pt idx="27">
                  <c:v>0.11113487172987203</c:v>
                </c:pt>
                <c:pt idx="28">
                  <c:v>0.10110307291601824</c:v>
                </c:pt>
                <c:pt idx="29">
                  <c:v>0</c:v>
                </c:pt>
                <c:pt idx="30">
                  <c:v>0.19612036187624479</c:v>
                </c:pt>
                <c:pt idx="31">
                  <c:v>0</c:v>
                </c:pt>
                <c:pt idx="32">
                  <c:v>0.19612036187624482</c:v>
                </c:pt>
                <c:pt idx="33">
                  <c:v>0.79332529947476416</c:v>
                </c:pt>
                <c:pt idx="34">
                  <c:v>0.32699806902134998</c:v>
                </c:pt>
                <c:pt idx="35">
                  <c:v>0.79332529947476405</c:v>
                </c:pt>
                <c:pt idx="36">
                  <c:v>0.32699806902134998</c:v>
                </c:pt>
                <c:pt idx="37">
                  <c:v>2.7820834252890769</c:v>
                </c:pt>
                <c:pt idx="38">
                  <c:v>2.0723682657765576</c:v>
                </c:pt>
                <c:pt idx="39">
                  <c:v>1.8778581378302071</c:v>
                </c:pt>
                <c:pt idx="40">
                  <c:v>1.7776559507063292</c:v>
                </c:pt>
                <c:pt idx="41">
                  <c:v>2.0435026071120874</c:v>
                </c:pt>
                <c:pt idx="42">
                  <c:v>0.72055361874718349</c:v>
                </c:pt>
                <c:pt idx="43">
                  <c:v>1.7776559507063292</c:v>
                </c:pt>
                <c:pt idx="44">
                  <c:v>1.7776559507063292</c:v>
                </c:pt>
                <c:pt idx="45">
                  <c:v>1.7776559507063292</c:v>
                </c:pt>
                <c:pt idx="46">
                  <c:v>1.7776559507063292</c:v>
                </c:pt>
                <c:pt idx="47">
                  <c:v>5.0392084815044722</c:v>
                </c:pt>
                <c:pt idx="48">
                  <c:v>2.9069477351067898</c:v>
                </c:pt>
                <c:pt idx="49">
                  <c:v>5.5812827867724062</c:v>
                </c:pt>
                <c:pt idx="50">
                  <c:v>1.9443755986699489</c:v>
                </c:pt>
                <c:pt idx="51">
                  <c:v>2.3615120249013515</c:v>
                </c:pt>
                <c:pt idx="52">
                  <c:v>2.3615120249013515</c:v>
                </c:pt>
                <c:pt idx="53">
                  <c:v>2.3615120249013515</c:v>
                </c:pt>
                <c:pt idx="54">
                  <c:v>2.3615120249013515</c:v>
                </c:pt>
                <c:pt idx="55">
                  <c:v>2.3615120249013515</c:v>
                </c:pt>
                <c:pt idx="56">
                  <c:v>2.3615120249013515</c:v>
                </c:pt>
                <c:pt idx="57">
                  <c:v>2.3615120249013515</c:v>
                </c:pt>
                <c:pt idx="58">
                  <c:v>1.7590854879367213</c:v>
                </c:pt>
                <c:pt idx="59">
                  <c:v>1.6692421517616596</c:v>
                </c:pt>
                <c:pt idx="60">
                  <c:v>1.5089252412674308</c:v>
                </c:pt>
                <c:pt idx="61">
                  <c:v>1.5089252412674308</c:v>
                </c:pt>
                <c:pt idx="62">
                  <c:v>1.5089252412674308</c:v>
                </c:pt>
                <c:pt idx="63">
                  <c:v>1.7345834908279316</c:v>
                </c:pt>
                <c:pt idx="64">
                  <c:v>0.61162653132188183</c:v>
                </c:pt>
                <c:pt idx="65">
                  <c:v>1.5089252412674308</c:v>
                </c:pt>
                <c:pt idx="66">
                  <c:v>1.5089252412674308</c:v>
                </c:pt>
                <c:pt idx="67">
                  <c:v>1.5089252412674308</c:v>
                </c:pt>
                <c:pt idx="68">
                  <c:v>1.5089252412674308</c:v>
                </c:pt>
                <c:pt idx="69">
                  <c:v>1.5089252412674308</c:v>
                </c:pt>
                <c:pt idx="70">
                  <c:v>1.5089252412674308</c:v>
                </c:pt>
                <c:pt idx="71">
                  <c:v>1.5089252412674308</c:v>
                </c:pt>
                <c:pt idx="72">
                  <c:v>1.7345834908279316</c:v>
                </c:pt>
                <c:pt idx="73">
                  <c:v>0.61162653132188183</c:v>
                </c:pt>
                <c:pt idx="74">
                  <c:v>1.5089252412674308</c:v>
                </c:pt>
                <c:pt idx="75">
                  <c:v>1.5089252412674308</c:v>
                </c:pt>
                <c:pt idx="76">
                  <c:v>1.5089252412674308</c:v>
                </c:pt>
                <c:pt idx="77">
                  <c:v>1.5089252412674308</c:v>
                </c:pt>
                <c:pt idx="78">
                  <c:v>5.0392084815044722</c:v>
                </c:pt>
                <c:pt idx="79">
                  <c:v>2.9069477351067898</c:v>
                </c:pt>
                <c:pt idx="80">
                  <c:v>5.5812827867724062</c:v>
                </c:pt>
                <c:pt idx="81">
                  <c:v>1.6504416493932939</c:v>
                </c:pt>
                <c:pt idx="82">
                  <c:v>2.3615120249013515</c:v>
                </c:pt>
                <c:pt idx="83">
                  <c:v>1.7590854879367213</c:v>
                </c:pt>
                <c:pt idx="84">
                  <c:v>1.6692421517616596</c:v>
                </c:pt>
                <c:pt idx="85">
                  <c:v>1.5089252412674308</c:v>
                </c:pt>
                <c:pt idx="86">
                  <c:v>1.5089252412674308</c:v>
                </c:pt>
                <c:pt idx="87">
                  <c:v>1.6504416493932939</c:v>
                </c:pt>
                <c:pt idx="88">
                  <c:v>3.6207997520306359</c:v>
                </c:pt>
                <c:pt idx="89">
                  <c:v>2.665422433867342</c:v>
                </c:pt>
                <c:pt idx="90">
                  <c:v>2.1396056271539381</c:v>
                </c:pt>
                <c:pt idx="91">
                  <c:v>1.8687303024833966</c:v>
                </c:pt>
                <c:pt idx="92">
                  <c:v>2.2219278658164772</c:v>
                </c:pt>
                <c:pt idx="93">
                  <c:v>3.0734384441730818</c:v>
                </c:pt>
                <c:pt idx="94">
                  <c:v>2.2624868369522462</c:v>
                </c:pt>
                <c:pt idx="95">
                  <c:v>2.0196144650566312</c:v>
                </c:pt>
                <c:pt idx="96">
                  <c:v>1.5862317572858324</c:v>
                </c:pt>
                <c:pt idx="97">
                  <c:v>1.5862317572858324</c:v>
                </c:pt>
                <c:pt idx="98">
                  <c:v>1.8860359563242781</c:v>
                </c:pt>
              </c:numCache>
            </c:numRef>
          </c:val>
          <c:extLst>
            <c:ext xmlns:c16="http://schemas.microsoft.com/office/drawing/2014/chart" uri="{C3380CC4-5D6E-409C-BE32-E72D297353CC}">
              <c16:uniqueId val="{00000002-262A-4FD1-8B01-3E556E555C5E}"/>
            </c:ext>
          </c:extLst>
        </c:ser>
        <c:ser>
          <c:idx val="3"/>
          <c:order val="3"/>
          <c:tx>
            <c:strRef>
              <c:f>'0_Total'!$A$87</c:f>
              <c:strCache>
                <c:ptCount val="1"/>
                <c:pt idx="0">
                  <c:v>Operational services</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'0_Total'!$D$87:$CX$87</c:f>
              <c:numCache>
                <c:formatCode>General</c:formatCode>
                <c:ptCount val="99"/>
                <c:pt idx="0">
                  <c:v>0</c:v>
                </c:pt>
                <c:pt idx="1">
                  <c:v>3.0067113331269595</c:v>
                </c:pt>
                <c:pt idx="2">
                  <c:v>5.8800565552279291E-2</c:v>
                </c:pt>
                <c:pt idx="3">
                  <c:v>1.0022371110423198</c:v>
                </c:pt>
                <c:pt idx="4">
                  <c:v>0.33407903701410657</c:v>
                </c:pt>
                <c:pt idx="5">
                  <c:v>0.1072537805997188</c:v>
                </c:pt>
                <c:pt idx="6">
                  <c:v>0.26460254498525682</c:v>
                </c:pt>
                <c:pt idx="7">
                  <c:v>0.33407903701410663</c:v>
                </c:pt>
                <c:pt idx="8">
                  <c:v>1.0022371110423198</c:v>
                </c:pt>
                <c:pt idx="9">
                  <c:v>0.25055927776057996</c:v>
                </c:pt>
                <c:pt idx="10">
                  <c:v>0.75167783328173987</c:v>
                </c:pt>
                <c:pt idx="11">
                  <c:v>0.50111855552115991</c:v>
                </c:pt>
                <c:pt idx="12">
                  <c:v>0.50111855552115991</c:v>
                </c:pt>
                <c:pt idx="13">
                  <c:v>0.50111855552115991</c:v>
                </c:pt>
                <c:pt idx="14">
                  <c:v>0.50111855552115991</c:v>
                </c:pt>
                <c:pt idx="15">
                  <c:v>0.50111855552115991</c:v>
                </c:pt>
                <c:pt idx="16">
                  <c:v>0.50111855552115991</c:v>
                </c:pt>
                <c:pt idx="17">
                  <c:v>0.50111855552115991</c:v>
                </c:pt>
                <c:pt idx="18">
                  <c:v>0.50111855552115991</c:v>
                </c:pt>
                <c:pt idx="19">
                  <c:v>0.50111855552115991</c:v>
                </c:pt>
                <c:pt idx="20">
                  <c:v>1.6953768915189696E-2</c:v>
                </c:pt>
                <c:pt idx="21">
                  <c:v>0.35645658958233067</c:v>
                </c:pt>
                <c:pt idx="22">
                  <c:v>0.17822829479116534</c:v>
                </c:pt>
                <c:pt idx="23">
                  <c:v>0.23763772638822042</c:v>
                </c:pt>
                <c:pt idx="24">
                  <c:v>0.35645658958233067</c:v>
                </c:pt>
                <c:pt idx="25">
                  <c:v>7.6291960118353624E-2</c:v>
                </c:pt>
                <c:pt idx="26">
                  <c:v>0.23763772638822045</c:v>
                </c:pt>
                <c:pt idx="27">
                  <c:v>0.35645658958233067</c:v>
                </c:pt>
                <c:pt idx="28">
                  <c:v>0.76413840782992193</c:v>
                </c:pt>
                <c:pt idx="29">
                  <c:v>0</c:v>
                </c:pt>
                <c:pt idx="30">
                  <c:v>0</c:v>
                </c:pt>
                <c:pt idx="31">
                  <c:v>0.35645658958233067</c:v>
                </c:pt>
                <c:pt idx="32">
                  <c:v>0.35645658958233067</c:v>
                </c:pt>
                <c:pt idx="33">
                  <c:v>0</c:v>
                </c:pt>
                <c:pt idx="34">
                  <c:v>0</c:v>
                </c:pt>
                <c:pt idx="35">
                  <c:v>0</c:v>
                </c:pt>
                <c:pt idx="36">
                  <c:v>0.19504228486580358</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0.42057140038772545</c:v>
                </c:pt>
                <c:pt idx="52">
                  <c:v>0.42057140038772545</c:v>
                </c:pt>
                <c:pt idx="53">
                  <c:v>0.42057140038772545</c:v>
                </c:pt>
                <c:pt idx="54">
                  <c:v>0.42057140038772545</c:v>
                </c:pt>
                <c:pt idx="55">
                  <c:v>0.42057140038772545</c:v>
                </c:pt>
                <c:pt idx="56">
                  <c:v>0.42057140038772545</c:v>
                </c:pt>
                <c:pt idx="57">
                  <c:v>0.42057140038772545</c:v>
                </c:pt>
                <c:pt idx="58">
                  <c:v>0.31328277783983632</c:v>
                </c:pt>
                <c:pt idx="59">
                  <c:v>0.29728220815727063</c:v>
                </c:pt>
                <c:pt idx="60">
                  <c:v>0.42057140038772545</c:v>
                </c:pt>
                <c:pt idx="61">
                  <c:v>0.31328277783983632</c:v>
                </c:pt>
                <c:pt idx="62">
                  <c:v>0.29728220815727063</c:v>
                </c:pt>
                <c:pt idx="63">
                  <c:v>0.30891911628415569</c:v>
                </c:pt>
                <c:pt idx="64">
                  <c:v>0.10892708742530174</c:v>
                </c:pt>
                <c:pt idx="65">
                  <c:v>0.26873070943889849</c:v>
                </c:pt>
                <c:pt idx="66">
                  <c:v>0.26873070943889849</c:v>
                </c:pt>
                <c:pt idx="67">
                  <c:v>0.26873070943889849</c:v>
                </c:pt>
                <c:pt idx="68">
                  <c:v>0.26873070943889849</c:v>
                </c:pt>
                <c:pt idx="69">
                  <c:v>0.26873070943889849</c:v>
                </c:pt>
                <c:pt idx="70">
                  <c:v>0.26873070943889849</c:v>
                </c:pt>
                <c:pt idx="71">
                  <c:v>0.26873070943889849</c:v>
                </c:pt>
                <c:pt idx="72">
                  <c:v>0.30891911628415569</c:v>
                </c:pt>
                <c:pt idx="73">
                  <c:v>0.10892708742530174</c:v>
                </c:pt>
                <c:pt idx="74">
                  <c:v>0.26873070943889849</c:v>
                </c:pt>
                <c:pt idx="75">
                  <c:v>0.26873070943889849</c:v>
                </c:pt>
                <c:pt idx="76">
                  <c:v>0.26873070943889849</c:v>
                </c:pt>
                <c:pt idx="77">
                  <c:v>0.26873070943889849</c:v>
                </c:pt>
                <c:pt idx="78">
                  <c:v>0.89745338815311426</c:v>
                </c:pt>
                <c:pt idx="79">
                  <c:v>0.51771029192995988</c:v>
                </c:pt>
                <c:pt idx="80">
                  <c:v>0.99399363324894929</c:v>
                </c:pt>
                <c:pt idx="81">
                  <c:v>0.29393394927665512</c:v>
                </c:pt>
                <c:pt idx="82">
                  <c:v>0.42057140038772545</c:v>
                </c:pt>
                <c:pt idx="83">
                  <c:v>0.31328277783983632</c:v>
                </c:pt>
                <c:pt idx="84">
                  <c:v>0.29728220815727063</c:v>
                </c:pt>
                <c:pt idx="85">
                  <c:v>0.26873070943889849</c:v>
                </c:pt>
                <c:pt idx="86">
                  <c:v>0.26873070943889849</c:v>
                </c:pt>
                <c:pt idx="87">
                  <c:v>0.29393394927665512</c:v>
                </c:pt>
                <c:pt idx="88">
                  <c:v>0</c:v>
                </c:pt>
                <c:pt idx="89">
                  <c:v>0</c:v>
                </c:pt>
                <c:pt idx="90">
                  <c:v>0</c:v>
                </c:pt>
                <c:pt idx="91">
                  <c:v>0</c:v>
                </c:pt>
                <c:pt idx="92">
                  <c:v>0</c:v>
                </c:pt>
                <c:pt idx="93">
                  <c:v>0.54736130785755432</c:v>
                </c:pt>
                <c:pt idx="94">
                  <c:v>0.40293559691509545</c:v>
                </c:pt>
                <c:pt idx="95">
                  <c:v>0.35968145614149755</c:v>
                </c:pt>
                <c:pt idx="96">
                  <c:v>0.28249854519756395</c:v>
                </c:pt>
                <c:pt idx="97">
                  <c:v>0.28249854519756395</c:v>
                </c:pt>
                <c:pt idx="98">
                  <c:v>0.3358919094921991</c:v>
                </c:pt>
              </c:numCache>
            </c:numRef>
          </c:val>
          <c:extLst>
            <c:ext xmlns:c16="http://schemas.microsoft.com/office/drawing/2014/chart" uri="{C3380CC4-5D6E-409C-BE32-E72D297353CC}">
              <c16:uniqueId val="{00000003-262A-4FD1-8B01-3E556E555C5E}"/>
            </c:ext>
          </c:extLst>
        </c:ser>
        <c:ser>
          <c:idx val="4"/>
          <c:order val="4"/>
          <c:tx>
            <c:strRef>
              <c:f>'0_Total'!$A$88</c:f>
              <c:strCache>
                <c:ptCount val="1"/>
                <c:pt idx="0">
                  <c:v>Infrastructure network (from the vehicleperspective)</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'0_Total'!$D$88:$CX$88</c:f>
              <c:numCache>
                <c:formatCode>General</c:formatCode>
                <c:ptCount val="99"/>
                <c:pt idx="0">
                  <c:v>2.7627731661023575E-2</c:v>
                </c:pt>
                <c:pt idx="1">
                  <c:v>2.7627731661023575E-2</c:v>
                </c:pt>
                <c:pt idx="2">
                  <c:v>2.7627731661023575E-2</c:v>
                </c:pt>
                <c:pt idx="3">
                  <c:v>2.7627731661023575E-2</c:v>
                </c:pt>
                <c:pt idx="4">
                  <c:v>2.7627731661023575E-2</c:v>
                </c:pt>
                <c:pt idx="5">
                  <c:v>2.7627731661023575E-2</c:v>
                </c:pt>
                <c:pt idx="6">
                  <c:v>2.7627731661023575E-2</c:v>
                </c:pt>
                <c:pt idx="7">
                  <c:v>2.7627731661023575E-2</c:v>
                </c:pt>
                <c:pt idx="8">
                  <c:v>2.7627731661023575E-2</c:v>
                </c:pt>
                <c:pt idx="9">
                  <c:v>2.7627731661023575E-2</c:v>
                </c:pt>
                <c:pt idx="10">
                  <c:v>2.7627731661023575E-2</c:v>
                </c:pt>
                <c:pt idx="11">
                  <c:v>2.7627731661023575E-2</c:v>
                </c:pt>
                <c:pt idx="12">
                  <c:v>2.7627731661023575E-2</c:v>
                </c:pt>
                <c:pt idx="13">
                  <c:v>2.7627731661023575E-2</c:v>
                </c:pt>
                <c:pt idx="14">
                  <c:v>2.7627731661023575E-2</c:v>
                </c:pt>
                <c:pt idx="15">
                  <c:v>2.7627731661023575E-2</c:v>
                </c:pt>
                <c:pt idx="16">
                  <c:v>2.7652368632868705E-2</c:v>
                </c:pt>
                <c:pt idx="17">
                  <c:v>2.7652368632868705E-2</c:v>
                </c:pt>
                <c:pt idx="18">
                  <c:v>2.7627731661023575E-2</c:v>
                </c:pt>
                <c:pt idx="19">
                  <c:v>2.7627731661023575E-2</c:v>
                </c:pt>
                <c:pt idx="20">
                  <c:v>2.7752305233719292E-2</c:v>
                </c:pt>
                <c:pt idx="21">
                  <c:v>2.7752305233719292E-2</c:v>
                </c:pt>
                <c:pt idx="22">
                  <c:v>2.7752305233719292E-2</c:v>
                </c:pt>
                <c:pt idx="23">
                  <c:v>2.7752305233719292E-2</c:v>
                </c:pt>
                <c:pt idx="24">
                  <c:v>2.7752305233719292E-2</c:v>
                </c:pt>
                <c:pt idx="25">
                  <c:v>2.7752305233719292E-2</c:v>
                </c:pt>
                <c:pt idx="26">
                  <c:v>2.7752305233719292E-2</c:v>
                </c:pt>
                <c:pt idx="27">
                  <c:v>2.7752305233719292E-2</c:v>
                </c:pt>
                <c:pt idx="28">
                  <c:v>2.7627731661023575E-2</c:v>
                </c:pt>
                <c:pt idx="29">
                  <c:v>2.7716152958755239E-2</c:v>
                </c:pt>
                <c:pt idx="30">
                  <c:v>2.7740166028967599E-2</c:v>
                </c:pt>
                <c:pt idx="31">
                  <c:v>2.7770390396550708E-2</c:v>
                </c:pt>
                <c:pt idx="32">
                  <c:v>2.7808427605798137E-2</c:v>
                </c:pt>
                <c:pt idx="33">
                  <c:v>3.3347863362650804E-2</c:v>
                </c:pt>
                <c:pt idx="34">
                  <c:v>3.3229403147663539E-2</c:v>
                </c:pt>
                <c:pt idx="35">
                  <c:v>3.3347863362650804E-2</c:v>
                </c:pt>
                <c:pt idx="36">
                  <c:v>3.3229403147663539E-2</c:v>
                </c:pt>
                <c:pt idx="37">
                  <c:v>5.4761204104258526E-2</c:v>
                </c:pt>
                <c:pt idx="38">
                  <c:v>5.5816493732271613E-2</c:v>
                </c:pt>
                <c:pt idx="39">
                  <c:v>5.6782761438129888E-2</c:v>
                </c:pt>
                <c:pt idx="40">
                  <c:v>5.353531158227285E-2</c:v>
                </c:pt>
                <c:pt idx="41">
                  <c:v>5.353531158227285E-2</c:v>
                </c:pt>
                <c:pt idx="42">
                  <c:v>5.353531158227285E-2</c:v>
                </c:pt>
                <c:pt idx="43">
                  <c:v>5.353531158227285E-2</c:v>
                </c:pt>
                <c:pt idx="44">
                  <c:v>5.353531158227285E-2</c:v>
                </c:pt>
                <c:pt idx="45">
                  <c:v>5.353531158227285E-2</c:v>
                </c:pt>
                <c:pt idx="46">
                  <c:v>5.353531158227285E-2</c:v>
                </c:pt>
                <c:pt idx="47">
                  <c:v>5.698971863071621E-2</c:v>
                </c:pt>
                <c:pt idx="48">
                  <c:v>5.698971863071621E-2</c:v>
                </c:pt>
                <c:pt idx="49">
                  <c:v>5.698971863071621E-2</c:v>
                </c:pt>
                <c:pt idx="50">
                  <c:v>5.698971863071621E-2</c:v>
                </c:pt>
                <c:pt idx="51">
                  <c:v>4.8247195898292433E-2</c:v>
                </c:pt>
                <c:pt idx="52">
                  <c:v>4.8247195898292433E-2</c:v>
                </c:pt>
                <c:pt idx="53">
                  <c:v>4.8247195898292433E-2</c:v>
                </c:pt>
                <c:pt idx="54">
                  <c:v>4.8247195898292433E-2</c:v>
                </c:pt>
                <c:pt idx="55">
                  <c:v>4.8247195898292433E-2</c:v>
                </c:pt>
                <c:pt idx="56">
                  <c:v>4.8247195898292433E-2</c:v>
                </c:pt>
                <c:pt idx="57">
                  <c:v>4.8247195898292433E-2</c:v>
                </c:pt>
                <c:pt idx="58">
                  <c:v>4.9176955684349148E-2</c:v>
                </c:pt>
                <c:pt idx="59">
                  <c:v>5.0028282970834295E-2</c:v>
                </c:pt>
                <c:pt idx="60">
                  <c:v>4.7167126940241617E-2</c:v>
                </c:pt>
                <c:pt idx="61">
                  <c:v>4.7167126940241617E-2</c:v>
                </c:pt>
                <c:pt idx="62">
                  <c:v>4.7167126940241617E-2</c:v>
                </c:pt>
                <c:pt idx="63">
                  <c:v>4.7167126940241617E-2</c:v>
                </c:pt>
                <c:pt idx="64">
                  <c:v>4.7167126940241617E-2</c:v>
                </c:pt>
                <c:pt idx="65">
                  <c:v>4.7167126940241617E-2</c:v>
                </c:pt>
                <c:pt idx="66">
                  <c:v>4.7167126940241617E-2</c:v>
                </c:pt>
                <c:pt idx="67">
                  <c:v>4.7167126940241617E-2</c:v>
                </c:pt>
                <c:pt idx="68">
                  <c:v>4.7167126940241617E-2</c:v>
                </c:pt>
                <c:pt idx="69">
                  <c:v>4.7167126940241617E-2</c:v>
                </c:pt>
                <c:pt idx="70">
                  <c:v>4.7167126940241617E-2</c:v>
                </c:pt>
                <c:pt idx="71">
                  <c:v>4.7167126940241617E-2</c:v>
                </c:pt>
                <c:pt idx="72">
                  <c:v>4.7167126940241617E-2</c:v>
                </c:pt>
                <c:pt idx="73">
                  <c:v>4.7167126940241617E-2</c:v>
                </c:pt>
                <c:pt idx="74">
                  <c:v>4.7167126940241617E-2</c:v>
                </c:pt>
                <c:pt idx="75">
                  <c:v>4.7167126940241617E-2</c:v>
                </c:pt>
                <c:pt idx="76">
                  <c:v>4.7167126940241617E-2</c:v>
                </c:pt>
                <c:pt idx="77">
                  <c:v>4.7167126940241617E-2</c:v>
                </c:pt>
                <c:pt idx="78">
                  <c:v>5.0210621989426052E-2</c:v>
                </c:pt>
                <c:pt idx="79">
                  <c:v>5.0210621989426052E-2</c:v>
                </c:pt>
                <c:pt idx="80">
                  <c:v>5.0210621989426052E-2</c:v>
                </c:pt>
                <c:pt idx="81">
                  <c:v>5.0210621989426052E-2</c:v>
                </c:pt>
                <c:pt idx="82">
                  <c:v>4.8247195898292433E-2</c:v>
                </c:pt>
                <c:pt idx="83">
                  <c:v>4.9176955684349148E-2</c:v>
                </c:pt>
                <c:pt idx="84">
                  <c:v>5.0028282970834295E-2</c:v>
                </c:pt>
                <c:pt idx="85">
                  <c:v>4.7167126940241617E-2</c:v>
                </c:pt>
                <c:pt idx="86">
                  <c:v>4.7167126940241617E-2</c:v>
                </c:pt>
                <c:pt idx="87">
                  <c:v>5.0210621989426052E-2</c:v>
                </c:pt>
                <c:pt idx="88">
                  <c:v>5.9642158387071889E-2</c:v>
                </c:pt>
                <c:pt idx="89">
                  <c:v>6.0899966326746352E-2</c:v>
                </c:pt>
                <c:pt idx="90">
                  <c:v>6.2047409227453068E-2</c:v>
                </c:pt>
                <c:pt idx="91">
                  <c:v>5.8183206332109348E-2</c:v>
                </c:pt>
                <c:pt idx="92">
                  <c:v>6.2543489354794868E-2</c:v>
                </c:pt>
                <c:pt idx="93">
                  <c:v>5.2547546142694614E-2</c:v>
                </c:pt>
                <c:pt idx="94">
                  <c:v>5.365573408451494E-2</c:v>
                </c:pt>
                <c:pt idx="95">
                  <c:v>5.4666685237216066E-2</c:v>
                </c:pt>
                <c:pt idx="96">
                  <c:v>5.1262140776735542E-2</c:v>
                </c:pt>
                <c:pt idx="97">
                  <c:v>5.1262140776735542E-2</c:v>
                </c:pt>
                <c:pt idx="98">
                  <c:v>5.5103755156999813E-2</c:v>
                </c:pt>
              </c:numCache>
            </c:numRef>
          </c:val>
          <c:extLst>
            <c:ext xmlns:c16="http://schemas.microsoft.com/office/drawing/2014/chart" uri="{C3380CC4-5D6E-409C-BE32-E72D297353CC}">
              <c16:uniqueId val="{00000004-262A-4FD1-8B01-3E556E555C5E}"/>
            </c:ext>
          </c:extLst>
        </c:ser>
        <c:dLbls>
          <c:showLegendKey val="0"/>
          <c:showVal val="0"/>
          <c:showCatName val="0"/>
          <c:showSerName val="0"/>
          <c:showPercent val="0"/>
          <c:showBubbleSize val="0"/>
        </c:dLbls>
        <c:gapWidth val="150"/>
        <c:overlap val="100"/>
        <c:axId val="116737152"/>
        <c:axId val="116738688"/>
      </c:barChart>
      <c:catAx>
        <c:axId val="116737152"/>
        <c:scaling>
          <c:orientation val="minMax"/>
        </c:scaling>
        <c:delete val="0"/>
        <c:axPos val="b"/>
        <c:numFmt formatCode="General" sourceLinked="0"/>
        <c:majorTickMark val="out"/>
        <c:minorTickMark val="none"/>
        <c:tickLblPos val="nextTo"/>
        <c:crossAx val="116738688"/>
        <c:crosses val="autoZero"/>
        <c:auto val="1"/>
        <c:lblAlgn val="ctr"/>
        <c:lblOffset val="100"/>
        <c:noMultiLvlLbl val="0"/>
      </c:catAx>
      <c:valAx>
        <c:axId val="116738688"/>
        <c:scaling>
          <c:orientation val="minMax"/>
        </c:scaling>
        <c:delete val="0"/>
        <c:axPos val="l"/>
        <c:majorGridlines/>
        <c:title>
          <c:tx>
            <c:strRef>
              <c:f>'0_Total'!$A$83:$B$83</c:f>
              <c:strCache>
                <c:ptCount val="2"/>
                <c:pt idx="0">
                  <c:v>Energy consumption per vkm</c:v>
                </c:pt>
                <c:pt idx="1">
                  <c:v>[MJ/vkm]</c:v>
                </c:pt>
              </c:strCache>
            </c:strRef>
          </c:tx>
          <c:overlay val="0"/>
          <c:txPr>
            <a:bodyPr rot="-5400000" vert="horz"/>
            <a:lstStyle/>
            <a:p>
              <a:pPr>
                <a:defRPr/>
              </a:pPr>
              <a:endParaRPr lang="en-FI"/>
            </a:p>
          </c:txPr>
        </c:title>
        <c:numFmt formatCode="General" sourceLinked="1"/>
        <c:majorTickMark val="out"/>
        <c:minorTickMark val="none"/>
        <c:tickLblPos val="nextTo"/>
        <c:crossAx val="116737152"/>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Figure_15_GHG_per_pkm_share!$J$44</c:f>
              <c:strCache>
                <c:ptCount val="1"/>
                <c:pt idx="0">
                  <c:v>Private moped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C8E3-44BC-9745-FC8BF5811713}"/>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C8E3-44BC-9745-FC8BF5811713}"/>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C8E3-44BC-9745-FC8BF5811713}"/>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C8E3-44BC-9745-FC8BF5811713}"/>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C8E3-44BC-9745-FC8BF5811713}"/>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C8E3-44BC-9745-FC8BF5811713}"/>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C8E3-44BC-9745-FC8BF5811713}"/>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C8E3-44BC-9745-FC8BF5811713}"/>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C8E3-44BC-9745-FC8BF5811713}"/>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C8E3-44BC-9745-FC8BF5811713}"/>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Figure_15_GHG_per_pkm_share!$J$45:$J$48</c:f>
              <c:numCache>
                <c:formatCode>0</c:formatCode>
                <c:ptCount val="4"/>
                <c:pt idx="0">
                  <c:v>9.7988736045981124</c:v>
                </c:pt>
                <c:pt idx="1">
                  <c:v>4.5324601156650521</c:v>
                </c:pt>
                <c:pt idx="2">
                  <c:v>11.354081196149926</c:v>
                </c:pt>
                <c:pt idx="3">
                  <c:v>0</c:v>
                </c:pt>
              </c:numCache>
            </c:numRef>
          </c:val>
          <c:extLst>
            <c:ext xmlns:c16="http://schemas.microsoft.com/office/drawing/2014/chart" uri="{C3380CC4-5D6E-409C-BE32-E72D297353CC}">
              <c16:uniqueId val="{00000014-C8E3-44BC-9745-FC8BF5811713}"/>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Figure_15_GHG_per_pkm_share!$E$44</c:f>
              <c:strCache>
                <c:ptCount val="1"/>
                <c:pt idx="0">
                  <c:v>Private 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2FF2-41E1-B3D1-2AB126EF67B5}"/>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2FF2-41E1-B3D1-2AB126EF67B5}"/>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2FF2-41E1-B3D1-2AB126EF67B5}"/>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2FF2-41E1-B3D1-2AB126EF67B5}"/>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2FF2-41E1-B3D1-2AB126EF67B5}"/>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2FF2-41E1-B3D1-2AB126EF67B5}"/>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2FF2-41E1-B3D1-2AB126EF67B5}"/>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2FF2-41E1-B3D1-2AB126EF67B5}"/>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2FF2-41E1-B3D1-2AB126EF67B5}"/>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2FF2-41E1-B3D1-2AB126EF67B5}"/>
              </c:ext>
            </c:extLst>
          </c:dPt>
          <c:dLbls>
            <c:delete val="1"/>
          </c:dLbls>
          <c:cat>
            <c:strRef>
              <c:f>Figure_15_GHG_per_pkm_share!$B$45:$B$55</c:f>
              <c:strCache>
                <c:ptCount val="4"/>
                <c:pt idx="0">
                  <c:v>Vehicle component</c:v>
                </c:pt>
                <c:pt idx="1">
                  <c:v>Fuel component</c:v>
                </c:pt>
                <c:pt idx="2">
                  <c:v>Infrastructure component</c:v>
                </c:pt>
                <c:pt idx="3">
                  <c:v>Operational services</c:v>
                </c:pt>
              </c:strCache>
            </c:strRef>
          </c:cat>
          <c:val>
            <c:numRef>
              <c:f>Figure_15_GHG_per_pkm_share!$E$45:$E$54</c:f>
              <c:numCache>
                <c:formatCode>0</c:formatCode>
                <c:ptCount val="4"/>
                <c:pt idx="0">
                  <c:v>7.4670905852088847</c:v>
                </c:pt>
                <c:pt idx="1">
                  <c:v>0</c:v>
                </c:pt>
                <c:pt idx="2">
                  <c:v>9.471154571397097</c:v>
                </c:pt>
                <c:pt idx="3">
                  <c:v>0</c:v>
                </c:pt>
              </c:numCache>
            </c:numRef>
          </c:val>
          <c:extLst>
            <c:ext xmlns:c16="http://schemas.microsoft.com/office/drawing/2014/chart" uri="{C3380CC4-5D6E-409C-BE32-E72D297353CC}">
              <c16:uniqueId val="{00000014-2FF2-41E1-B3D1-2AB126EF67B5}"/>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Figure_15_GHG_per_pkm_share!$F$44</c:f>
              <c:strCache>
                <c:ptCount val="1"/>
                <c:pt idx="0">
                  <c:v>Shared 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EE80-4E9B-9102-A66862C47405}"/>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EE80-4E9B-9102-A66862C47405}"/>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EE80-4E9B-9102-A66862C47405}"/>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EE80-4E9B-9102-A66862C47405}"/>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EE80-4E9B-9102-A66862C47405}"/>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EE80-4E9B-9102-A66862C47405}"/>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EE80-4E9B-9102-A66862C47405}"/>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EE80-4E9B-9102-A66862C47405}"/>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EE80-4E9B-9102-A66862C47405}"/>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EE80-4E9B-9102-A66862C47405}"/>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Figure_15_GHG_per_pkm_share!$F$45:$F$48</c:f>
              <c:numCache>
                <c:formatCode>0</c:formatCode>
                <c:ptCount val="4"/>
                <c:pt idx="0">
                  <c:v>23.312907018241759</c:v>
                </c:pt>
                <c:pt idx="1">
                  <c:v>0</c:v>
                </c:pt>
                <c:pt idx="2">
                  <c:v>9.4896885706026097</c:v>
                </c:pt>
                <c:pt idx="3">
                  <c:v>24.702441658055513</c:v>
                </c:pt>
              </c:numCache>
            </c:numRef>
          </c:val>
          <c:extLst>
            <c:ext xmlns:c16="http://schemas.microsoft.com/office/drawing/2014/chart" uri="{C3380CC4-5D6E-409C-BE32-E72D297353CC}">
              <c16:uniqueId val="{00000014-EE80-4E9B-9102-A66862C47405}"/>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Figure_15_GHG_per_pkm_share!$N$44</c:f>
              <c:strCache>
                <c:ptCount val="1"/>
                <c:pt idx="0">
                  <c:v>Private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AECA-47CB-BAA7-5ABB63DE7F64}"/>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AECA-47CB-BAA7-5ABB63DE7F64}"/>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AECA-47CB-BAA7-5ABB63DE7F64}"/>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AECA-47CB-BAA7-5ABB63DE7F64}"/>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AECA-47CB-BAA7-5ABB63DE7F64}"/>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AECA-47CB-BAA7-5ABB63DE7F64}"/>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AECA-47CB-BAA7-5ABB63DE7F64}"/>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AECA-47CB-BAA7-5ABB63DE7F64}"/>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AECA-47CB-BAA7-5ABB63DE7F64}"/>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AECA-47CB-BAA7-5ABB63DE7F64}"/>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Figure_15_GHG_per_pkm_share!$N$45:$N$48</c:f>
              <c:numCache>
                <c:formatCode>0</c:formatCode>
                <c:ptCount val="4"/>
                <c:pt idx="0">
                  <c:v>25.97776328361342</c:v>
                </c:pt>
                <c:pt idx="1">
                  <c:v>93.58311504000001</c:v>
                </c:pt>
                <c:pt idx="2">
                  <c:v>12.716888018619265</c:v>
                </c:pt>
                <c:pt idx="3">
                  <c:v>0</c:v>
                </c:pt>
              </c:numCache>
            </c:numRef>
          </c:val>
          <c:extLst>
            <c:ext xmlns:c16="http://schemas.microsoft.com/office/drawing/2014/chart" uri="{C3380CC4-5D6E-409C-BE32-E72D297353CC}">
              <c16:uniqueId val="{00000014-AECA-47CB-BAA7-5ABB63DE7F64}"/>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Figure_15_GHG_per_pkm_share!$H$44</c:f>
              <c:strCache>
                <c:ptCount val="1"/>
                <c:pt idx="0">
                  <c:v>Shared e-bike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E8AC-46B8-9436-8FA8711A1C57}"/>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E8AC-46B8-9436-8FA8711A1C57}"/>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E8AC-46B8-9436-8FA8711A1C57}"/>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E8AC-46B8-9436-8FA8711A1C57}"/>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E8AC-46B8-9436-8FA8711A1C57}"/>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E8AC-46B8-9436-8FA8711A1C57}"/>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E8AC-46B8-9436-8FA8711A1C57}"/>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E8AC-46B8-9436-8FA8711A1C57}"/>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E8AC-46B8-9436-8FA8711A1C57}"/>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E8AC-46B8-9436-8FA8711A1C57}"/>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Figure_15_GHG_per_pkm_share!$H$45:$H$48</c:f>
              <c:numCache>
                <c:formatCode>0</c:formatCode>
                <c:ptCount val="4"/>
                <c:pt idx="0">
                  <c:v>37.131518608826688</c:v>
                </c:pt>
                <c:pt idx="1">
                  <c:v>2.7183882789712706</c:v>
                </c:pt>
                <c:pt idx="2">
                  <c:v>9.5026866330964577</c:v>
                </c:pt>
                <c:pt idx="3">
                  <c:v>24.702441658055513</c:v>
                </c:pt>
              </c:numCache>
            </c:numRef>
          </c:val>
          <c:extLst>
            <c:ext xmlns:c16="http://schemas.microsoft.com/office/drawing/2014/chart" uri="{C3380CC4-5D6E-409C-BE32-E72D297353CC}">
              <c16:uniqueId val="{00000014-E8AC-46B8-9436-8FA8711A1C57}"/>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Figure_15_GHG_per_pkm_share!$P$44</c:f>
              <c:strCache>
                <c:ptCount val="1"/>
                <c:pt idx="0">
                  <c:v>Private car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3611-471E-8BBE-DA9F4BF7A815}"/>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3611-471E-8BBE-DA9F4BF7A815}"/>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3611-471E-8BBE-DA9F4BF7A815}"/>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3611-471E-8BBE-DA9F4BF7A815}"/>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3611-471E-8BBE-DA9F4BF7A815}"/>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3611-471E-8BBE-DA9F4BF7A815}"/>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3611-471E-8BBE-DA9F4BF7A815}"/>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3611-471E-8BBE-DA9F4BF7A815}"/>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3611-471E-8BBE-DA9F4BF7A815}"/>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3611-471E-8BBE-DA9F4BF7A815}"/>
              </c:ext>
            </c:extLst>
          </c:dPt>
          <c:dLbls>
            <c:delete val="1"/>
          </c:dLbls>
          <c:cat>
            <c:strRef>
              <c:f>Figure_15_GHG_per_pkm_share!$B$45:$B$54</c:f>
              <c:strCache>
                <c:ptCount val="4"/>
                <c:pt idx="0">
                  <c:v>Vehicle component</c:v>
                </c:pt>
                <c:pt idx="1">
                  <c:v>Fuel component</c:v>
                </c:pt>
                <c:pt idx="2">
                  <c:v>Infrastructure component</c:v>
                </c:pt>
                <c:pt idx="3">
                  <c:v>Operational services</c:v>
                </c:pt>
              </c:strCache>
            </c:strRef>
          </c:cat>
          <c:val>
            <c:numRef>
              <c:f>Figure_15_GHG_per_pkm_share!$P$45:$P$48</c:f>
              <c:numCache>
                <c:formatCode>0</c:formatCode>
                <c:ptCount val="4"/>
                <c:pt idx="0">
                  <c:v>41.64927411276431</c:v>
                </c:pt>
                <c:pt idx="1">
                  <c:v>16.426508205516896</c:v>
                </c:pt>
                <c:pt idx="2">
                  <c:v>12.197157451329351</c:v>
                </c:pt>
                <c:pt idx="3">
                  <c:v>0</c:v>
                </c:pt>
              </c:numCache>
            </c:numRef>
          </c:val>
          <c:extLst>
            <c:ext xmlns:c16="http://schemas.microsoft.com/office/drawing/2014/chart" uri="{C3380CC4-5D6E-409C-BE32-E72D297353CC}">
              <c16:uniqueId val="{00000014-3611-471E-8BBE-DA9F4BF7A815}"/>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Figure_15_GHG_per_pkm_share!$D$44</c:f>
              <c:strCache>
                <c:ptCount val="1"/>
                <c:pt idx="0">
                  <c:v>Shared e-scooter
(first generation)</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74BE-4464-9A54-924D78039B0E}"/>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74BE-4464-9A54-924D78039B0E}"/>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74BE-4464-9A54-924D78039B0E}"/>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74BE-4464-9A54-924D78039B0E}"/>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74BE-4464-9A54-924D78039B0E}"/>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74BE-4464-9A54-924D78039B0E}"/>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74BE-4464-9A54-924D78039B0E}"/>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74BE-4464-9A54-924D78039B0E}"/>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74BE-4464-9A54-924D78039B0E}"/>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74BE-4464-9A54-924D78039B0E}"/>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Figure_15_GHG_per_pkm_share!$D$45:$D$48</c:f>
              <c:numCache>
                <c:formatCode>0</c:formatCode>
                <c:ptCount val="4"/>
                <c:pt idx="0">
                  <c:v>71.455666502830198</c:v>
                </c:pt>
                <c:pt idx="1">
                  <c:v>1.4239176699373322</c:v>
                </c:pt>
                <c:pt idx="2">
                  <c:v>9.4409392749428456</c:v>
                </c:pt>
                <c:pt idx="3">
                  <c:v>34.727515897616378</c:v>
                </c:pt>
              </c:numCache>
            </c:numRef>
          </c:val>
          <c:extLst>
            <c:ext xmlns:c16="http://schemas.microsoft.com/office/drawing/2014/chart" uri="{C3380CC4-5D6E-409C-BE32-E72D297353CC}">
              <c16:uniqueId val="{00000014-74BE-4464-9A54-924D78039B0E}"/>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Figure_15_GHG_per_pkm_share!$G$44</c:f>
              <c:strCache>
                <c:ptCount val="1"/>
                <c:pt idx="0">
                  <c:v>Private e-bike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CAB6-4677-B59D-4E6112CF66E1}"/>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CAB6-4677-B59D-4E6112CF66E1}"/>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CAB6-4677-B59D-4E6112CF66E1}"/>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CAB6-4677-B59D-4E6112CF66E1}"/>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CAB6-4677-B59D-4E6112CF66E1}"/>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CAB6-4677-B59D-4E6112CF66E1}"/>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CAB6-4677-B59D-4E6112CF66E1}"/>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CAB6-4677-B59D-4E6112CF66E1}"/>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CAB6-4677-B59D-4E6112CF66E1}"/>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CAB6-4677-B59D-4E6112CF66E1}"/>
              </c:ext>
            </c:extLst>
          </c:dPt>
          <c:dLbls>
            <c:delete val="1"/>
          </c:dLbls>
          <c:cat>
            <c:strRef>
              <c:f>Figure_15_GHG_per_pkm_share!$B$45:$B$54</c:f>
              <c:strCache>
                <c:ptCount val="4"/>
                <c:pt idx="0">
                  <c:v>Vehicle component</c:v>
                </c:pt>
                <c:pt idx="1">
                  <c:v>Fuel component</c:v>
                </c:pt>
                <c:pt idx="2">
                  <c:v>Infrastructure component</c:v>
                </c:pt>
                <c:pt idx="3">
                  <c:v>Operational services</c:v>
                </c:pt>
              </c:strCache>
            </c:strRef>
          </c:cat>
          <c:val>
            <c:numRef>
              <c:f>Figure_15_GHG_per_pkm_share!$G$45:$G$54</c:f>
              <c:numCache>
                <c:formatCode>0</c:formatCode>
                <c:ptCount val="4"/>
                <c:pt idx="0">
                  <c:v>12.537922665474529</c:v>
                </c:pt>
                <c:pt idx="1">
                  <c:v>2.7183882789712701</c:v>
                </c:pt>
                <c:pt idx="2">
                  <c:v>9.4793603097639458</c:v>
                </c:pt>
                <c:pt idx="3">
                  <c:v>0</c:v>
                </c:pt>
              </c:numCache>
            </c:numRef>
          </c:val>
          <c:extLst>
            <c:ext xmlns:c16="http://schemas.microsoft.com/office/drawing/2014/chart" uri="{C3380CC4-5D6E-409C-BE32-E72D297353CC}">
              <c16:uniqueId val="{00000014-CAB6-4677-B59D-4E6112CF66E1}"/>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Figure_15_GHG_per_pkm_share!$C$44</c:f>
              <c:strCache>
                <c:ptCount val="1"/>
                <c:pt idx="0">
                  <c:v>Private e-scooter</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553B-4515-811E-FAA66302D17A}"/>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553B-4515-811E-FAA66302D17A}"/>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553B-4515-811E-FAA66302D17A}"/>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553B-4515-811E-FAA66302D17A}"/>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553B-4515-811E-FAA66302D17A}"/>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553B-4515-811E-FAA66302D17A}"/>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553B-4515-811E-FAA66302D17A}"/>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553B-4515-811E-FAA66302D17A}"/>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553B-4515-811E-FAA66302D17A}"/>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553B-4515-811E-FAA66302D17A}"/>
              </c:ext>
            </c:extLst>
          </c:dPt>
          <c:dLbls>
            <c:delete val="1"/>
          </c:dLbls>
          <c:cat>
            <c:strRef>
              <c:f>Figure_15_GHG_per_pkm_share!$B$45:$B$54</c:f>
              <c:strCache>
                <c:ptCount val="4"/>
                <c:pt idx="0">
                  <c:v>Vehicle component</c:v>
                </c:pt>
                <c:pt idx="1">
                  <c:v>Fuel component</c:v>
                </c:pt>
                <c:pt idx="2">
                  <c:v>Infrastructure component</c:v>
                </c:pt>
                <c:pt idx="3">
                  <c:v>Operational services</c:v>
                </c:pt>
              </c:strCache>
            </c:strRef>
          </c:cat>
          <c:val>
            <c:numRef>
              <c:f>Figure_15_GHG_per_pkm_share!$C$45:$C$54</c:f>
              <c:numCache>
                <c:formatCode>0</c:formatCode>
                <c:ptCount val="4"/>
                <c:pt idx="0">
                  <c:v>26.164322330581768</c:v>
                </c:pt>
                <c:pt idx="1">
                  <c:v>1.4239176699373322</c:v>
                </c:pt>
                <c:pt idx="2">
                  <c:v>9.4409392749428456</c:v>
                </c:pt>
                <c:pt idx="3">
                  <c:v>0</c:v>
                </c:pt>
              </c:numCache>
            </c:numRef>
          </c:val>
          <c:extLst>
            <c:ext xmlns:c16="http://schemas.microsoft.com/office/drawing/2014/chart" uri="{C3380CC4-5D6E-409C-BE32-E72D297353CC}">
              <c16:uniqueId val="{00000014-553B-4515-811E-FAA66302D17A}"/>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Figure_15_GHG_per_pkm_share!$W$44</c:f>
              <c:strCache>
                <c:ptCount val="1"/>
                <c:pt idx="0">
                  <c:v>Ridesourcing -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9889-4F5F-A25C-FC5487A33953}"/>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9889-4F5F-A25C-FC5487A33953}"/>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9889-4F5F-A25C-FC5487A33953}"/>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9889-4F5F-A25C-FC5487A33953}"/>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9889-4F5F-A25C-FC5487A33953}"/>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9889-4F5F-A25C-FC5487A33953}"/>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9889-4F5F-A25C-FC5487A33953}"/>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9889-4F5F-A25C-FC5487A33953}"/>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9889-4F5F-A25C-FC5487A33953}"/>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9889-4F5F-A25C-FC5487A33953}"/>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Figure_15_GHG_per_pkm_share!$W$45:$W$48</c:f>
              <c:numCache>
                <c:formatCode>0</c:formatCode>
                <c:ptCount val="4"/>
                <c:pt idx="0">
                  <c:v>24.220828487012707</c:v>
                </c:pt>
                <c:pt idx="1">
                  <c:v>90.564304877419374</c:v>
                </c:pt>
                <c:pt idx="2">
                  <c:v>20.796382999086166</c:v>
                </c:pt>
                <c:pt idx="3">
                  <c:v>83.169954927466094</c:v>
                </c:pt>
              </c:numCache>
            </c:numRef>
          </c:val>
          <c:extLst>
            <c:ext xmlns:c16="http://schemas.microsoft.com/office/drawing/2014/chart" uri="{C3380CC4-5D6E-409C-BE32-E72D297353CC}">
              <c16:uniqueId val="{00000014-9889-4F5F-A25C-FC5487A33953}"/>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'0_Total'!$A$106</c:f>
              <c:strCache>
                <c:ptCount val="1"/>
                <c:pt idx="0">
                  <c:v>Vehicle and battery manufacturing, assembly and disposal - Including fluids</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'0_Total'!$D$106:$CX$106</c:f>
              <c:numCache>
                <c:formatCode>General</c:formatCode>
                <c:ptCount val="99"/>
                <c:pt idx="0">
                  <c:v>24.73579149096523</c:v>
                </c:pt>
                <c:pt idx="1">
                  <c:v>270.88822642106629</c:v>
                </c:pt>
                <c:pt idx="2">
                  <c:v>14.822806505180806</c:v>
                </c:pt>
                <c:pt idx="3">
                  <c:v>135.10859904030661</c:v>
                </c:pt>
                <c:pt idx="4">
                  <c:v>45.036199680102207</c:v>
                </c:pt>
                <c:pt idx="5">
                  <c:v>67.554299520153307</c:v>
                </c:pt>
                <c:pt idx="6">
                  <c:v>67.554299520153307</c:v>
                </c:pt>
                <c:pt idx="7">
                  <c:v>67.554299520153307</c:v>
                </c:pt>
                <c:pt idx="8">
                  <c:v>67.554299520153307</c:v>
                </c:pt>
                <c:pt idx="9">
                  <c:v>67.554299520153307</c:v>
                </c:pt>
                <c:pt idx="10">
                  <c:v>67.554299520153307</c:v>
                </c:pt>
                <c:pt idx="11">
                  <c:v>37.530166400085179</c:v>
                </c:pt>
                <c:pt idx="12">
                  <c:v>112.59049920025552</c:v>
                </c:pt>
                <c:pt idx="13">
                  <c:v>64.377893046281571</c:v>
                </c:pt>
                <c:pt idx="14">
                  <c:v>70.73070599402503</c:v>
                </c:pt>
                <c:pt idx="15">
                  <c:v>81.266467926319876</c:v>
                </c:pt>
                <c:pt idx="16">
                  <c:v>40.021577563988167</c:v>
                </c:pt>
                <c:pt idx="17">
                  <c:v>67.554299520153307</c:v>
                </c:pt>
                <c:pt idx="18">
                  <c:v>67.554299520153307</c:v>
                </c:pt>
                <c:pt idx="19">
                  <c:v>67.554299520153307</c:v>
                </c:pt>
                <c:pt idx="20">
                  <c:v>25.411071788472839</c:v>
                </c:pt>
                <c:pt idx="21">
                  <c:v>62.385726120946849</c:v>
                </c:pt>
                <c:pt idx="22">
                  <c:v>62.385726120946849</c:v>
                </c:pt>
                <c:pt idx="23">
                  <c:v>41.590484080631235</c:v>
                </c:pt>
                <c:pt idx="24">
                  <c:v>38.116607682709251</c:v>
                </c:pt>
                <c:pt idx="25">
                  <c:v>62.385726120946849</c:v>
                </c:pt>
                <c:pt idx="26">
                  <c:v>62.385726120946849</c:v>
                </c:pt>
                <c:pt idx="27">
                  <c:v>62.385726120946849</c:v>
                </c:pt>
                <c:pt idx="28">
                  <c:v>61.776061776061773</c:v>
                </c:pt>
                <c:pt idx="29">
                  <c:v>6.688177195616329</c:v>
                </c:pt>
                <c:pt idx="30">
                  <c:v>11.491698300447505</c:v>
                </c:pt>
                <c:pt idx="31">
                  <c:v>20.760955028048802</c:v>
                </c:pt>
                <c:pt idx="32">
                  <c:v>34.115379988835301</c:v>
                </c:pt>
                <c:pt idx="33">
                  <c:v>7.1247711248743535</c:v>
                </c:pt>
                <c:pt idx="34">
                  <c:v>8.9569586356429127</c:v>
                </c:pt>
                <c:pt idx="35">
                  <c:v>17.802844728140915</c:v>
                </c:pt>
                <c:pt idx="36">
                  <c:v>32.250238330216007</c:v>
                </c:pt>
                <c:pt idx="37">
                  <c:v>35.025968719917827</c:v>
                </c:pt>
                <c:pt idx="38">
                  <c:v>38.144725318504172</c:v>
                </c:pt>
                <c:pt idx="39">
                  <c:v>46.730102281665538</c:v>
                </c:pt>
                <c:pt idx="40">
                  <c:v>61.540369987265329</c:v>
                </c:pt>
                <c:pt idx="41">
                  <c:v>61.540369987265329</c:v>
                </c:pt>
                <c:pt idx="42">
                  <c:v>61.540369987265329</c:v>
                </c:pt>
                <c:pt idx="43">
                  <c:v>53.418916672977403</c:v>
                </c:pt>
                <c:pt idx="44">
                  <c:v>53.850597239767204</c:v>
                </c:pt>
                <c:pt idx="45">
                  <c:v>69.230142734763476</c:v>
                </c:pt>
                <c:pt idx="46">
                  <c:v>61.540369987265329</c:v>
                </c:pt>
                <c:pt idx="47">
                  <c:v>55.745442954407181</c:v>
                </c:pt>
                <c:pt idx="48">
                  <c:v>55.745442954407181</c:v>
                </c:pt>
                <c:pt idx="49">
                  <c:v>55.745442954407181</c:v>
                </c:pt>
                <c:pt idx="50">
                  <c:v>55.745442954407181</c:v>
                </c:pt>
                <c:pt idx="51">
                  <c:v>17.677626565547516</c:v>
                </c:pt>
                <c:pt idx="52">
                  <c:v>17.677626565547516</c:v>
                </c:pt>
                <c:pt idx="53">
                  <c:v>17.677626565547516</c:v>
                </c:pt>
                <c:pt idx="54">
                  <c:v>17.677626565547516</c:v>
                </c:pt>
                <c:pt idx="55">
                  <c:v>17.677626565547516</c:v>
                </c:pt>
                <c:pt idx="56">
                  <c:v>17.677626565547516</c:v>
                </c:pt>
                <c:pt idx="57">
                  <c:v>17.677626565547516</c:v>
                </c:pt>
                <c:pt idx="58">
                  <c:v>19.197119616623066</c:v>
                </c:pt>
                <c:pt idx="59">
                  <c:v>23.188288309501917</c:v>
                </c:pt>
                <c:pt idx="60">
                  <c:v>30.69392806195026</c:v>
                </c:pt>
                <c:pt idx="61">
                  <c:v>30.69392806195026</c:v>
                </c:pt>
                <c:pt idx="62">
                  <c:v>30.69392806195026</c:v>
                </c:pt>
                <c:pt idx="63">
                  <c:v>30.69392806195026</c:v>
                </c:pt>
                <c:pt idx="64">
                  <c:v>30.69392806195026</c:v>
                </c:pt>
                <c:pt idx="65">
                  <c:v>26.552772151038194</c:v>
                </c:pt>
                <c:pt idx="66">
                  <c:v>26.623154613743431</c:v>
                </c:pt>
                <c:pt idx="67">
                  <c:v>34.764701510157089</c:v>
                </c:pt>
                <c:pt idx="68">
                  <c:v>30.69392806195026</c:v>
                </c:pt>
                <c:pt idx="69">
                  <c:v>49.857661524439074</c:v>
                </c:pt>
                <c:pt idx="70">
                  <c:v>49.857661524439074</c:v>
                </c:pt>
                <c:pt idx="71">
                  <c:v>49.857661524439074</c:v>
                </c:pt>
                <c:pt idx="72">
                  <c:v>49.857661524439074</c:v>
                </c:pt>
                <c:pt idx="73">
                  <c:v>49.857661524439074</c:v>
                </c:pt>
                <c:pt idx="74">
                  <c:v>42.524180326649621</c:v>
                </c:pt>
                <c:pt idx="75">
                  <c:v>41.716114628025409</c:v>
                </c:pt>
                <c:pt idx="76">
                  <c:v>57.999208420852717</c:v>
                </c:pt>
                <c:pt idx="77">
                  <c:v>49.857661524439074</c:v>
                </c:pt>
                <c:pt idx="78">
                  <c:v>29.799295462710862</c:v>
                </c:pt>
                <c:pt idx="79">
                  <c:v>29.799295462710862</c:v>
                </c:pt>
                <c:pt idx="80">
                  <c:v>29.799295462710862</c:v>
                </c:pt>
                <c:pt idx="81">
                  <c:v>25.829472777924373</c:v>
                </c:pt>
                <c:pt idx="82">
                  <c:v>17.677626565547516</c:v>
                </c:pt>
                <c:pt idx="83">
                  <c:v>18.687895479746363</c:v>
                </c:pt>
                <c:pt idx="84">
                  <c:v>22.473766093148523</c:v>
                </c:pt>
                <c:pt idx="85">
                  <c:v>30.889762441398812</c:v>
                </c:pt>
                <c:pt idx="86">
                  <c:v>47.172856234226131</c:v>
                </c:pt>
                <c:pt idx="87">
                  <c:v>25.829472777924373</c:v>
                </c:pt>
                <c:pt idx="88">
                  <c:v>43.787193531440224</c:v>
                </c:pt>
                <c:pt idx="89">
                  <c:v>47.852609415613905</c:v>
                </c:pt>
                <c:pt idx="90">
                  <c:v>56.119895769022946</c:v>
                </c:pt>
                <c:pt idx="91">
                  <c:v>69.304315532359482</c:v>
                </c:pt>
                <c:pt idx="92">
                  <c:v>70.162059627242925</c:v>
                </c:pt>
                <c:pt idx="93">
                  <c:v>22.135708288556039</c:v>
                </c:pt>
                <c:pt idx="94">
                  <c:v>24.104774959744351</c:v>
                </c:pt>
                <c:pt idx="95">
                  <c:v>27.969526393918908</c:v>
                </c:pt>
                <c:pt idx="96">
                  <c:v>34.339459222799228</c:v>
                </c:pt>
                <c:pt idx="97">
                  <c:v>50.869742564510908</c:v>
                </c:pt>
                <c:pt idx="98">
                  <c:v>32.51755620247517</c:v>
                </c:pt>
              </c:numCache>
            </c:numRef>
          </c:val>
          <c:extLst>
            <c:ext xmlns:c16="http://schemas.microsoft.com/office/drawing/2014/chart" uri="{C3380CC4-5D6E-409C-BE32-E72D297353CC}">
              <c16:uniqueId val="{00000000-0CC6-4761-AF74-9D6CFF430939}"/>
            </c:ext>
          </c:extLst>
        </c:ser>
        <c:ser>
          <c:idx val="1"/>
          <c:order val="1"/>
          <c:tx>
            <c:strRef>
              <c:f>'0_Total'!$A$107</c:f>
              <c:strCache>
                <c:ptCount val="1"/>
                <c:pt idx="0">
                  <c:v>Vehicle delivery at point of purchase</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'0_Total'!$D$107:$CX$107</c:f>
              <c:numCache>
                <c:formatCode>General</c:formatCode>
                <c:ptCount val="99"/>
                <c:pt idx="0">
                  <c:v>1.4285308396165375</c:v>
                </c:pt>
                <c:pt idx="1">
                  <c:v>13.004556608922963</c:v>
                </c:pt>
                <c:pt idx="2">
                  <c:v>1.4449507343247736</c:v>
                </c:pt>
                <c:pt idx="3">
                  <c:v>7.8027339653537764</c:v>
                </c:pt>
                <c:pt idx="4">
                  <c:v>2.6009113217845923</c:v>
                </c:pt>
                <c:pt idx="5">
                  <c:v>3.9013669826768882</c:v>
                </c:pt>
                <c:pt idx="6">
                  <c:v>3.9013669826768882</c:v>
                </c:pt>
                <c:pt idx="7">
                  <c:v>3.9013669826768882</c:v>
                </c:pt>
                <c:pt idx="8">
                  <c:v>3.9013669826768882</c:v>
                </c:pt>
                <c:pt idx="9">
                  <c:v>3.9013669826768882</c:v>
                </c:pt>
                <c:pt idx="10">
                  <c:v>3.9013669826768882</c:v>
                </c:pt>
                <c:pt idx="11">
                  <c:v>2.1674261014871603</c:v>
                </c:pt>
                <c:pt idx="12">
                  <c:v>6.5022783044614814</c:v>
                </c:pt>
                <c:pt idx="13">
                  <c:v>3.9013669826768882</c:v>
                </c:pt>
                <c:pt idx="14">
                  <c:v>3.9013669826768882</c:v>
                </c:pt>
                <c:pt idx="15">
                  <c:v>3.9013669826768882</c:v>
                </c:pt>
                <c:pt idx="16">
                  <c:v>3.9013669826768882</c:v>
                </c:pt>
                <c:pt idx="17">
                  <c:v>3.9013669826768882</c:v>
                </c:pt>
                <c:pt idx="18">
                  <c:v>3.9013669826768882</c:v>
                </c:pt>
                <c:pt idx="19">
                  <c:v>3.9013669826768882</c:v>
                </c:pt>
                <c:pt idx="20">
                  <c:v>2.1267703682506682</c:v>
                </c:pt>
                <c:pt idx="21">
                  <c:v>3.1901555523760021</c:v>
                </c:pt>
                <c:pt idx="22">
                  <c:v>3.1901555523760021</c:v>
                </c:pt>
                <c:pt idx="23">
                  <c:v>2.1267703682506682</c:v>
                </c:pt>
                <c:pt idx="24">
                  <c:v>3.1901555523760021</c:v>
                </c:pt>
                <c:pt idx="25">
                  <c:v>3.1901555523760021</c:v>
                </c:pt>
                <c:pt idx="26">
                  <c:v>3.1901555523760021</c:v>
                </c:pt>
                <c:pt idx="27">
                  <c:v>3.1901555523760021</c:v>
                </c:pt>
                <c:pt idx="28">
                  <c:v>2.9122173101063002</c:v>
                </c:pt>
                <c:pt idx="29">
                  <c:v>0.77891338959255574</c:v>
                </c:pt>
                <c:pt idx="30">
                  <c:v>1.0462243650270233</c:v>
                </c:pt>
                <c:pt idx="31">
                  <c:v>2.5519519901929568</c:v>
                </c:pt>
                <c:pt idx="32">
                  <c:v>3.0161386199913904</c:v>
                </c:pt>
                <c:pt idx="33">
                  <c:v>0.86037509259922573</c:v>
                </c:pt>
                <c:pt idx="34">
                  <c:v>0.84191496895520046</c:v>
                </c:pt>
                <c:pt idx="35">
                  <c:v>2.1498408739093349</c:v>
                </c:pt>
                <c:pt idx="36">
                  <c:v>2.3121786136421951</c:v>
                </c:pt>
                <c:pt idx="37">
                  <c:v>0.76920986311798489</c:v>
                </c:pt>
                <c:pt idx="38">
                  <c:v>0.821919606915957</c:v>
                </c:pt>
                <c:pt idx="39">
                  <c:v>0.91051001675074095</c:v>
                </c:pt>
                <c:pt idx="40">
                  <c:v>0.93354118188113655</c:v>
                </c:pt>
                <c:pt idx="41">
                  <c:v>0.93354118188113655</c:v>
                </c:pt>
                <c:pt idx="42">
                  <c:v>0.93354118188113655</c:v>
                </c:pt>
                <c:pt idx="43">
                  <c:v>0.93354118188113655</c:v>
                </c:pt>
                <c:pt idx="44">
                  <c:v>0.879395171498909</c:v>
                </c:pt>
                <c:pt idx="45">
                  <c:v>0.98768719226336388</c:v>
                </c:pt>
                <c:pt idx="46">
                  <c:v>0.93354118188113655</c:v>
                </c:pt>
                <c:pt idx="47">
                  <c:v>0.87192741287027653</c:v>
                </c:pt>
                <c:pt idx="48">
                  <c:v>0.87192741287027653</c:v>
                </c:pt>
                <c:pt idx="49">
                  <c:v>0.87192741287027653</c:v>
                </c:pt>
                <c:pt idx="50">
                  <c:v>0.87192741287027653</c:v>
                </c:pt>
                <c:pt idx="51">
                  <c:v>0.34902897538978561</c:v>
                </c:pt>
                <c:pt idx="52">
                  <c:v>0.34902897538978561</c:v>
                </c:pt>
                <c:pt idx="53">
                  <c:v>0.34902897538978561</c:v>
                </c:pt>
                <c:pt idx="54">
                  <c:v>0.34902897538978561</c:v>
                </c:pt>
                <c:pt idx="55">
                  <c:v>0.34902897538978561</c:v>
                </c:pt>
                <c:pt idx="56">
                  <c:v>0.34902897538978561</c:v>
                </c:pt>
                <c:pt idx="57">
                  <c:v>0.34902897538978561</c:v>
                </c:pt>
                <c:pt idx="58">
                  <c:v>0.37294602163811547</c:v>
                </c:pt>
                <c:pt idx="59">
                  <c:v>0.41314392010064871</c:v>
                </c:pt>
                <c:pt idx="60">
                  <c:v>0.43997347941918952</c:v>
                </c:pt>
                <c:pt idx="61">
                  <c:v>0.43997347941918952</c:v>
                </c:pt>
                <c:pt idx="62">
                  <c:v>0.43997347941918952</c:v>
                </c:pt>
                <c:pt idx="63">
                  <c:v>0.43997347941918952</c:v>
                </c:pt>
                <c:pt idx="64">
                  <c:v>0.43997347941918952</c:v>
                </c:pt>
                <c:pt idx="65">
                  <c:v>0.43997347941918952</c:v>
                </c:pt>
                <c:pt idx="66">
                  <c:v>0.41130993517309788</c:v>
                </c:pt>
                <c:pt idx="67">
                  <c:v>0.46863702366528132</c:v>
                </c:pt>
                <c:pt idx="68">
                  <c:v>0.43997347941918952</c:v>
                </c:pt>
                <c:pt idx="69">
                  <c:v>0.55462765640355649</c:v>
                </c:pt>
                <c:pt idx="70">
                  <c:v>0.55462765640355649</c:v>
                </c:pt>
                <c:pt idx="71">
                  <c:v>0.55462765640355649</c:v>
                </c:pt>
                <c:pt idx="72">
                  <c:v>0.55462765640355649</c:v>
                </c:pt>
                <c:pt idx="73">
                  <c:v>0.55462765640355649</c:v>
                </c:pt>
                <c:pt idx="74">
                  <c:v>0.55462765640355649</c:v>
                </c:pt>
                <c:pt idx="75">
                  <c:v>0.497300567911373</c:v>
                </c:pt>
                <c:pt idx="76">
                  <c:v>0.61195474489573976</c:v>
                </c:pt>
                <c:pt idx="77">
                  <c:v>0.55462765640355649</c:v>
                </c:pt>
                <c:pt idx="78">
                  <c:v>0.46609769733840239</c:v>
                </c:pt>
                <c:pt idx="79">
                  <c:v>0.46609769733840239</c:v>
                </c:pt>
                <c:pt idx="80">
                  <c:v>0.46609769733840239</c:v>
                </c:pt>
                <c:pt idx="81">
                  <c:v>0.39563706358988798</c:v>
                </c:pt>
                <c:pt idx="82">
                  <c:v>0.34902897538978561</c:v>
                </c:pt>
                <c:pt idx="83">
                  <c:v>0.37294602163811547</c:v>
                </c:pt>
                <c:pt idx="84">
                  <c:v>0.41314392010064871</c:v>
                </c:pt>
                <c:pt idx="85">
                  <c:v>0.43997347941918952</c:v>
                </c:pt>
                <c:pt idx="86">
                  <c:v>0.55462765640355649</c:v>
                </c:pt>
                <c:pt idx="87">
                  <c:v>0.39563706358988798</c:v>
                </c:pt>
                <c:pt idx="88">
                  <c:v>0.97725677293930724</c:v>
                </c:pt>
                <c:pt idx="89">
                  <c:v>1.0417474892400531</c:v>
                </c:pt>
                <c:pt idx="90">
                  <c:v>1.1377361774310126</c:v>
                </c:pt>
                <c:pt idx="91">
                  <c:v>1.1316541089542558</c:v>
                </c:pt>
                <c:pt idx="92">
                  <c:v>1.1118013900540122</c:v>
                </c:pt>
                <c:pt idx="93">
                  <c:v>0.44343026072121067</c:v>
                </c:pt>
                <c:pt idx="94">
                  <c:v>0.47269292324267415</c:v>
                </c:pt>
                <c:pt idx="95">
                  <c:v>0.5162477905093219</c:v>
                </c:pt>
                <c:pt idx="96">
                  <c:v>0.52986722007861731</c:v>
                </c:pt>
                <c:pt idx="97">
                  <c:v>0.64452139706298428</c:v>
                </c:pt>
                <c:pt idx="98">
                  <c:v>0.50447988073700811</c:v>
                </c:pt>
              </c:numCache>
            </c:numRef>
          </c:val>
          <c:extLst>
            <c:ext xmlns:c16="http://schemas.microsoft.com/office/drawing/2014/chart" uri="{C3380CC4-5D6E-409C-BE32-E72D297353CC}">
              <c16:uniqueId val="{00000001-0CC6-4761-AF74-9D6CFF430939}"/>
            </c:ext>
          </c:extLst>
        </c:ser>
        <c:ser>
          <c:idx val="2"/>
          <c:order val="2"/>
          <c:tx>
            <c:strRef>
              <c:f>'0_Total'!$A$108</c:f>
              <c:strCache>
                <c:ptCount val="1"/>
                <c:pt idx="0">
                  <c:v>Vehicle use (including fuel production)</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'0_Total'!$D$108:$CX$108</c:f>
              <c:numCache>
                <c:formatCode>General</c:formatCode>
                <c:ptCount val="99"/>
                <c:pt idx="0">
                  <c:v>1.4239176699373322</c:v>
                </c:pt>
                <c:pt idx="1">
                  <c:v>6.5698646003115231</c:v>
                </c:pt>
                <c:pt idx="2">
                  <c:v>0</c:v>
                </c:pt>
                <c:pt idx="3">
                  <c:v>0.80095368933974942</c:v>
                </c:pt>
                <c:pt idx="4">
                  <c:v>0.80095368933974942</c:v>
                </c:pt>
                <c:pt idx="5">
                  <c:v>1.067938252452999</c:v>
                </c:pt>
                <c:pt idx="6">
                  <c:v>1.067938252452999</c:v>
                </c:pt>
                <c:pt idx="7">
                  <c:v>0.80095368933974942</c:v>
                </c:pt>
                <c:pt idx="8">
                  <c:v>1.067938252452999</c:v>
                </c:pt>
                <c:pt idx="9">
                  <c:v>1.067938252452999</c:v>
                </c:pt>
                <c:pt idx="10">
                  <c:v>1.067938252452999</c:v>
                </c:pt>
                <c:pt idx="11">
                  <c:v>1.067938252452999</c:v>
                </c:pt>
                <c:pt idx="12">
                  <c:v>1.067938252452999</c:v>
                </c:pt>
                <c:pt idx="13">
                  <c:v>1.4239176699373322</c:v>
                </c:pt>
                <c:pt idx="14">
                  <c:v>1.4239176699373322</c:v>
                </c:pt>
                <c:pt idx="15">
                  <c:v>1.4239176699373322</c:v>
                </c:pt>
                <c:pt idx="16">
                  <c:v>1.4239176699373322</c:v>
                </c:pt>
                <c:pt idx="17">
                  <c:v>11.679759289442709</c:v>
                </c:pt>
                <c:pt idx="18">
                  <c:v>0</c:v>
                </c:pt>
                <c:pt idx="19">
                  <c:v>1.4239176699373322</c:v>
                </c:pt>
                <c:pt idx="20">
                  <c:v>0</c:v>
                </c:pt>
                <c:pt idx="21">
                  <c:v>0</c:v>
                </c:pt>
                <c:pt idx="22">
                  <c:v>1.5404200247503861</c:v>
                </c:pt>
                <c:pt idx="23">
                  <c:v>1.5404200247503863</c:v>
                </c:pt>
                <c:pt idx="24">
                  <c:v>1.5404200247503861</c:v>
                </c:pt>
                <c:pt idx="25">
                  <c:v>1.5404200247503861</c:v>
                </c:pt>
                <c:pt idx="26">
                  <c:v>1.5404200247503861</c:v>
                </c:pt>
                <c:pt idx="27">
                  <c:v>1.5404200247503861</c:v>
                </c:pt>
                <c:pt idx="28">
                  <c:v>5.6798038727492948</c:v>
                </c:pt>
                <c:pt idx="29">
                  <c:v>0</c:v>
                </c:pt>
                <c:pt idx="30">
                  <c:v>2.7183882789712701</c:v>
                </c:pt>
                <c:pt idx="31">
                  <c:v>0</c:v>
                </c:pt>
                <c:pt idx="32">
                  <c:v>2.7183882789712706</c:v>
                </c:pt>
                <c:pt idx="33">
                  <c:v>53.73696412283369</c:v>
                </c:pt>
                <c:pt idx="34">
                  <c:v>4.5324601156650521</c:v>
                </c:pt>
                <c:pt idx="35">
                  <c:v>53.736964122833704</c:v>
                </c:pt>
                <c:pt idx="36">
                  <c:v>4.5324601156650521</c:v>
                </c:pt>
                <c:pt idx="37">
                  <c:v>188.44819056</c:v>
                </c:pt>
                <c:pt idx="38">
                  <c:v>140.37467256000002</c:v>
                </c:pt>
                <c:pt idx="39">
                  <c:v>63.989631793861733</c:v>
                </c:pt>
                <c:pt idx="40">
                  <c:v>24.639762308275344</c:v>
                </c:pt>
                <c:pt idx="41">
                  <c:v>202.10894125810302</c:v>
                </c:pt>
                <c:pt idx="42">
                  <c:v>0</c:v>
                </c:pt>
                <c:pt idx="43">
                  <c:v>24.639762308275344</c:v>
                </c:pt>
                <c:pt idx="44">
                  <c:v>24.639762308275344</c:v>
                </c:pt>
                <c:pt idx="45">
                  <c:v>24.639762308275344</c:v>
                </c:pt>
                <c:pt idx="46">
                  <c:v>24.639762308275344</c:v>
                </c:pt>
                <c:pt idx="47">
                  <c:v>244.18692245284905</c:v>
                </c:pt>
                <c:pt idx="48">
                  <c:v>1.2550821880242859</c:v>
                </c:pt>
                <c:pt idx="49">
                  <c:v>62.791225149224154</c:v>
                </c:pt>
                <c:pt idx="50">
                  <c:v>124.01955766948878</c:v>
                </c:pt>
                <c:pt idx="51">
                  <c:v>159.96021687671012</c:v>
                </c:pt>
                <c:pt idx="52">
                  <c:v>159.96021687671012</c:v>
                </c:pt>
                <c:pt idx="53">
                  <c:v>159.96021687671012</c:v>
                </c:pt>
                <c:pt idx="54">
                  <c:v>159.96021687671012</c:v>
                </c:pt>
                <c:pt idx="55">
                  <c:v>159.96021687671012</c:v>
                </c:pt>
                <c:pt idx="56">
                  <c:v>159.96021687671012</c:v>
                </c:pt>
                <c:pt idx="57">
                  <c:v>159.96021687671012</c:v>
                </c:pt>
                <c:pt idx="58">
                  <c:v>119.15403910203921</c:v>
                </c:pt>
                <c:pt idx="59">
                  <c:v>83.872139034651426</c:v>
                </c:pt>
                <c:pt idx="60">
                  <c:v>20.914935351249316</c:v>
                </c:pt>
                <c:pt idx="61">
                  <c:v>20.914935351249316</c:v>
                </c:pt>
                <c:pt idx="62">
                  <c:v>20.914935351249316</c:v>
                </c:pt>
                <c:pt idx="63">
                  <c:v>171.55585299225825</c:v>
                </c:pt>
                <c:pt idx="64">
                  <c:v>0</c:v>
                </c:pt>
                <c:pt idx="65">
                  <c:v>20.914935351249316</c:v>
                </c:pt>
                <c:pt idx="66">
                  <c:v>20.914935351249316</c:v>
                </c:pt>
                <c:pt idx="67">
                  <c:v>20.914935351249316</c:v>
                </c:pt>
                <c:pt idx="68">
                  <c:v>20.914935351249316</c:v>
                </c:pt>
                <c:pt idx="69">
                  <c:v>20.914935351249316</c:v>
                </c:pt>
                <c:pt idx="70">
                  <c:v>20.914935351249316</c:v>
                </c:pt>
                <c:pt idx="71">
                  <c:v>20.914935351249316</c:v>
                </c:pt>
                <c:pt idx="72">
                  <c:v>171.55585299225825</c:v>
                </c:pt>
                <c:pt idx="73">
                  <c:v>0</c:v>
                </c:pt>
                <c:pt idx="74">
                  <c:v>20.914935351249316</c:v>
                </c:pt>
                <c:pt idx="75">
                  <c:v>20.914935351249316</c:v>
                </c:pt>
                <c:pt idx="76">
                  <c:v>20.914935351249316</c:v>
                </c:pt>
                <c:pt idx="77">
                  <c:v>20.914935351249316</c:v>
                </c:pt>
                <c:pt idx="78">
                  <c:v>244.18692245284905</c:v>
                </c:pt>
                <c:pt idx="79">
                  <c:v>1.2550821880242859</c:v>
                </c:pt>
                <c:pt idx="80">
                  <c:v>62.791225149224154</c:v>
                </c:pt>
                <c:pt idx="81">
                  <c:v>105.27134955667724</c:v>
                </c:pt>
                <c:pt idx="82">
                  <c:v>159.96021687671012</c:v>
                </c:pt>
                <c:pt idx="83">
                  <c:v>119.15403910203921</c:v>
                </c:pt>
                <c:pt idx="84">
                  <c:v>83.872139034651426</c:v>
                </c:pt>
                <c:pt idx="85">
                  <c:v>20.914935351249316</c:v>
                </c:pt>
                <c:pt idx="86">
                  <c:v>20.914935351249316</c:v>
                </c:pt>
                <c:pt idx="87">
                  <c:v>105.27134955667724</c:v>
                </c:pt>
                <c:pt idx="88">
                  <c:v>245.25977741999995</c:v>
                </c:pt>
                <c:pt idx="89">
                  <c:v>180.54600022935696</c:v>
                </c:pt>
                <c:pt idx="90">
                  <c:v>78.481043999696467</c:v>
                </c:pt>
                <c:pt idx="91">
                  <c:v>25.902127154113785</c:v>
                </c:pt>
                <c:pt idx="92">
                  <c:v>141.7228807441162</c:v>
                </c:pt>
                <c:pt idx="93">
                  <c:v>208.18351755277712</c:v>
                </c:pt>
                <c:pt idx="94">
                  <c:v>153.25261159095788</c:v>
                </c:pt>
                <c:pt idx="95">
                  <c:v>106.10927632584742</c:v>
                </c:pt>
                <c:pt idx="96">
                  <c:v>21.986466756872233</c:v>
                </c:pt>
                <c:pt idx="97">
                  <c:v>21.986466756872233</c:v>
                </c:pt>
                <c:pt idx="98">
                  <c:v>120.29843678972894</c:v>
                </c:pt>
              </c:numCache>
            </c:numRef>
          </c:val>
          <c:extLst>
            <c:ext xmlns:c16="http://schemas.microsoft.com/office/drawing/2014/chart" uri="{C3380CC4-5D6E-409C-BE32-E72D297353CC}">
              <c16:uniqueId val="{00000002-0CC6-4761-AF74-9D6CFF430939}"/>
            </c:ext>
          </c:extLst>
        </c:ser>
        <c:ser>
          <c:idx val="3"/>
          <c:order val="3"/>
          <c:tx>
            <c:strRef>
              <c:f>'0_Total'!$A$109</c:f>
              <c:strCache>
                <c:ptCount val="1"/>
                <c:pt idx="0">
                  <c:v>Operational services</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'0_Total'!$D$109:$CX$109</c:f>
              <c:numCache>
                <c:formatCode>General</c:formatCode>
                <c:ptCount val="99"/>
                <c:pt idx="0">
                  <c:v>0</c:v>
                </c:pt>
                <c:pt idx="1">
                  <c:v>208.36509538569825</c:v>
                </c:pt>
                <c:pt idx="2">
                  <c:v>0.81502382855616651</c:v>
                </c:pt>
                <c:pt idx="3">
                  <c:v>69.455031795232756</c:v>
                </c:pt>
                <c:pt idx="4">
                  <c:v>23.151677265077584</c:v>
                </c:pt>
                <c:pt idx="5">
                  <c:v>0</c:v>
                </c:pt>
                <c:pt idx="6">
                  <c:v>3.6676072285027495</c:v>
                </c:pt>
                <c:pt idx="7">
                  <c:v>23.151677265077588</c:v>
                </c:pt>
                <c:pt idx="8">
                  <c:v>69.455031795232756</c:v>
                </c:pt>
                <c:pt idx="9">
                  <c:v>17.363757948808189</c:v>
                </c:pt>
                <c:pt idx="10">
                  <c:v>52.091273846424563</c:v>
                </c:pt>
                <c:pt idx="11">
                  <c:v>34.727515897616378</c:v>
                </c:pt>
                <c:pt idx="12">
                  <c:v>34.727515897616378</c:v>
                </c:pt>
                <c:pt idx="13">
                  <c:v>34.727515897616378</c:v>
                </c:pt>
                <c:pt idx="14">
                  <c:v>34.727515897616378</c:v>
                </c:pt>
                <c:pt idx="15">
                  <c:v>34.727515897616378</c:v>
                </c:pt>
                <c:pt idx="16">
                  <c:v>34.727515897616378</c:v>
                </c:pt>
                <c:pt idx="17">
                  <c:v>34.727515897616378</c:v>
                </c:pt>
                <c:pt idx="18">
                  <c:v>34.727515897616378</c:v>
                </c:pt>
                <c:pt idx="19">
                  <c:v>34.727515897616378</c:v>
                </c:pt>
                <c:pt idx="20">
                  <c:v>0</c:v>
                </c:pt>
                <c:pt idx="21">
                  <c:v>24.702441658055509</c:v>
                </c:pt>
                <c:pt idx="22">
                  <c:v>12.351220829027755</c:v>
                </c:pt>
                <c:pt idx="23">
                  <c:v>16.468294438703673</c:v>
                </c:pt>
                <c:pt idx="24">
                  <c:v>24.702441658055509</c:v>
                </c:pt>
                <c:pt idx="25">
                  <c:v>0</c:v>
                </c:pt>
                <c:pt idx="26">
                  <c:v>16.468294438703676</c:v>
                </c:pt>
                <c:pt idx="27">
                  <c:v>24.702441658055509</c:v>
                </c:pt>
                <c:pt idx="28">
                  <c:v>52.95479166261358</c:v>
                </c:pt>
                <c:pt idx="29">
                  <c:v>0</c:v>
                </c:pt>
                <c:pt idx="30">
                  <c:v>0</c:v>
                </c:pt>
                <c:pt idx="31">
                  <c:v>24.702441658055513</c:v>
                </c:pt>
                <c:pt idx="32">
                  <c:v>24.702441658055513</c:v>
                </c:pt>
                <c:pt idx="33">
                  <c:v>0</c:v>
                </c:pt>
                <c:pt idx="34">
                  <c:v>0</c:v>
                </c:pt>
                <c:pt idx="35">
                  <c:v>0</c:v>
                </c:pt>
                <c:pt idx="36">
                  <c:v>13.516430341200186</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28.487973683289862</c:v>
                </c:pt>
                <c:pt idx="52">
                  <c:v>28.487973683289862</c:v>
                </c:pt>
                <c:pt idx="53">
                  <c:v>28.487973683289862</c:v>
                </c:pt>
                <c:pt idx="54">
                  <c:v>28.487973683289862</c:v>
                </c:pt>
                <c:pt idx="55">
                  <c:v>28.487973683289862</c:v>
                </c:pt>
                <c:pt idx="56">
                  <c:v>28.487973683289862</c:v>
                </c:pt>
                <c:pt idx="57">
                  <c:v>28.487973683289862</c:v>
                </c:pt>
                <c:pt idx="58">
                  <c:v>21.220633457960822</c:v>
                </c:pt>
                <c:pt idx="59">
                  <c:v>14.937134596547686</c:v>
                </c:pt>
                <c:pt idx="60">
                  <c:v>3.7248269570260257</c:v>
                </c:pt>
                <c:pt idx="61">
                  <c:v>3.7248269570260257</c:v>
                </c:pt>
                <c:pt idx="62">
                  <c:v>3.7248269570260257</c:v>
                </c:pt>
                <c:pt idx="63">
                  <c:v>30.553088265844774</c:v>
                </c:pt>
                <c:pt idx="64">
                  <c:v>0</c:v>
                </c:pt>
                <c:pt idx="65">
                  <c:v>3.7248269570260257</c:v>
                </c:pt>
                <c:pt idx="66">
                  <c:v>3.7248269570260257</c:v>
                </c:pt>
                <c:pt idx="67">
                  <c:v>3.7248269570260257</c:v>
                </c:pt>
                <c:pt idx="68">
                  <c:v>3.7248269570260257</c:v>
                </c:pt>
                <c:pt idx="69">
                  <c:v>3.7248269570260257</c:v>
                </c:pt>
                <c:pt idx="70">
                  <c:v>3.7248269570260257</c:v>
                </c:pt>
                <c:pt idx="71">
                  <c:v>3.7248269570260257</c:v>
                </c:pt>
                <c:pt idx="72">
                  <c:v>30.553088265844774</c:v>
                </c:pt>
                <c:pt idx="73">
                  <c:v>0</c:v>
                </c:pt>
                <c:pt idx="74">
                  <c:v>3.7248269570260257</c:v>
                </c:pt>
                <c:pt idx="75">
                  <c:v>3.7248269570260257</c:v>
                </c:pt>
                <c:pt idx="76">
                  <c:v>3.7248269570260257</c:v>
                </c:pt>
                <c:pt idx="77">
                  <c:v>3.7248269570260257</c:v>
                </c:pt>
                <c:pt idx="78">
                  <c:v>43.488254495190937</c:v>
                </c:pt>
                <c:pt idx="79">
                  <c:v>0.2235227548507252</c:v>
                </c:pt>
                <c:pt idx="80">
                  <c:v>11.182747838928886</c:v>
                </c:pt>
                <c:pt idx="81">
                  <c:v>18.748208112811529</c:v>
                </c:pt>
                <c:pt idx="82">
                  <c:v>28.487973683289862</c:v>
                </c:pt>
                <c:pt idx="83">
                  <c:v>21.220633457960822</c:v>
                </c:pt>
                <c:pt idx="84">
                  <c:v>14.937134596547686</c:v>
                </c:pt>
                <c:pt idx="85">
                  <c:v>3.7248269570260257</c:v>
                </c:pt>
                <c:pt idx="86">
                  <c:v>3.7248269570260257</c:v>
                </c:pt>
                <c:pt idx="87">
                  <c:v>18.748208112811529</c:v>
                </c:pt>
                <c:pt idx="88">
                  <c:v>0</c:v>
                </c:pt>
                <c:pt idx="89">
                  <c:v>0</c:v>
                </c:pt>
                <c:pt idx="90">
                  <c:v>0</c:v>
                </c:pt>
                <c:pt idx="91">
                  <c:v>0</c:v>
                </c:pt>
                <c:pt idx="92">
                  <c:v>0</c:v>
                </c:pt>
                <c:pt idx="93">
                  <c:v>37.076259867222831</c:v>
                </c:pt>
                <c:pt idx="94">
                  <c:v>27.293388638399065</c:v>
                </c:pt>
                <c:pt idx="95">
                  <c:v>18.897437941419746</c:v>
                </c:pt>
                <c:pt idx="96">
                  <c:v>3.9156603972415516</c:v>
                </c:pt>
                <c:pt idx="97">
                  <c:v>3.9156603972415516</c:v>
                </c:pt>
                <c:pt idx="98">
                  <c:v>21.424443954387261</c:v>
                </c:pt>
              </c:numCache>
            </c:numRef>
          </c:val>
          <c:extLst>
            <c:ext xmlns:c16="http://schemas.microsoft.com/office/drawing/2014/chart" uri="{C3380CC4-5D6E-409C-BE32-E72D297353CC}">
              <c16:uniqueId val="{00000003-0CC6-4761-AF74-9D6CFF430939}"/>
            </c:ext>
          </c:extLst>
        </c:ser>
        <c:ser>
          <c:idx val="4"/>
          <c:order val="4"/>
          <c:tx>
            <c:strRef>
              <c:f>'0_Total'!$A$110</c:f>
              <c:strCache>
                <c:ptCount val="1"/>
                <c:pt idx="0">
                  <c:v>Infrastructure network (from the vehicleperspective)</c:v>
                </c:pt>
              </c:strCache>
            </c:strRef>
          </c:tx>
          <c:invertIfNegative val="0"/>
          <c:cat>
            <c:strRef>
              <c:f>'0_Total'!$D$2:$CX$2</c:f>
              <c:strCache>
                <c:ptCount val="99"/>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strCache>
            </c:strRef>
          </c:cat>
          <c:val>
            <c:numRef>
              <c:f>'0_Total'!$D$110:$CX$110</c:f>
              <c:numCache>
                <c:formatCode>0</c:formatCode>
                <c:ptCount val="99"/>
                <c:pt idx="0">
                  <c:v>9.4409392749428456</c:v>
                </c:pt>
                <c:pt idx="1">
                  <c:v>9.4409392749428456</c:v>
                </c:pt>
                <c:pt idx="2">
                  <c:v>9.4409392749428456</c:v>
                </c:pt>
                <c:pt idx="3">
                  <c:v>9.4409392749428456</c:v>
                </c:pt>
                <c:pt idx="4">
                  <c:v>9.4409392749428456</c:v>
                </c:pt>
                <c:pt idx="5">
                  <c:v>9.4409392749428456</c:v>
                </c:pt>
                <c:pt idx="6">
                  <c:v>9.4409392749428456</c:v>
                </c:pt>
                <c:pt idx="7">
                  <c:v>9.4409392749428456</c:v>
                </c:pt>
                <c:pt idx="8">
                  <c:v>9.4409392749428456</c:v>
                </c:pt>
                <c:pt idx="9">
                  <c:v>9.4409392749428456</c:v>
                </c:pt>
                <c:pt idx="10">
                  <c:v>9.4409392749428456</c:v>
                </c:pt>
                <c:pt idx="11">
                  <c:v>9.4409392749428456</c:v>
                </c:pt>
                <c:pt idx="12">
                  <c:v>9.4409392749428456</c:v>
                </c:pt>
                <c:pt idx="13">
                  <c:v>9.4409392749428456</c:v>
                </c:pt>
                <c:pt idx="14">
                  <c:v>9.4409392749428456</c:v>
                </c:pt>
                <c:pt idx="15">
                  <c:v>9.4409392749428456</c:v>
                </c:pt>
                <c:pt idx="16">
                  <c:v>9.4493582127681535</c:v>
                </c:pt>
                <c:pt idx="17">
                  <c:v>9.4493582127681535</c:v>
                </c:pt>
                <c:pt idx="18">
                  <c:v>9.4409392749428456</c:v>
                </c:pt>
                <c:pt idx="19" formatCode="General">
                  <c:v>9.4409392749428456</c:v>
                </c:pt>
                <c:pt idx="20" formatCode="General">
                  <c:v>9.4835085147745115</c:v>
                </c:pt>
                <c:pt idx="21" formatCode="General">
                  <c:v>9.4835085147745115</c:v>
                </c:pt>
                <c:pt idx="22" formatCode="General">
                  <c:v>9.4835085147745115</c:v>
                </c:pt>
                <c:pt idx="23" formatCode="General">
                  <c:v>9.4835085147745115</c:v>
                </c:pt>
                <c:pt idx="24" formatCode="General">
                  <c:v>9.4835085147745115</c:v>
                </c:pt>
                <c:pt idx="25" formatCode="General">
                  <c:v>9.4835085147745115</c:v>
                </c:pt>
                <c:pt idx="26" formatCode="General">
                  <c:v>9.4835085147745115</c:v>
                </c:pt>
                <c:pt idx="27" formatCode="General">
                  <c:v>9.4835085147745115</c:v>
                </c:pt>
                <c:pt idx="28" formatCode="General">
                  <c:v>9.4409392749428456</c:v>
                </c:pt>
                <c:pt idx="29" formatCode="General">
                  <c:v>9.471154571397097</c:v>
                </c:pt>
                <c:pt idx="30" formatCode="General">
                  <c:v>9.4793603097639458</c:v>
                </c:pt>
                <c:pt idx="31" formatCode="General">
                  <c:v>9.4896885706026097</c:v>
                </c:pt>
                <c:pt idx="32" formatCode="General">
                  <c:v>9.5026866330964577</c:v>
                </c:pt>
                <c:pt idx="33" formatCode="General">
                  <c:v>11.394557604754132</c:v>
                </c:pt>
                <c:pt idx="34" formatCode="General">
                  <c:v>11.354081196149926</c:v>
                </c:pt>
                <c:pt idx="35" formatCode="General">
                  <c:v>11.394557604754132</c:v>
                </c:pt>
                <c:pt idx="36" formatCode="General">
                  <c:v>11.354081196149926</c:v>
                </c:pt>
                <c:pt idx="37" formatCode="General">
                  <c:v>18.714685941190908</c:v>
                </c:pt>
                <c:pt idx="38" formatCode="General">
                  <c:v>19.075332027928898</c:v>
                </c:pt>
                <c:pt idx="39" formatCode="General">
                  <c:v>19.40555480052944</c:v>
                </c:pt>
                <c:pt idx="40" formatCode="General">
                  <c:v>18.295736176994026</c:v>
                </c:pt>
                <c:pt idx="41" formatCode="General">
                  <c:v>18.295736176994026</c:v>
                </c:pt>
                <c:pt idx="42" formatCode="General">
                  <c:v>18.295736176994026</c:v>
                </c:pt>
                <c:pt idx="43" formatCode="General">
                  <c:v>18.295736176994026</c:v>
                </c:pt>
                <c:pt idx="44" formatCode="General">
                  <c:v>18.295736176994026</c:v>
                </c:pt>
                <c:pt idx="45" formatCode="General">
                  <c:v>18.295736176994026</c:v>
                </c:pt>
                <c:pt idx="46" formatCode="General">
                  <c:v>18.295736176994026</c:v>
                </c:pt>
                <c:pt idx="47" formatCode="General">
                  <c:v>19.476282589040988</c:v>
                </c:pt>
                <c:pt idx="48" formatCode="General">
                  <c:v>19.476282589040988</c:v>
                </c:pt>
                <c:pt idx="49" formatCode="General">
                  <c:v>19.476282589040988</c:v>
                </c:pt>
                <c:pt idx="50" formatCode="General">
                  <c:v>19.476282589040988</c:v>
                </c:pt>
                <c:pt idx="51" formatCode="General">
                  <c:v>16.485477553763452</c:v>
                </c:pt>
                <c:pt idx="52" formatCode="General">
                  <c:v>16.485477553763452</c:v>
                </c:pt>
                <c:pt idx="53" formatCode="General">
                  <c:v>16.485477553763452</c:v>
                </c:pt>
                <c:pt idx="54" formatCode="General">
                  <c:v>16.485477553763452</c:v>
                </c:pt>
                <c:pt idx="55" formatCode="General">
                  <c:v>16.485477553763452</c:v>
                </c:pt>
                <c:pt idx="56" formatCode="General">
                  <c:v>16.485477553763452</c:v>
                </c:pt>
                <c:pt idx="57" formatCode="General">
                  <c:v>16.485477553763452</c:v>
                </c:pt>
                <c:pt idx="58" formatCode="General">
                  <c:v>16.803165116699571</c:v>
                </c:pt>
                <c:pt idx="59" formatCode="General">
                  <c:v>17.094053252495954</c:v>
                </c:pt>
                <c:pt idx="60" formatCode="General">
                  <c:v>16.116431182612718</c:v>
                </c:pt>
                <c:pt idx="61" formatCode="General">
                  <c:v>16.116431182612718</c:v>
                </c:pt>
                <c:pt idx="62" formatCode="General">
                  <c:v>16.116431182612718</c:v>
                </c:pt>
                <c:pt idx="63" formatCode="General">
                  <c:v>16.116431182612718</c:v>
                </c:pt>
                <c:pt idx="64" formatCode="General">
                  <c:v>16.116431182612718</c:v>
                </c:pt>
                <c:pt idx="65" formatCode="General">
                  <c:v>16.116431182612718</c:v>
                </c:pt>
                <c:pt idx="66" formatCode="General">
                  <c:v>16.116431182612718</c:v>
                </c:pt>
                <c:pt idx="67" formatCode="General">
                  <c:v>16.116431182612718</c:v>
                </c:pt>
                <c:pt idx="68" formatCode="General">
                  <c:v>16.116431182612718</c:v>
                </c:pt>
                <c:pt idx="69" formatCode="General">
                  <c:v>16.116431182612718</c:v>
                </c:pt>
                <c:pt idx="70" formatCode="General">
                  <c:v>16.116431182612718</c:v>
                </c:pt>
                <c:pt idx="71" formatCode="General">
                  <c:v>16.116431182612718</c:v>
                </c:pt>
                <c:pt idx="72" formatCode="General">
                  <c:v>16.116431182612718</c:v>
                </c:pt>
                <c:pt idx="73" formatCode="General">
                  <c:v>16.116431182612718</c:v>
                </c:pt>
                <c:pt idx="74" formatCode="General">
                  <c:v>16.116431182612718</c:v>
                </c:pt>
                <c:pt idx="75" formatCode="General">
                  <c:v>16.116431182612718</c:v>
                </c:pt>
                <c:pt idx="76" formatCode="General">
                  <c:v>16.116431182612718</c:v>
                </c:pt>
                <c:pt idx="77" formatCode="General">
                  <c:v>16.116431182612718</c:v>
                </c:pt>
                <c:pt idx="78" formatCode="General">
                  <c:v>17.156356268084803</c:v>
                </c:pt>
                <c:pt idx="79" formatCode="General">
                  <c:v>17.156356268084803</c:v>
                </c:pt>
                <c:pt idx="80" formatCode="General">
                  <c:v>17.156356268084803</c:v>
                </c:pt>
                <c:pt idx="81" formatCode="General">
                  <c:v>17.156356268084803</c:v>
                </c:pt>
                <c:pt idx="82" formatCode="General">
                  <c:v>16.485477553763452</c:v>
                </c:pt>
                <c:pt idx="83" formatCode="General">
                  <c:v>16.803165116699571</c:v>
                </c:pt>
                <c:pt idx="84" formatCode="General">
                  <c:v>17.094053252495954</c:v>
                </c:pt>
                <c:pt idx="85" formatCode="General">
                  <c:v>16.116431182612718</c:v>
                </c:pt>
                <c:pt idx="86" formatCode="General">
                  <c:v>16.116431182612718</c:v>
                </c:pt>
                <c:pt idx="87" formatCode="General">
                  <c:v>17.156356268084803</c:v>
                </c:pt>
                <c:pt idx="88" formatCode="General">
                  <c:v>20.382756028222818</c:v>
                </c:pt>
                <c:pt idx="89" formatCode="General">
                  <c:v>20.812612912314112</c:v>
                </c:pt>
                <c:pt idx="90" formatCode="General">
                  <c:v>21.204752454777264</c:v>
                </c:pt>
                <c:pt idx="91" formatCode="General">
                  <c:v>19.88415797950395</c:v>
                </c:pt>
                <c:pt idx="92" formatCode="General">
                  <c:v>21.37428824086393</c:v>
                </c:pt>
                <c:pt idx="93" formatCode="General">
                  <c:v>17.954854708383174</c:v>
                </c:pt>
                <c:pt idx="94" formatCode="General">
                  <c:v>18.333508992846514</c:v>
                </c:pt>
                <c:pt idx="95" formatCode="General">
                  <c:v>18.678938654104723</c:v>
                </c:pt>
                <c:pt idx="96" formatCode="General">
                  <c:v>17.515647394601125</c:v>
                </c:pt>
                <c:pt idx="97" formatCode="General">
                  <c:v>17.515647394601125</c:v>
                </c:pt>
                <c:pt idx="98" formatCode="General">
                  <c:v>18.828280107382326</c:v>
                </c:pt>
              </c:numCache>
            </c:numRef>
          </c:val>
          <c:extLst>
            <c:ext xmlns:c16="http://schemas.microsoft.com/office/drawing/2014/chart" uri="{C3380CC4-5D6E-409C-BE32-E72D297353CC}">
              <c16:uniqueId val="{00000004-0CC6-4761-AF74-9D6CFF430939}"/>
            </c:ext>
          </c:extLst>
        </c:ser>
        <c:dLbls>
          <c:showLegendKey val="0"/>
          <c:showVal val="0"/>
          <c:showCatName val="0"/>
          <c:showSerName val="0"/>
          <c:showPercent val="0"/>
          <c:showBubbleSize val="0"/>
        </c:dLbls>
        <c:gapWidth val="150"/>
        <c:overlap val="100"/>
        <c:axId val="116654080"/>
        <c:axId val="116655616"/>
      </c:barChart>
      <c:catAx>
        <c:axId val="116654080"/>
        <c:scaling>
          <c:orientation val="minMax"/>
        </c:scaling>
        <c:delete val="0"/>
        <c:axPos val="b"/>
        <c:numFmt formatCode="General" sourceLinked="0"/>
        <c:majorTickMark val="out"/>
        <c:minorTickMark val="none"/>
        <c:tickLblPos val="nextTo"/>
        <c:crossAx val="116655616"/>
        <c:crosses val="autoZero"/>
        <c:auto val="1"/>
        <c:lblAlgn val="ctr"/>
        <c:lblOffset val="100"/>
        <c:noMultiLvlLbl val="0"/>
      </c:catAx>
      <c:valAx>
        <c:axId val="116655616"/>
        <c:scaling>
          <c:orientation val="minMax"/>
        </c:scaling>
        <c:delete val="0"/>
        <c:axPos val="l"/>
        <c:majorGridlines/>
        <c:title>
          <c:tx>
            <c:strRef>
              <c:f>'0_Total'!$A$105:$B$105</c:f>
              <c:strCache>
                <c:ptCount val="2"/>
                <c:pt idx="0">
                  <c:v>GHG emissions per vkm</c:v>
                </c:pt>
                <c:pt idx="1">
                  <c:v>[g CO₂/vkm]</c:v>
                </c:pt>
              </c:strCache>
            </c:strRef>
          </c:tx>
          <c:overlay val="0"/>
          <c:txPr>
            <a:bodyPr rot="-5400000" vert="horz"/>
            <a:lstStyle/>
            <a:p>
              <a:pPr>
                <a:defRPr/>
              </a:pPr>
              <a:endParaRPr lang="en-FI"/>
            </a:p>
          </c:txPr>
        </c:title>
        <c:numFmt formatCode="General" sourceLinked="1"/>
        <c:majorTickMark val="out"/>
        <c:minorTickMark val="none"/>
        <c:tickLblPos val="nextTo"/>
        <c:crossAx val="11665408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Figure_15_GHG_per_pkm_share!$Z$44</c:f>
              <c:strCache>
                <c:ptCount val="1"/>
                <c:pt idx="0">
                  <c:v>Ridesourcing - car - BEV (two packs)</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1D86-4405-830D-1D20361BA515}"/>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1D86-4405-830D-1D20361BA515}"/>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1D86-4405-830D-1D20361BA515}"/>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1D86-4405-830D-1D20361BA515}"/>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1D86-4405-830D-1D20361BA515}"/>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1D86-4405-830D-1D20361BA515}"/>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1D86-4405-830D-1D20361BA515}"/>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1D86-4405-830D-1D20361BA515}"/>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1D86-4405-830D-1D20361BA515}"/>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1D86-4405-830D-1D20361BA515}"/>
              </c:ext>
            </c:extLst>
          </c:dPt>
          <c:dLbls>
            <c:delete val="1"/>
          </c:dLbls>
          <c:cat>
            <c:strRef>
              <c:f>Figure_15_GHG_per_pkm_share!$B$45:$B$48</c:f>
              <c:strCache>
                <c:ptCount val="4"/>
                <c:pt idx="0">
                  <c:v>Vehicle component</c:v>
                </c:pt>
                <c:pt idx="1">
                  <c:v>Fuel component</c:v>
                </c:pt>
                <c:pt idx="2">
                  <c:v>Infrastructure component</c:v>
                </c:pt>
                <c:pt idx="3">
                  <c:v>Operational services</c:v>
                </c:pt>
              </c:strCache>
            </c:strRef>
          </c:cat>
          <c:val>
            <c:numRef>
              <c:f>Figure_15_GHG_per_pkm_share!$Z$45:$Z$48</c:f>
              <c:numCache>
                <c:formatCode>0</c:formatCode>
                <c:ptCount val="4"/>
                <c:pt idx="0">
                  <c:v>62.392606772849085</c:v>
                </c:pt>
                <c:pt idx="1">
                  <c:v>15.896620844048607</c:v>
                </c:pt>
                <c:pt idx="2">
                  <c:v>19.94644896507814</c:v>
                </c:pt>
                <c:pt idx="3">
                  <c:v>14.598701341417666</c:v>
                </c:pt>
              </c:numCache>
            </c:numRef>
          </c:val>
          <c:extLst>
            <c:ext xmlns:c16="http://schemas.microsoft.com/office/drawing/2014/chart" uri="{C3380CC4-5D6E-409C-BE32-E72D297353CC}">
              <c16:uniqueId val="{00000014-1D86-4405-830D-1D20361BA515}"/>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Figure_15_GHG_per_pkm_share!$R$44</c:f>
              <c:strCache>
                <c:ptCount val="1"/>
                <c:pt idx="0">
                  <c:v>Taxi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DFE7-4F2B-9859-A32D9A8526E3}"/>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DFE7-4F2B-9859-A32D9A8526E3}"/>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DFE7-4F2B-9859-A32D9A8526E3}"/>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DFE7-4F2B-9859-A32D9A8526E3}"/>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DFE7-4F2B-9859-A32D9A8526E3}"/>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DFE7-4F2B-9859-A32D9A8526E3}"/>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DFE7-4F2B-9859-A32D9A8526E3}"/>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DFE7-4F2B-9859-A32D9A8526E3}"/>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DFE7-4F2B-9859-A32D9A8526E3}"/>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DFE7-4F2B-9859-A32D9A8526E3}"/>
              </c:ext>
            </c:extLst>
          </c:dPt>
          <c:dLbls>
            <c:delete val="1"/>
          </c:dLbls>
          <c:cat>
            <c:strRef>
              <c:f>Figure_15_GHG_per_pkm_share!$B$45:$B$55</c:f>
              <c:strCache>
                <c:ptCount val="4"/>
                <c:pt idx="0">
                  <c:v>Vehicle component</c:v>
                </c:pt>
                <c:pt idx="1">
                  <c:v>Fuel component</c:v>
                </c:pt>
                <c:pt idx="2">
                  <c:v>Infrastructure component</c:v>
                </c:pt>
                <c:pt idx="3">
                  <c:v>Operational services</c:v>
                </c:pt>
              </c:strCache>
            </c:strRef>
          </c:cat>
          <c:val>
            <c:numRef>
              <c:f>Figure_15_GHG_per_pkm_share!$R$45:$R$55</c:f>
              <c:numCache>
                <c:formatCode>0</c:formatCode>
                <c:ptCount val="5"/>
                <c:pt idx="0">
                  <c:v>30.645353280741684</c:v>
                </c:pt>
                <c:pt idx="1">
                  <c:v>117.64755563047052</c:v>
                </c:pt>
                <c:pt idx="2">
                  <c:v>27.01554027394284</c:v>
                </c:pt>
                <c:pt idx="3">
                  <c:v>108.04192570523938</c:v>
                </c:pt>
                <c:pt idx="4">
                  <c:v>0</c:v>
                </c:pt>
              </c:numCache>
            </c:numRef>
          </c:val>
          <c:extLst>
            <c:ext xmlns:c16="http://schemas.microsoft.com/office/drawing/2014/chart" uri="{C3380CC4-5D6E-409C-BE32-E72D297353CC}">
              <c16:uniqueId val="{00000014-DFE7-4F2B-9859-A32D9A8526E3}"/>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Figure_15_GHG_per_pkm_share!$T$44</c:f>
              <c:strCache>
                <c:ptCount val="1"/>
                <c:pt idx="0">
                  <c:v>Taxi  BEV (two packs)</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8980-4759-B740-E657F54506FD}"/>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8980-4759-B740-E657F54506FD}"/>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8980-4759-B740-E657F54506FD}"/>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8980-4759-B740-E657F54506FD}"/>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8980-4759-B740-E657F54506FD}"/>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8980-4759-B740-E657F54506FD}"/>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8980-4759-B740-E657F54506FD}"/>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8980-4759-B740-E657F54506FD}"/>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8980-4759-B740-E657F54506FD}"/>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8980-4759-B740-E657F54506FD}"/>
              </c:ext>
            </c:extLst>
          </c:dPt>
          <c:dLbls>
            <c:delete val="1"/>
          </c:dLbls>
          <c:cat>
            <c:strRef>
              <c:f>Figure_15_GHG_per_pkm_share!$B$45:$B$55</c:f>
              <c:strCache>
                <c:ptCount val="4"/>
                <c:pt idx="0">
                  <c:v>Vehicle component</c:v>
                </c:pt>
                <c:pt idx="1">
                  <c:v>Fuel component</c:v>
                </c:pt>
                <c:pt idx="2">
                  <c:v>Infrastructure component</c:v>
                </c:pt>
                <c:pt idx="3">
                  <c:v>Operational services</c:v>
                </c:pt>
              </c:strCache>
            </c:strRef>
          </c:cat>
          <c:val>
            <c:numRef>
              <c:f>Figure_15_GHG_per_pkm_share!$T$45:$T$55</c:f>
              <c:numCache>
                <c:formatCode>0</c:formatCode>
                <c:ptCount val="5"/>
                <c:pt idx="0">
                  <c:v>76.734576745891161</c:v>
                </c:pt>
                <c:pt idx="1">
                  <c:v>20.650504496424475</c:v>
                </c:pt>
                <c:pt idx="2">
                  <c:v>25.911433510427884</c:v>
                </c:pt>
                <c:pt idx="3">
                  <c:v>18.964442232750891</c:v>
                </c:pt>
                <c:pt idx="4">
                  <c:v>0</c:v>
                </c:pt>
              </c:numCache>
            </c:numRef>
          </c:val>
          <c:extLst>
            <c:ext xmlns:c16="http://schemas.microsoft.com/office/drawing/2014/chart" uri="{C3380CC4-5D6E-409C-BE32-E72D297353CC}">
              <c16:uniqueId val="{00000014-8980-4759-B740-E657F54506FD}"/>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Figure_15_GHG_per_pkm_share!$L$44</c:f>
              <c:strCache>
                <c:ptCount val="1"/>
                <c:pt idx="0">
                  <c:v>Shared moped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A3BA-4F6C-A022-07FF3CBACB60}"/>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A3BA-4F6C-A022-07FF3CBACB60}"/>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A3BA-4F6C-A022-07FF3CBACB60}"/>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A3BA-4F6C-A022-07FF3CBACB60}"/>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09-A3BA-4F6C-A022-07FF3CBACB60}"/>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A3BA-4F6C-A022-07FF3CBACB60}"/>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A3BA-4F6C-A022-07FF3CBACB60}"/>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A3BA-4F6C-A022-07FF3CBACB60}"/>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A3BA-4F6C-A022-07FF3CBACB60}"/>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A3BA-4F6C-A022-07FF3CBACB60}"/>
              </c:ext>
            </c:extLst>
          </c:dPt>
          <c:dLbls>
            <c:delete val="1"/>
          </c:dLbls>
          <c:cat>
            <c:strRef>
              <c:f>Figure_15_GHG_per_pkm_share!$B$45:$B$54</c:f>
              <c:strCache>
                <c:ptCount val="4"/>
                <c:pt idx="0">
                  <c:v>Vehicle component</c:v>
                </c:pt>
                <c:pt idx="1">
                  <c:v>Fuel component</c:v>
                </c:pt>
                <c:pt idx="2">
                  <c:v>Infrastructure component</c:v>
                </c:pt>
                <c:pt idx="3">
                  <c:v>Operational services</c:v>
                </c:pt>
              </c:strCache>
            </c:strRef>
          </c:cat>
          <c:val>
            <c:numRef>
              <c:f>Figure_15_GHG_per_pkm_share!$L$45:$L$54</c:f>
              <c:numCache>
                <c:formatCode>0</c:formatCode>
                <c:ptCount val="4"/>
                <c:pt idx="0">
                  <c:v>34.562416943858203</c:v>
                </c:pt>
                <c:pt idx="1">
                  <c:v>4.5324601156650521</c:v>
                </c:pt>
                <c:pt idx="2">
                  <c:v>11.354081196149926</c:v>
                </c:pt>
                <c:pt idx="3">
                  <c:v>13.516430341200186</c:v>
                </c:pt>
              </c:numCache>
            </c:numRef>
          </c:val>
          <c:extLst>
            <c:ext xmlns:c16="http://schemas.microsoft.com/office/drawing/2014/chart" uri="{C3380CC4-5D6E-409C-BE32-E72D297353CC}">
              <c16:uniqueId val="{00000014-A3BA-4F6C-A022-07FF3CBACB60}"/>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92015155188149111"/>
          <c:y val="3.1894670956209105E-2"/>
          <c:w val="5.9393494718633769E-2"/>
          <c:h val="0.27231081495295317"/>
        </c:manualLayout>
      </c:layout>
      <c:pieChart>
        <c:varyColors val="1"/>
        <c:ser>
          <c:idx val="0"/>
          <c:order val="0"/>
          <c:tx>
            <c:strRef>
              <c:f>'Figure_15_GHG_per_pkm_shares B'!$W$44</c:f>
              <c:strCache>
                <c:ptCount val="1"/>
                <c:pt idx="0">
                  <c:v>Ridesourcing -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01-4E1D-49CD-B2F3-CCAFDD882E30}"/>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03-4E1D-49CD-B2F3-CCAFDD882E30}"/>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05-4E1D-49CD-B2F3-CCAFDD882E30}"/>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07-4E1D-49CD-B2F3-CCAFDD882E30}"/>
              </c:ext>
            </c:extLst>
          </c:dPt>
          <c:dPt>
            <c:idx val="4"/>
            <c:bubble3D val="0"/>
            <c:spPr>
              <a:solidFill>
                <a:srgbClr val="9E005D"/>
              </a:solidFill>
              <a:ln w="12700" cmpd="sng">
                <a:solidFill>
                  <a:schemeClr val="bg1"/>
                </a:solidFill>
              </a:ln>
            </c:spPr>
            <c:extLst>
              <c:ext xmlns:c16="http://schemas.microsoft.com/office/drawing/2014/chart" uri="{C3380CC4-5D6E-409C-BE32-E72D297353CC}">
                <c16:uniqueId val="{00000009-4E1D-49CD-B2F3-CCAFDD882E30}"/>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0B-4E1D-49CD-B2F3-CCAFDD882E30}"/>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0D-4E1D-49CD-B2F3-CCAFDD882E30}"/>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0F-4E1D-49CD-B2F3-CCAFDD882E30}"/>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11-4E1D-49CD-B2F3-CCAFDD882E30}"/>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13-4E1D-49CD-B2F3-CCAFDD882E30}"/>
              </c:ext>
            </c:extLst>
          </c:dPt>
          <c:dLbls>
            <c:delete val="1"/>
          </c:dLbls>
          <c:cat>
            <c:strRef>
              <c:f>'Figure_15_GHG_per_pkm_shares B'!$B$45:$B$54</c:f>
              <c:strCache>
                <c:ptCount val="4"/>
                <c:pt idx="0">
                  <c:v>Vehicle component</c:v>
                </c:pt>
                <c:pt idx="1">
                  <c:v>Fuel component</c:v>
                </c:pt>
                <c:pt idx="2">
                  <c:v>Infrastructure component</c:v>
                </c:pt>
                <c:pt idx="3">
                  <c:v>Operational services</c:v>
                </c:pt>
              </c:strCache>
            </c:strRef>
          </c:cat>
          <c:val>
            <c:numRef>
              <c:f>'Figure_15_GHG_per_pkm_shares B'!$W$45:$W$54</c:f>
              <c:numCache>
                <c:formatCode>0</c:formatCode>
                <c:ptCount val="4"/>
                <c:pt idx="0">
                  <c:v>24.220828487012707</c:v>
                </c:pt>
                <c:pt idx="1">
                  <c:v>90.564304877419374</c:v>
                </c:pt>
                <c:pt idx="2">
                  <c:v>20.796382999086166</c:v>
                </c:pt>
                <c:pt idx="3">
                  <c:v>83.169954927466094</c:v>
                </c:pt>
              </c:numCache>
            </c:numRef>
          </c:val>
          <c:extLst>
            <c:ext xmlns:c16="http://schemas.microsoft.com/office/drawing/2014/chart" uri="{C3380CC4-5D6E-409C-BE32-E72D297353CC}">
              <c16:uniqueId val="{00000014-4E1D-49CD-B2F3-CCAFDD882E30}"/>
            </c:ext>
          </c:extLst>
        </c:ser>
        <c:dLbls>
          <c:showLegendKey val="0"/>
          <c:showVal val="0"/>
          <c:showCatName val="1"/>
          <c:showSerName val="0"/>
          <c:showPercent val="1"/>
          <c:showBubbleSize val="0"/>
          <c:showLeaderLines val="1"/>
        </c:dLbls>
        <c:firstSliceAng val="0"/>
      </c:pieChart>
      <c:spPr>
        <a:noFill/>
        <a:ln w="25400">
          <a:noFill/>
        </a:ln>
      </c:spPr>
    </c:plotArea>
    <c:legend>
      <c:legendPos val="b"/>
      <c:layout>
        <c:manualLayout>
          <c:xMode val="edge"/>
          <c:yMode val="edge"/>
          <c:x val="3.5388369954906906E-2"/>
          <c:y val="0.69673145627216782"/>
          <c:w val="0.80792992860331092"/>
          <c:h val="0.25419981917981821"/>
        </c:manualLayout>
      </c:layout>
      <c:overlay val="0"/>
      <c:txPr>
        <a:bodyPr/>
        <a:lstStyle/>
        <a:p>
          <a:pPr>
            <a:defRPr sz="800"/>
          </a:pPr>
          <a:endParaRPr lang="en-FI"/>
        </a:p>
      </c:txPr>
    </c:legend>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B'!$J$44</c:f>
              <c:strCache>
                <c:ptCount val="1"/>
                <c:pt idx="0">
                  <c:v>Private moped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B732-4576-8508-C4C660205222}"/>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B732-4576-8508-C4C660205222}"/>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B732-4576-8508-C4C660205222}"/>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B732-4576-8508-C4C660205222}"/>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B732-4576-8508-C4C660205222}"/>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B732-4576-8508-C4C660205222}"/>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B732-4576-8508-C4C660205222}"/>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B732-4576-8508-C4C660205222}"/>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B732-4576-8508-C4C660205222}"/>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B732-4576-8508-C4C660205222}"/>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B'!$J$45:$J$55</c:f>
              <c:numCache>
                <c:formatCode>0</c:formatCode>
                <c:ptCount val="5"/>
                <c:pt idx="0">
                  <c:v>9.7988736045981124</c:v>
                </c:pt>
                <c:pt idx="1">
                  <c:v>4.5324601156650521</c:v>
                </c:pt>
                <c:pt idx="2">
                  <c:v>11.354081196149926</c:v>
                </c:pt>
                <c:pt idx="3">
                  <c:v>0</c:v>
                </c:pt>
                <c:pt idx="4">
                  <c:v>38.27997368046028</c:v>
                </c:pt>
              </c:numCache>
            </c:numRef>
          </c:val>
          <c:extLst>
            <c:ext xmlns:c16="http://schemas.microsoft.com/office/drawing/2014/chart" uri="{C3380CC4-5D6E-409C-BE32-E72D297353CC}">
              <c16:uniqueId val="{00000040-B732-4576-8508-C4C660205222}"/>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B'!$E$44</c:f>
              <c:strCache>
                <c:ptCount val="1"/>
                <c:pt idx="0">
                  <c:v>Private 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51CC-4DA5-937F-D9943110DFBB}"/>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51CC-4DA5-937F-D9943110DFBB}"/>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51CC-4DA5-937F-D9943110DFBB}"/>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51CC-4DA5-937F-D9943110DFBB}"/>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51CC-4DA5-937F-D9943110DFBB}"/>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51CC-4DA5-937F-D9943110DFBB}"/>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51CC-4DA5-937F-D9943110DFBB}"/>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51CC-4DA5-937F-D9943110DFBB}"/>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51CC-4DA5-937F-D9943110DFBB}"/>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51CC-4DA5-937F-D9943110DFBB}"/>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B'!$E$45:$E$55</c:f>
              <c:numCache>
                <c:formatCode>0</c:formatCode>
                <c:ptCount val="5"/>
                <c:pt idx="0">
                  <c:v>7.4670905852088847</c:v>
                </c:pt>
                <c:pt idx="1">
                  <c:v>0</c:v>
                </c:pt>
                <c:pt idx="2">
                  <c:v>9.471154571397097</c:v>
                </c:pt>
                <c:pt idx="3">
                  <c:v>0</c:v>
                </c:pt>
                <c:pt idx="4">
                  <c:v>40.566792090293902</c:v>
                </c:pt>
              </c:numCache>
            </c:numRef>
          </c:val>
          <c:extLst>
            <c:ext xmlns:c16="http://schemas.microsoft.com/office/drawing/2014/chart" uri="{C3380CC4-5D6E-409C-BE32-E72D297353CC}">
              <c16:uniqueId val="{0000002A-51CC-4DA5-937F-D9943110DFBB}"/>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B'!$F$44</c:f>
              <c:strCache>
                <c:ptCount val="1"/>
                <c:pt idx="0">
                  <c:v>Shared 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A286-4143-886B-9889937279BC}"/>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A286-4143-886B-9889937279BC}"/>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A286-4143-886B-9889937279BC}"/>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A286-4143-886B-9889937279BC}"/>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A286-4143-886B-9889937279BC}"/>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A286-4143-886B-9889937279BC}"/>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A286-4143-886B-9889937279BC}"/>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A286-4143-886B-9889937279BC}"/>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A286-4143-886B-9889937279BC}"/>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A286-4143-886B-9889937279BC}"/>
              </c:ext>
            </c:extLst>
          </c:dPt>
          <c:dLbls>
            <c:delete val="1"/>
          </c:dLbls>
          <c:cat>
            <c:strRef>
              <c:f>'Figure_15_GHG_per_pkm_shares B'!$B$45:$B$48</c:f>
              <c:strCache>
                <c:ptCount val="4"/>
                <c:pt idx="0">
                  <c:v>Vehicle component</c:v>
                </c:pt>
                <c:pt idx="1">
                  <c:v>Fuel component</c:v>
                </c:pt>
                <c:pt idx="2">
                  <c:v>Infrastructure component</c:v>
                </c:pt>
                <c:pt idx="3">
                  <c:v>Operational services</c:v>
                </c:pt>
              </c:strCache>
            </c:strRef>
          </c:cat>
          <c:val>
            <c:numRef>
              <c:f>'Figure_15_GHG_per_pkm_shares B'!$F$45:$F$48</c:f>
              <c:numCache>
                <c:formatCode>0</c:formatCode>
                <c:ptCount val="4"/>
                <c:pt idx="0">
                  <c:v>23.312907018241759</c:v>
                </c:pt>
                <c:pt idx="1">
                  <c:v>0</c:v>
                </c:pt>
                <c:pt idx="2">
                  <c:v>9.4896885706026097</c:v>
                </c:pt>
                <c:pt idx="3">
                  <c:v>24.702441658055513</c:v>
                </c:pt>
              </c:numCache>
            </c:numRef>
          </c:val>
          <c:extLst>
            <c:ext xmlns:c16="http://schemas.microsoft.com/office/drawing/2014/chart" uri="{C3380CC4-5D6E-409C-BE32-E72D297353CC}">
              <c16:uniqueId val="{0000002A-A286-4143-886B-9889937279BC}"/>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B'!$N$44</c:f>
              <c:strCache>
                <c:ptCount val="1"/>
                <c:pt idx="0">
                  <c:v>Private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4CD2-42BB-9965-9BDA1DE9C0AF}"/>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4CD2-42BB-9965-9BDA1DE9C0AF}"/>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4CD2-42BB-9965-9BDA1DE9C0AF}"/>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4CD2-42BB-9965-9BDA1DE9C0AF}"/>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4CD2-42BB-9965-9BDA1DE9C0AF}"/>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4CD2-42BB-9965-9BDA1DE9C0AF}"/>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4CD2-42BB-9965-9BDA1DE9C0AF}"/>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4CD2-42BB-9965-9BDA1DE9C0AF}"/>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4CD2-42BB-9965-9BDA1DE9C0AF}"/>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4CD2-42BB-9965-9BDA1DE9C0AF}"/>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B'!$N$45:$N$55</c:f>
              <c:numCache>
                <c:formatCode>0</c:formatCode>
                <c:ptCount val="5"/>
                <c:pt idx="0">
                  <c:v>25.97776328361342</c:v>
                </c:pt>
                <c:pt idx="1">
                  <c:v>93.58311504000001</c:v>
                </c:pt>
                <c:pt idx="2">
                  <c:v>12.716888018619265</c:v>
                </c:pt>
                <c:pt idx="3">
                  <c:v>0</c:v>
                </c:pt>
                <c:pt idx="4">
                  <c:v>151.0726085481617</c:v>
                </c:pt>
              </c:numCache>
            </c:numRef>
          </c:val>
          <c:extLst>
            <c:ext xmlns:c16="http://schemas.microsoft.com/office/drawing/2014/chart" uri="{C3380CC4-5D6E-409C-BE32-E72D297353CC}">
              <c16:uniqueId val="{00000040-4CD2-42BB-9965-9BDA1DE9C0AF}"/>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B'!$H$44</c:f>
              <c:strCache>
                <c:ptCount val="1"/>
                <c:pt idx="0">
                  <c:v>Shared e-bike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3206-4965-B41D-5B8A3D395FB2}"/>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3206-4965-B41D-5B8A3D395FB2}"/>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3206-4965-B41D-5B8A3D395FB2}"/>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3206-4965-B41D-5B8A3D395FB2}"/>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3206-4965-B41D-5B8A3D395FB2}"/>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3206-4965-B41D-5B8A3D395FB2}"/>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3206-4965-B41D-5B8A3D395FB2}"/>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3206-4965-B41D-5B8A3D395FB2}"/>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3206-4965-B41D-5B8A3D395FB2}"/>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3206-4965-B41D-5B8A3D395FB2}"/>
              </c:ext>
            </c:extLst>
          </c:dPt>
          <c:dLbls>
            <c:delete val="1"/>
          </c:dLbls>
          <c:cat>
            <c:strRef>
              <c:f>'Figure_15_GHG_per_pkm_shares B'!$B$45:$B$48</c:f>
              <c:strCache>
                <c:ptCount val="4"/>
                <c:pt idx="0">
                  <c:v>Vehicle component</c:v>
                </c:pt>
                <c:pt idx="1">
                  <c:v>Fuel component</c:v>
                </c:pt>
                <c:pt idx="2">
                  <c:v>Infrastructure component</c:v>
                </c:pt>
                <c:pt idx="3">
                  <c:v>Operational services</c:v>
                </c:pt>
              </c:strCache>
            </c:strRef>
          </c:cat>
          <c:val>
            <c:numRef>
              <c:f>'Figure_15_GHG_per_pkm_shares B'!$H$45:$H$48</c:f>
              <c:numCache>
                <c:formatCode>0</c:formatCode>
                <c:ptCount val="4"/>
                <c:pt idx="0">
                  <c:v>37.131518608826688</c:v>
                </c:pt>
                <c:pt idx="1">
                  <c:v>2.7183882789712706</c:v>
                </c:pt>
                <c:pt idx="2">
                  <c:v>9.5026866330964577</c:v>
                </c:pt>
                <c:pt idx="3">
                  <c:v>24.702441658055513</c:v>
                </c:pt>
              </c:numCache>
            </c:numRef>
          </c:val>
          <c:extLst>
            <c:ext xmlns:c16="http://schemas.microsoft.com/office/drawing/2014/chart" uri="{C3380CC4-5D6E-409C-BE32-E72D297353CC}">
              <c16:uniqueId val="{0000002A-3206-4965-B41D-5B8A3D395FB2}"/>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'0_Total'!$A$99</c:f>
              <c:strCache>
                <c:ptCount val="1"/>
                <c:pt idx="0">
                  <c:v>Vehicle and battery manufacturing, assembly and disposal - Including fluids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'0_Total'!$D$99:$ED$99</c:f>
              <c:numCache>
                <c:formatCode>General</c:formatCode>
                <c:ptCount val="131"/>
                <c:pt idx="0">
                  <c:v>24.73579149096523</c:v>
                </c:pt>
                <c:pt idx="1">
                  <c:v>270.88822642106629</c:v>
                </c:pt>
                <c:pt idx="2">
                  <c:v>14.822806505180806</c:v>
                </c:pt>
                <c:pt idx="3">
                  <c:v>135.10859904030661</c:v>
                </c:pt>
                <c:pt idx="4">
                  <c:v>45.036199680102207</c:v>
                </c:pt>
                <c:pt idx="5">
                  <c:v>67.554299520153307</c:v>
                </c:pt>
                <c:pt idx="6">
                  <c:v>67.554299520153307</c:v>
                </c:pt>
                <c:pt idx="7">
                  <c:v>67.554299520153307</c:v>
                </c:pt>
                <c:pt idx="8">
                  <c:v>67.554299520153307</c:v>
                </c:pt>
                <c:pt idx="9">
                  <c:v>67.554299520153307</c:v>
                </c:pt>
                <c:pt idx="10">
                  <c:v>67.554299520153307</c:v>
                </c:pt>
                <c:pt idx="11">
                  <c:v>37.530166400085179</c:v>
                </c:pt>
                <c:pt idx="12">
                  <c:v>112.59049920025552</c:v>
                </c:pt>
                <c:pt idx="13">
                  <c:v>64.377893046281571</c:v>
                </c:pt>
                <c:pt idx="14">
                  <c:v>70.73070599402503</c:v>
                </c:pt>
                <c:pt idx="15">
                  <c:v>81.266467926319876</c:v>
                </c:pt>
                <c:pt idx="16">
                  <c:v>40.021577563988167</c:v>
                </c:pt>
                <c:pt idx="17">
                  <c:v>67.554299520153307</c:v>
                </c:pt>
                <c:pt idx="18">
                  <c:v>67.554299520153307</c:v>
                </c:pt>
                <c:pt idx="19">
                  <c:v>67.554299520153307</c:v>
                </c:pt>
                <c:pt idx="20">
                  <c:v>25.411071788472839</c:v>
                </c:pt>
                <c:pt idx="21">
                  <c:v>62.385726120946849</c:v>
                </c:pt>
                <c:pt idx="22">
                  <c:v>62.385726120946849</c:v>
                </c:pt>
                <c:pt idx="23">
                  <c:v>41.590484080631235</c:v>
                </c:pt>
                <c:pt idx="24">
                  <c:v>38.116607682709251</c:v>
                </c:pt>
                <c:pt idx="25">
                  <c:v>62.385726120946849</c:v>
                </c:pt>
                <c:pt idx="26">
                  <c:v>62.385726120946849</c:v>
                </c:pt>
                <c:pt idx="27">
                  <c:v>62.385726120946849</c:v>
                </c:pt>
                <c:pt idx="28">
                  <c:v>61.776061776061773</c:v>
                </c:pt>
                <c:pt idx="29">
                  <c:v>6.688177195616329</c:v>
                </c:pt>
                <c:pt idx="30">
                  <c:v>11.491698300447505</c:v>
                </c:pt>
                <c:pt idx="31">
                  <c:v>20.760955028048802</c:v>
                </c:pt>
                <c:pt idx="32">
                  <c:v>34.115379988835301</c:v>
                </c:pt>
                <c:pt idx="33">
                  <c:v>7.1247711248743535</c:v>
                </c:pt>
                <c:pt idx="34">
                  <c:v>8.9569586356429127</c:v>
                </c:pt>
                <c:pt idx="35">
                  <c:v>17.802844728140915</c:v>
                </c:pt>
                <c:pt idx="36">
                  <c:v>32.250238330216007</c:v>
                </c:pt>
                <c:pt idx="37">
                  <c:v>23.35064581327855</c:v>
                </c:pt>
                <c:pt idx="38">
                  <c:v>25.429816879002782</c:v>
                </c:pt>
                <c:pt idx="39">
                  <c:v>31.153401521110357</c:v>
                </c:pt>
                <c:pt idx="40">
                  <c:v>41.026913324843555</c:v>
                </c:pt>
                <c:pt idx="41">
                  <c:v>41.026913324843555</c:v>
                </c:pt>
                <c:pt idx="42">
                  <c:v>41.026913324843555</c:v>
                </c:pt>
                <c:pt idx="43">
                  <c:v>35.612611115318266</c:v>
                </c:pt>
                <c:pt idx="44">
                  <c:v>35.900398159844805</c:v>
                </c:pt>
                <c:pt idx="45">
                  <c:v>46.153428489842319</c:v>
                </c:pt>
                <c:pt idx="46">
                  <c:v>41.026913324843555</c:v>
                </c:pt>
                <c:pt idx="47">
                  <c:v>37.163628636271454</c:v>
                </c:pt>
                <c:pt idx="48">
                  <c:v>37.163628636271454</c:v>
                </c:pt>
                <c:pt idx="49">
                  <c:v>37.163628636271454</c:v>
                </c:pt>
                <c:pt idx="50">
                  <c:v>37.163628636271454</c:v>
                </c:pt>
                <c:pt idx="51">
                  <c:v>13.02577019147018</c:v>
                </c:pt>
                <c:pt idx="52">
                  <c:v>25.956043534029284</c:v>
                </c:pt>
                <c:pt idx="53">
                  <c:v>18.908376084392195</c:v>
                </c:pt>
                <c:pt idx="54">
                  <c:v>33.911918946758561</c:v>
                </c:pt>
                <c:pt idx="55">
                  <c:v>16.955959473379281</c:v>
                </c:pt>
                <c:pt idx="56">
                  <c:v>17.502925908004418</c:v>
                </c:pt>
                <c:pt idx="57">
                  <c:v>21.878657385005528</c:v>
                </c:pt>
                <c:pt idx="58">
                  <c:v>23.759253048688674</c:v>
                </c:pt>
                <c:pt idx="59">
                  <c:v>28.698910082028217</c:v>
                </c:pt>
                <c:pt idx="60">
                  <c:v>58.88177333845929</c:v>
                </c:pt>
                <c:pt idx="61">
                  <c:v>29.440886669229645</c:v>
                </c:pt>
                <c:pt idx="62">
                  <c:v>30.390592690817694</c:v>
                </c:pt>
                <c:pt idx="63">
                  <c:v>37.988240863522122</c:v>
                </c:pt>
                <c:pt idx="64">
                  <c:v>37.988240863522122</c:v>
                </c:pt>
                <c:pt idx="65">
                  <c:v>32.862952634540385</c:v>
                </c:pt>
                <c:pt idx="66">
                  <c:v>32.950061262032378</c:v>
                </c:pt>
                <c:pt idx="67">
                  <c:v>43.026420465011874</c:v>
                </c:pt>
                <c:pt idx="68">
                  <c:v>37.988240863522122</c:v>
                </c:pt>
                <c:pt idx="69">
                  <c:v>95.6445691519977</c:v>
                </c:pt>
                <c:pt idx="70">
                  <c:v>47.82228457599885</c:v>
                </c:pt>
                <c:pt idx="71">
                  <c:v>49.364938917160096</c:v>
                </c:pt>
                <c:pt idx="72">
                  <c:v>61.706173646450132</c:v>
                </c:pt>
                <c:pt idx="73">
                  <c:v>61.706173646450132</c:v>
                </c:pt>
                <c:pt idx="74">
                  <c:v>52.629914343715733</c:v>
                </c:pt>
                <c:pt idx="75">
                  <c:v>51.629814443470629</c:v>
                </c:pt>
                <c:pt idx="76">
                  <c:v>71.7825328494296</c:v>
                </c:pt>
                <c:pt idx="77">
                  <c:v>61.706173646450132</c:v>
                </c:pt>
                <c:pt idx="78">
                  <c:v>31.305649664200015</c:v>
                </c:pt>
                <c:pt idx="79">
                  <c:v>31.305649664200015</c:v>
                </c:pt>
                <c:pt idx="80">
                  <c:v>31.305649664200015</c:v>
                </c:pt>
                <c:pt idx="81">
                  <c:v>31.967763503099626</c:v>
                </c:pt>
                <c:pt idx="82">
                  <c:v>28.42146875975434</c:v>
                </c:pt>
                <c:pt idx="83">
                  <c:v>30.045743731136174</c:v>
                </c:pt>
                <c:pt idx="84">
                  <c:v>36.132533887513077</c:v>
                </c:pt>
                <c:pt idx="85">
                  <c:v>49.663478010983638</c:v>
                </c:pt>
                <c:pt idx="86">
                  <c:v>75.842865828064035</c:v>
                </c:pt>
                <c:pt idx="87">
                  <c:v>41.527721547723829</c:v>
                </c:pt>
                <c:pt idx="88">
                  <c:v>29.191462354293481</c:v>
                </c:pt>
                <c:pt idx="89">
                  <c:v>31.901739610409269</c:v>
                </c:pt>
                <c:pt idx="90">
                  <c:v>37.413263846015298</c:v>
                </c:pt>
                <c:pt idx="91">
                  <c:v>46.202877021572988</c:v>
                </c:pt>
                <c:pt idx="92">
                  <c:v>46.774706418161948</c:v>
                </c:pt>
                <c:pt idx="93">
                  <c:v>27.396187821028608</c:v>
                </c:pt>
                <c:pt idx="94">
                  <c:v>29.833196822628597</c:v>
                </c:pt>
                <c:pt idx="95">
                  <c:v>34.616393944311604</c:v>
                </c:pt>
                <c:pt idx="96">
                  <c:v>42.500120722440599</c:v>
                </c:pt>
                <c:pt idx="97">
                  <c:v>62.958772474663121</c:v>
                </c:pt>
                <c:pt idx="98">
                  <c:v>40.245248337701874</c:v>
                </c:pt>
                <c:pt idx="99">
                  <c:v>8.0741908525132082</c:v>
                </c:pt>
                <c:pt idx="100">
                  <c:v>8.7060142463708488</c:v>
                </c:pt>
                <c:pt idx="101">
                  <c:v>9.2100694296772652</c:v>
                </c:pt>
                <c:pt idx="102">
                  <c:v>12.366718090653057</c:v>
                </c:pt>
                <c:pt idx="103">
                  <c:v>18.188861539960591</c:v>
                </c:pt>
                <c:pt idx="104">
                  <c:v>11.626898379417703</c:v>
                </c:pt>
                <c:pt idx="105">
                  <c:v>6.3772586554367487</c:v>
                </c:pt>
                <c:pt idx="106">
                  <c:v>6.3037728701766982</c:v>
                </c:pt>
                <c:pt idx="108">
                  <c:v>11.964054286275404</c:v>
                </c:pt>
                <c:pt idx="109">
                  <c:v>17.521618970717576</c:v>
                </c:pt>
                <c:pt idx="110">
                  <c:v>9.7595570788675658</c:v>
                </c:pt>
                <c:pt idx="111">
                  <c:v>10.450425615234833</c:v>
                </c:pt>
                <c:pt idx="112">
                  <c:v>6.4334585960336144</c:v>
                </c:pt>
                <c:pt idx="113">
                  <c:v>7.939821228234071</c:v>
                </c:pt>
                <c:pt idx="114">
                  <c:v>7.9398212282340719</c:v>
                </c:pt>
                <c:pt idx="115">
                  <c:v>15.879642456468142</c:v>
                </c:pt>
                <c:pt idx="116">
                  <c:v>5.2932141521560476</c:v>
                </c:pt>
                <c:pt idx="117">
                  <c:v>7.8693884492855446</c:v>
                </c:pt>
                <c:pt idx="118">
                  <c:v>7.8486211512578885</c:v>
                </c:pt>
                <c:pt idx="119">
                  <c:v>16.822043669601264</c:v>
                </c:pt>
                <c:pt idx="120">
                  <c:v>16.822043669601264</c:v>
                </c:pt>
                <c:pt idx="121">
                  <c:v>13.53010577162568</c:v>
                </c:pt>
                <c:pt idx="122">
                  <c:v>10.884942287579674</c:v>
                </c:pt>
                <c:pt idx="123">
                  <c:v>10.854654696906609</c:v>
                </c:pt>
                <c:pt idx="124">
                  <c:v>1.9997711156197073</c:v>
                </c:pt>
                <c:pt idx="125">
                  <c:v>1.9997711156197073</c:v>
                </c:pt>
                <c:pt idx="126">
                  <c:v>1.9997711156197073</c:v>
                </c:pt>
                <c:pt idx="127">
                  <c:v>1.9997711156197073</c:v>
                </c:pt>
                <c:pt idx="128">
                  <c:v>2.6663614874929431</c:v>
                </c:pt>
                <c:pt idx="129">
                  <c:v>1.5998168924957659</c:v>
                </c:pt>
                <c:pt idx="130">
                  <c:v>1.9997711156197073</c:v>
                </c:pt>
              </c:numCache>
            </c:numRef>
          </c:val>
          <c:extLst>
            <c:ext xmlns:c16="http://schemas.microsoft.com/office/drawing/2014/chart" uri="{C3380CC4-5D6E-409C-BE32-E72D297353CC}">
              <c16:uniqueId val="{00000000-4B89-4E97-A8D0-4FD153A3B287}"/>
            </c:ext>
          </c:extLst>
        </c:ser>
        <c:ser>
          <c:idx val="1"/>
          <c:order val="1"/>
          <c:tx>
            <c:strRef>
              <c:f>'0_Total'!$A$100</c:f>
              <c:strCache>
                <c:ptCount val="1"/>
                <c:pt idx="0">
                  <c:v>Vehicle delivery at point of purchase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'0_Total'!$D$100:$ED$100</c:f>
              <c:numCache>
                <c:formatCode>General</c:formatCode>
                <c:ptCount val="131"/>
                <c:pt idx="0">
                  <c:v>1.4285308396165375</c:v>
                </c:pt>
                <c:pt idx="1">
                  <c:v>13.004556608922963</c:v>
                </c:pt>
                <c:pt idx="2">
                  <c:v>1.4449507343247736</c:v>
                </c:pt>
                <c:pt idx="3">
                  <c:v>7.8027339653537764</c:v>
                </c:pt>
                <c:pt idx="4">
                  <c:v>2.6009113217845923</c:v>
                </c:pt>
                <c:pt idx="5">
                  <c:v>3.9013669826768882</c:v>
                </c:pt>
                <c:pt idx="6">
                  <c:v>3.9013669826768882</c:v>
                </c:pt>
                <c:pt idx="7">
                  <c:v>3.9013669826768882</c:v>
                </c:pt>
                <c:pt idx="8">
                  <c:v>3.9013669826768882</c:v>
                </c:pt>
                <c:pt idx="9">
                  <c:v>3.9013669826768882</c:v>
                </c:pt>
                <c:pt idx="10">
                  <c:v>3.9013669826768882</c:v>
                </c:pt>
                <c:pt idx="11">
                  <c:v>2.1674261014871603</c:v>
                </c:pt>
                <c:pt idx="12">
                  <c:v>6.5022783044614814</c:v>
                </c:pt>
                <c:pt idx="13">
                  <c:v>3.9013669826768882</c:v>
                </c:pt>
                <c:pt idx="14">
                  <c:v>3.9013669826768882</c:v>
                </c:pt>
                <c:pt idx="15">
                  <c:v>3.9013669826768882</c:v>
                </c:pt>
                <c:pt idx="16">
                  <c:v>3.9013669826768882</c:v>
                </c:pt>
                <c:pt idx="17">
                  <c:v>3.9013669826768882</c:v>
                </c:pt>
                <c:pt idx="18">
                  <c:v>3.9013669826768882</c:v>
                </c:pt>
                <c:pt idx="19">
                  <c:v>3.9013669826768882</c:v>
                </c:pt>
                <c:pt idx="20">
                  <c:v>2.1267703682506682</c:v>
                </c:pt>
                <c:pt idx="21">
                  <c:v>3.1901555523760021</c:v>
                </c:pt>
                <c:pt idx="22">
                  <c:v>3.1901555523760021</c:v>
                </c:pt>
                <c:pt idx="23">
                  <c:v>2.1267703682506682</c:v>
                </c:pt>
                <c:pt idx="24">
                  <c:v>3.1901555523760021</c:v>
                </c:pt>
                <c:pt idx="25">
                  <c:v>3.1901555523760021</c:v>
                </c:pt>
                <c:pt idx="26">
                  <c:v>3.1901555523760021</c:v>
                </c:pt>
                <c:pt idx="27">
                  <c:v>3.1901555523760021</c:v>
                </c:pt>
                <c:pt idx="28">
                  <c:v>2.9122173101063002</c:v>
                </c:pt>
                <c:pt idx="29">
                  <c:v>0.77891338959255574</c:v>
                </c:pt>
                <c:pt idx="30">
                  <c:v>1.0462243650270233</c:v>
                </c:pt>
                <c:pt idx="31">
                  <c:v>2.5519519901929568</c:v>
                </c:pt>
                <c:pt idx="32">
                  <c:v>3.0161386199913904</c:v>
                </c:pt>
                <c:pt idx="33">
                  <c:v>0.86037509259922573</c:v>
                </c:pt>
                <c:pt idx="34">
                  <c:v>0.84191496895520046</c:v>
                </c:pt>
                <c:pt idx="35">
                  <c:v>2.1498408739093349</c:v>
                </c:pt>
                <c:pt idx="36">
                  <c:v>2.3121786136421951</c:v>
                </c:pt>
                <c:pt idx="37">
                  <c:v>0.51280657541198993</c:v>
                </c:pt>
                <c:pt idx="38">
                  <c:v>0.54794640461063804</c:v>
                </c:pt>
                <c:pt idx="39">
                  <c:v>0.60700667783382734</c:v>
                </c:pt>
                <c:pt idx="40">
                  <c:v>0.62236078792075766</c:v>
                </c:pt>
                <c:pt idx="41">
                  <c:v>0.62236078792075766</c:v>
                </c:pt>
                <c:pt idx="42">
                  <c:v>0.62236078792075766</c:v>
                </c:pt>
                <c:pt idx="43">
                  <c:v>0.62236078792075766</c:v>
                </c:pt>
                <c:pt idx="44">
                  <c:v>0.5862634476659393</c:v>
                </c:pt>
                <c:pt idx="45">
                  <c:v>0.65845812817557592</c:v>
                </c:pt>
                <c:pt idx="46">
                  <c:v>0.62236078792075766</c:v>
                </c:pt>
                <c:pt idx="47">
                  <c:v>0.58128494191351765</c:v>
                </c:pt>
                <c:pt idx="48">
                  <c:v>0.58128494191351765</c:v>
                </c:pt>
                <c:pt idx="49">
                  <c:v>0.58128494191351765</c:v>
                </c:pt>
                <c:pt idx="50">
                  <c:v>0.58128494191351765</c:v>
                </c:pt>
                <c:pt idx="51">
                  <c:v>0.25718221881959058</c:v>
                </c:pt>
                <c:pt idx="52">
                  <c:v>0.51247893750120754</c:v>
                </c:pt>
                <c:pt idx="53">
                  <c:v>0.3733290273187605</c:v>
                </c:pt>
                <c:pt idx="54">
                  <c:v>0.66956060416824426</c:v>
                </c:pt>
                <c:pt idx="55">
                  <c:v>0.33478030208412213</c:v>
                </c:pt>
                <c:pt idx="56">
                  <c:v>0.34557966666748086</c:v>
                </c:pt>
                <c:pt idx="57">
                  <c:v>0.43197458333435113</c:v>
                </c:pt>
                <c:pt idx="58">
                  <c:v>0.46157543832403419</c:v>
                </c:pt>
                <c:pt idx="59">
                  <c:v>0.51132623743713712</c:v>
                </c:pt>
                <c:pt idx="60">
                  <c:v>0.84402421996319532</c:v>
                </c:pt>
                <c:pt idx="61">
                  <c:v>0.42201210998159766</c:v>
                </c:pt>
                <c:pt idx="62">
                  <c:v>0.43562540385197174</c:v>
                </c:pt>
                <c:pt idx="63">
                  <c:v>0.54453175481496474</c:v>
                </c:pt>
                <c:pt idx="64">
                  <c:v>0.54453175481496474</c:v>
                </c:pt>
                <c:pt idx="65">
                  <c:v>0.54453175481496474</c:v>
                </c:pt>
                <c:pt idx="66">
                  <c:v>0.50905641191896767</c:v>
                </c:pt>
                <c:pt idx="67">
                  <c:v>0.58000709771096204</c:v>
                </c:pt>
                <c:pt idx="68">
                  <c:v>0.54453175481496474</c:v>
                </c:pt>
                <c:pt idx="69">
                  <c:v>1.0639713459183782</c:v>
                </c:pt>
                <c:pt idx="70">
                  <c:v>0.53198567295918908</c:v>
                </c:pt>
                <c:pt idx="71">
                  <c:v>0.54914650111916286</c:v>
                </c:pt>
                <c:pt idx="72">
                  <c:v>0.6864331263989536</c:v>
                </c:pt>
                <c:pt idx="73">
                  <c:v>0.6864331263989536</c:v>
                </c:pt>
                <c:pt idx="74">
                  <c:v>0.6864331263989536</c:v>
                </c:pt>
                <c:pt idx="75">
                  <c:v>0.61548244060695922</c:v>
                </c:pt>
                <c:pt idx="76">
                  <c:v>0.75738381219094786</c:v>
                </c:pt>
                <c:pt idx="77">
                  <c:v>0.6864331263989536</c:v>
                </c:pt>
                <c:pt idx="78">
                  <c:v>0.48965893305851194</c:v>
                </c:pt>
                <c:pt idx="79">
                  <c:v>0.48965893305851194</c:v>
                </c:pt>
                <c:pt idx="80">
                  <c:v>0.48965893305851194</c:v>
                </c:pt>
                <c:pt idx="81">
                  <c:v>0.48965893305851194</c:v>
                </c:pt>
                <c:pt idx="82">
                  <c:v>0.56115656044138273</c:v>
                </c:pt>
                <c:pt idx="83">
                  <c:v>0.59960954960551116</c:v>
                </c:pt>
                <c:pt idx="84">
                  <c:v>0.66423832265512894</c:v>
                </c:pt>
                <c:pt idx="85">
                  <c:v>0.7073739483106688</c:v>
                </c:pt>
                <c:pt idx="86">
                  <c:v>0.89171091782711942</c:v>
                </c:pt>
                <c:pt idx="87">
                  <c:v>0.63609141200752994</c:v>
                </c:pt>
                <c:pt idx="88">
                  <c:v>0.65150451529287146</c:v>
                </c:pt>
                <c:pt idx="89">
                  <c:v>0.69449832616003537</c:v>
                </c:pt>
                <c:pt idx="90">
                  <c:v>0.75849078495400846</c:v>
                </c:pt>
                <c:pt idx="91">
                  <c:v>0.75443607263617052</c:v>
                </c:pt>
                <c:pt idx="92">
                  <c:v>0.74120092670267479</c:v>
                </c:pt>
                <c:pt idx="93">
                  <c:v>0.54881002902114195</c:v>
                </c:pt>
                <c:pt idx="94">
                  <c:v>0.58502686871431098</c:v>
                </c:pt>
                <c:pt idx="95">
                  <c:v>0.63893240941814955</c:v>
                </c:pt>
                <c:pt idx="96">
                  <c:v>0.65578845240678008</c:v>
                </c:pt>
                <c:pt idx="97">
                  <c:v>0.79768982399076904</c:v>
                </c:pt>
                <c:pt idx="98">
                  <c:v>0.62436789392216685</c:v>
                </c:pt>
                <c:pt idx="99">
                  <c:v>0.15855184650597362</c:v>
                </c:pt>
                <c:pt idx="100">
                  <c:v>0.16901493301006809</c:v>
                </c:pt>
                <c:pt idx="101">
                  <c:v>0.18458830551337427</c:v>
                </c:pt>
                <c:pt idx="102">
                  <c:v>0.18945803565551148</c:v>
                </c:pt>
                <c:pt idx="103">
                  <c:v>0.2304535045730538</c:v>
                </c:pt>
                <c:pt idx="104">
                  <c:v>0.18038060029072794</c:v>
                </c:pt>
                <c:pt idx="105">
                  <c:v>0.1322437913310876</c:v>
                </c:pt>
                <c:pt idx="106">
                  <c:v>0.13583048242647483</c:v>
                </c:pt>
                <c:pt idx="108">
                  <c:v>0.17651810188764669</c:v>
                </c:pt>
                <c:pt idx="109">
                  <c:v>0.21565059188244026</c:v>
                </c:pt>
                <c:pt idx="110">
                  <c:v>0.15356610604743517</c:v>
                </c:pt>
                <c:pt idx="111">
                  <c:v>0.19243583565461209</c:v>
                </c:pt>
                <c:pt idx="112">
                  <c:v>0.11546150139276726</c:v>
                </c:pt>
                <c:pt idx="113">
                  <c:v>0.14432687674095906</c:v>
                </c:pt>
                <c:pt idx="114">
                  <c:v>0.14432687674095906</c:v>
                </c:pt>
                <c:pt idx="115">
                  <c:v>0.28865375348191813</c:v>
                </c:pt>
                <c:pt idx="116">
                  <c:v>9.6217917827306043E-2</c:v>
                </c:pt>
                <c:pt idx="117">
                  <c:v>0.14432687674095906</c:v>
                </c:pt>
                <c:pt idx="118">
                  <c:v>0.14438992966823738</c:v>
                </c:pt>
                <c:pt idx="119">
                  <c:v>0.23893677381355319</c:v>
                </c:pt>
                <c:pt idx="120">
                  <c:v>0.23893677381355319</c:v>
                </c:pt>
                <c:pt idx="121">
                  <c:v>0.20001907146764875</c:v>
                </c:pt>
                <c:pt idx="122">
                  <c:v>0.17054391427396204</c:v>
                </c:pt>
                <c:pt idx="123">
                  <c:v>0.17054391427396204</c:v>
                </c:pt>
                <c:pt idx="124">
                  <c:v>2.8489666429629284E-2</c:v>
                </c:pt>
                <c:pt idx="125">
                  <c:v>2.8489666429629284E-2</c:v>
                </c:pt>
                <c:pt idx="126">
                  <c:v>2.8489666429629284E-2</c:v>
                </c:pt>
                <c:pt idx="127">
                  <c:v>2.8489666429629284E-2</c:v>
                </c:pt>
                <c:pt idx="128">
                  <c:v>3.7986221906172381E-2</c:v>
                </c:pt>
                <c:pt idx="129">
                  <c:v>2.2791733143703426E-2</c:v>
                </c:pt>
                <c:pt idx="130">
                  <c:v>2.8489666429629284E-2</c:v>
                </c:pt>
              </c:numCache>
            </c:numRef>
          </c:val>
          <c:extLst>
            <c:ext xmlns:c16="http://schemas.microsoft.com/office/drawing/2014/chart" uri="{C3380CC4-5D6E-409C-BE32-E72D297353CC}">
              <c16:uniqueId val="{00000001-4B89-4E97-A8D0-4FD153A3B287}"/>
            </c:ext>
          </c:extLst>
        </c:ser>
        <c:ser>
          <c:idx val="2"/>
          <c:order val="2"/>
          <c:tx>
            <c:strRef>
              <c:f>'0_Total'!$A$101</c:f>
              <c:strCache>
                <c:ptCount val="1"/>
                <c:pt idx="0">
                  <c:v>Vehicle use (including fuel production)</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'0_Total'!$D$101:$ED$101</c:f>
              <c:numCache>
                <c:formatCode>General</c:formatCode>
                <c:ptCount val="131"/>
                <c:pt idx="0">
                  <c:v>1.4239176699373322</c:v>
                </c:pt>
                <c:pt idx="1">
                  <c:v>6.5698646003115231</c:v>
                </c:pt>
                <c:pt idx="2">
                  <c:v>0</c:v>
                </c:pt>
                <c:pt idx="3">
                  <c:v>0.80095368933974942</c:v>
                </c:pt>
                <c:pt idx="4">
                  <c:v>0.80095368933974942</c:v>
                </c:pt>
                <c:pt idx="5">
                  <c:v>1.067938252452999</c:v>
                </c:pt>
                <c:pt idx="6">
                  <c:v>1.067938252452999</c:v>
                </c:pt>
                <c:pt idx="7">
                  <c:v>0.80095368933974942</c:v>
                </c:pt>
                <c:pt idx="8">
                  <c:v>1.067938252452999</c:v>
                </c:pt>
                <c:pt idx="9">
                  <c:v>1.067938252452999</c:v>
                </c:pt>
                <c:pt idx="10">
                  <c:v>1.067938252452999</c:v>
                </c:pt>
                <c:pt idx="11">
                  <c:v>1.067938252452999</c:v>
                </c:pt>
                <c:pt idx="12">
                  <c:v>1.067938252452999</c:v>
                </c:pt>
                <c:pt idx="13">
                  <c:v>1.4239176699373322</c:v>
                </c:pt>
                <c:pt idx="14">
                  <c:v>1.4239176699373322</c:v>
                </c:pt>
                <c:pt idx="15">
                  <c:v>1.4239176699373322</c:v>
                </c:pt>
                <c:pt idx="16">
                  <c:v>1.4239176699373322</c:v>
                </c:pt>
                <c:pt idx="17">
                  <c:v>11.679759289442709</c:v>
                </c:pt>
                <c:pt idx="18">
                  <c:v>0</c:v>
                </c:pt>
                <c:pt idx="19">
                  <c:v>1.4239176699373322</c:v>
                </c:pt>
                <c:pt idx="20">
                  <c:v>0</c:v>
                </c:pt>
                <c:pt idx="21">
                  <c:v>0</c:v>
                </c:pt>
                <c:pt idx="22">
                  <c:v>1.5404200247503861</c:v>
                </c:pt>
                <c:pt idx="23">
                  <c:v>1.5404200247503863</c:v>
                </c:pt>
                <c:pt idx="24">
                  <c:v>1.5404200247503861</c:v>
                </c:pt>
                <c:pt idx="25">
                  <c:v>1.5404200247503861</c:v>
                </c:pt>
                <c:pt idx="26">
                  <c:v>1.5404200247503861</c:v>
                </c:pt>
                <c:pt idx="27">
                  <c:v>1.5404200247503861</c:v>
                </c:pt>
                <c:pt idx="28">
                  <c:v>5.6798038727492948</c:v>
                </c:pt>
                <c:pt idx="29">
                  <c:v>0</c:v>
                </c:pt>
                <c:pt idx="30">
                  <c:v>2.7183882789712701</c:v>
                </c:pt>
                <c:pt idx="31">
                  <c:v>0</c:v>
                </c:pt>
                <c:pt idx="32">
                  <c:v>2.7183882789712706</c:v>
                </c:pt>
                <c:pt idx="33">
                  <c:v>53.73696412283369</c:v>
                </c:pt>
                <c:pt idx="34">
                  <c:v>4.5324601156650521</c:v>
                </c:pt>
                <c:pt idx="35">
                  <c:v>53.736964122833704</c:v>
                </c:pt>
                <c:pt idx="36">
                  <c:v>4.5324601156650521</c:v>
                </c:pt>
                <c:pt idx="37">
                  <c:v>125.63212704</c:v>
                </c:pt>
                <c:pt idx="38">
                  <c:v>93.58311504000001</c:v>
                </c:pt>
                <c:pt idx="39">
                  <c:v>42.659754529241155</c:v>
                </c:pt>
                <c:pt idx="40">
                  <c:v>16.426508205516896</c:v>
                </c:pt>
                <c:pt idx="41">
                  <c:v>134.73929417206867</c:v>
                </c:pt>
                <c:pt idx="42">
                  <c:v>0</c:v>
                </c:pt>
                <c:pt idx="43">
                  <c:v>16.426508205516896</c:v>
                </c:pt>
                <c:pt idx="44">
                  <c:v>16.426508205516896</c:v>
                </c:pt>
                <c:pt idx="45">
                  <c:v>16.426508205516896</c:v>
                </c:pt>
                <c:pt idx="46">
                  <c:v>16.426508205516896</c:v>
                </c:pt>
                <c:pt idx="47">
                  <c:v>162.79128163523271</c:v>
                </c:pt>
                <c:pt idx="48">
                  <c:v>0.8367214586828573</c:v>
                </c:pt>
                <c:pt idx="49">
                  <c:v>41.860816766149433</c:v>
                </c:pt>
                <c:pt idx="50">
                  <c:v>82.679705112992522</c:v>
                </c:pt>
                <c:pt idx="51">
                  <c:v>117.86678585430464</c:v>
                </c:pt>
                <c:pt idx="52">
                  <c:v>234.86944571260995</c:v>
                </c:pt>
                <c:pt idx="53">
                  <c:v>171.09694720786158</c:v>
                </c:pt>
                <c:pt idx="54">
                  <c:v>306.86008041379307</c:v>
                </c:pt>
                <c:pt idx="55">
                  <c:v>153.43004020689654</c:v>
                </c:pt>
                <c:pt idx="56">
                  <c:v>158.37939634260283</c:v>
                </c:pt>
                <c:pt idx="57">
                  <c:v>197.9742454282536</c:v>
                </c:pt>
                <c:pt idx="58">
                  <c:v>147.47061139043385</c:v>
                </c:pt>
                <c:pt idx="59">
                  <c:v>103.80408180264398</c:v>
                </c:pt>
                <c:pt idx="60">
                  <c:v>40.122218318072868</c:v>
                </c:pt>
                <c:pt idx="61">
                  <c:v>20.061109159036434</c:v>
                </c:pt>
                <c:pt idx="62">
                  <c:v>20.708241712553736</c:v>
                </c:pt>
                <c:pt idx="63">
                  <c:v>212.32554698972632</c:v>
                </c:pt>
                <c:pt idx="64">
                  <c:v>0</c:v>
                </c:pt>
                <c:pt idx="65">
                  <c:v>25.885302140692175</c:v>
                </c:pt>
                <c:pt idx="66">
                  <c:v>25.885302140692175</c:v>
                </c:pt>
                <c:pt idx="67">
                  <c:v>25.885302140692175</c:v>
                </c:pt>
                <c:pt idx="68">
                  <c:v>25.885302140692175</c:v>
                </c:pt>
                <c:pt idx="69">
                  <c:v>40.122218318072868</c:v>
                </c:pt>
                <c:pt idx="70">
                  <c:v>20.061109159036434</c:v>
                </c:pt>
                <c:pt idx="71">
                  <c:v>20.708241712553736</c:v>
                </c:pt>
                <c:pt idx="72">
                  <c:v>212.32554698972632</c:v>
                </c:pt>
                <c:pt idx="73">
                  <c:v>0</c:v>
                </c:pt>
                <c:pt idx="74">
                  <c:v>25.885302140692175</c:v>
                </c:pt>
                <c:pt idx="75">
                  <c:v>25.885302140692175</c:v>
                </c:pt>
                <c:pt idx="76">
                  <c:v>25.885302140692175</c:v>
                </c:pt>
                <c:pt idx="77">
                  <c:v>25.885302140692175</c:v>
                </c:pt>
                <c:pt idx="78">
                  <c:v>256.53056987383718</c:v>
                </c:pt>
                <c:pt idx="79">
                  <c:v>1.3185265848728749</c:v>
                </c:pt>
                <c:pt idx="80">
                  <c:v>65.96532119248613</c:v>
                </c:pt>
                <c:pt idx="81">
                  <c:v>130.28874554327703</c:v>
                </c:pt>
                <c:pt idx="82">
                  <c:v>257.17843342303553</c:v>
                </c:pt>
                <c:pt idx="83">
                  <c:v>191.57169020287344</c:v>
                </c:pt>
                <c:pt idx="84">
                  <c:v>134.84668716969739</c:v>
                </c:pt>
                <c:pt idx="85">
                  <c:v>33.626300425212264</c:v>
                </c:pt>
                <c:pt idx="86">
                  <c:v>33.626300425212264</c:v>
                </c:pt>
                <c:pt idx="87">
                  <c:v>169.25158825073376</c:v>
                </c:pt>
                <c:pt idx="88">
                  <c:v>163.50651827999997</c:v>
                </c:pt>
                <c:pt idx="89">
                  <c:v>120.36400015290464</c:v>
                </c:pt>
                <c:pt idx="90">
                  <c:v>52.320695999797643</c:v>
                </c:pt>
                <c:pt idx="91">
                  <c:v>17.268084769409189</c:v>
                </c:pt>
                <c:pt idx="92">
                  <c:v>94.481920496077464</c:v>
                </c:pt>
                <c:pt idx="93">
                  <c:v>257.65765765294765</c:v>
                </c:pt>
                <c:pt idx="94">
                  <c:v>189.67259942522978</c:v>
                </c:pt>
                <c:pt idx="95">
                  <c:v>131.3258029009728</c:v>
                </c:pt>
                <c:pt idx="96">
                  <c:v>27.211479521686709</c:v>
                </c:pt>
                <c:pt idx="97">
                  <c:v>27.211479521686709</c:v>
                </c:pt>
                <c:pt idx="98">
                  <c:v>148.88697148992554</c:v>
                </c:pt>
                <c:pt idx="99">
                  <c:v>74.437592658688644</c:v>
                </c:pt>
                <c:pt idx="100">
                  <c:v>54.796631402848405</c:v>
                </c:pt>
                <c:pt idx="101">
                  <c:v>35.966233700324452</c:v>
                </c:pt>
                <c:pt idx="102">
                  <c:v>7.8614276273670454</c:v>
                </c:pt>
                <c:pt idx="103">
                  <c:v>7.8614276273670454</c:v>
                </c:pt>
                <c:pt idx="104">
                  <c:v>43.013616738225743</c:v>
                </c:pt>
                <c:pt idx="105">
                  <c:v>56.577985314170363</c:v>
                </c:pt>
                <c:pt idx="106">
                  <c:v>41.649425996240709</c:v>
                </c:pt>
                <c:pt idx="108">
                  <c:v>7.504556282622759</c:v>
                </c:pt>
                <c:pt idx="109">
                  <c:v>7.504556282622759</c:v>
                </c:pt>
                <c:pt idx="110">
                  <c:v>35.09163050614972</c:v>
                </c:pt>
                <c:pt idx="111">
                  <c:v>71.835624993896062</c:v>
                </c:pt>
                <c:pt idx="112">
                  <c:v>71.835624993896062</c:v>
                </c:pt>
                <c:pt idx="113">
                  <c:v>64.652062494506453</c:v>
                </c:pt>
                <c:pt idx="114">
                  <c:v>71.835624993896076</c:v>
                </c:pt>
                <c:pt idx="115">
                  <c:v>143.67124998779212</c:v>
                </c:pt>
                <c:pt idx="116">
                  <c:v>47.890416662597374</c:v>
                </c:pt>
                <c:pt idx="117">
                  <c:v>71.835624993896062</c:v>
                </c:pt>
                <c:pt idx="118">
                  <c:v>52.881213964464521</c:v>
                </c:pt>
                <c:pt idx="119">
                  <c:v>0</c:v>
                </c:pt>
                <c:pt idx="120">
                  <c:v>10.462368334191947</c:v>
                </c:pt>
                <c:pt idx="121">
                  <c:v>10.462368334191947</c:v>
                </c:pt>
                <c:pt idx="122">
                  <c:v>0.44440777552615163</c:v>
                </c:pt>
                <c:pt idx="123">
                  <c:v>43.913662604355508</c:v>
                </c:pt>
                <c:pt idx="124">
                  <c:v>12.073398680398997</c:v>
                </c:pt>
                <c:pt idx="125">
                  <c:v>12.073398680398997</c:v>
                </c:pt>
                <c:pt idx="126">
                  <c:v>12.073398680398997</c:v>
                </c:pt>
                <c:pt idx="127">
                  <c:v>12.073398680398997</c:v>
                </c:pt>
                <c:pt idx="128">
                  <c:v>16.097864907198662</c:v>
                </c:pt>
                <c:pt idx="129">
                  <c:v>9.6587189443191974</c:v>
                </c:pt>
                <c:pt idx="130">
                  <c:v>12.073398680398997</c:v>
                </c:pt>
              </c:numCache>
            </c:numRef>
          </c:val>
          <c:extLst>
            <c:ext xmlns:c16="http://schemas.microsoft.com/office/drawing/2014/chart" uri="{C3380CC4-5D6E-409C-BE32-E72D297353CC}">
              <c16:uniqueId val="{00000002-4B89-4E97-A8D0-4FD153A3B287}"/>
            </c:ext>
          </c:extLst>
        </c:ser>
        <c:ser>
          <c:idx val="3"/>
          <c:order val="3"/>
          <c:tx>
            <c:strRef>
              <c:f>'0_Total'!$A$102</c:f>
              <c:strCache>
                <c:ptCount val="1"/>
                <c:pt idx="0">
                  <c:v>Operational services</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'0_Total'!$D$102:$ED$102</c:f>
              <c:numCache>
                <c:formatCode>General</c:formatCode>
                <c:ptCount val="131"/>
                <c:pt idx="0">
                  <c:v>0</c:v>
                </c:pt>
                <c:pt idx="1">
                  <c:v>208.36509538569825</c:v>
                </c:pt>
                <c:pt idx="2">
                  <c:v>0.81502382855616651</c:v>
                </c:pt>
                <c:pt idx="3">
                  <c:v>69.455031795232756</c:v>
                </c:pt>
                <c:pt idx="4">
                  <c:v>23.151677265077584</c:v>
                </c:pt>
                <c:pt idx="5">
                  <c:v>0</c:v>
                </c:pt>
                <c:pt idx="6">
                  <c:v>3.6676072285027495</c:v>
                </c:pt>
                <c:pt idx="7">
                  <c:v>23.151677265077588</c:v>
                </c:pt>
                <c:pt idx="8">
                  <c:v>69.455031795232756</c:v>
                </c:pt>
                <c:pt idx="9">
                  <c:v>17.363757948808189</c:v>
                </c:pt>
                <c:pt idx="10">
                  <c:v>52.091273846424563</c:v>
                </c:pt>
                <c:pt idx="11">
                  <c:v>34.727515897616378</c:v>
                </c:pt>
                <c:pt idx="12">
                  <c:v>34.727515897616378</c:v>
                </c:pt>
                <c:pt idx="13">
                  <c:v>34.727515897616378</c:v>
                </c:pt>
                <c:pt idx="14">
                  <c:v>34.727515897616378</c:v>
                </c:pt>
                <c:pt idx="15">
                  <c:v>34.727515897616378</c:v>
                </c:pt>
                <c:pt idx="16">
                  <c:v>34.727515897616378</c:v>
                </c:pt>
                <c:pt idx="17">
                  <c:v>34.727515897616378</c:v>
                </c:pt>
                <c:pt idx="18">
                  <c:v>34.727515897616378</c:v>
                </c:pt>
                <c:pt idx="19">
                  <c:v>34.727515897616378</c:v>
                </c:pt>
                <c:pt idx="20">
                  <c:v>0</c:v>
                </c:pt>
                <c:pt idx="21">
                  <c:v>24.702441658055509</c:v>
                </c:pt>
                <c:pt idx="22">
                  <c:v>12.351220829027755</c:v>
                </c:pt>
                <c:pt idx="23">
                  <c:v>16.468294438703673</c:v>
                </c:pt>
                <c:pt idx="24">
                  <c:v>24.702441658055509</c:v>
                </c:pt>
                <c:pt idx="25">
                  <c:v>0</c:v>
                </c:pt>
                <c:pt idx="26">
                  <c:v>16.468294438703676</c:v>
                </c:pt>
                <c:pt idx="27">
                  <c:v>24.702441658055509</c:v>
                </c:pt>
                <c:pt idx="28">
                  <c:v>52.95479166261358</c:v>
                </c:pt>
                <c:pt idx="29">
                  <c:v>0</c:v>
                </c:pt>
                <c:pt idx="30">
                  <c:v>0</c:v>
                </c:pt>
                <c:pt idx="31">
                  <c:v>24.702441658055513</c:v>
                </c:pt>
                <c:pt idx="32">
                  <c:v>24.702441658055513</c:v>
                </c:pt>
                <c:pt idx="33">
                  <c:v>0</c:v>
                </c:pt>
                <c:pt idx="34">
                  <c:v>0</c:v>
                </c:pt>
                <c:pt idx="35">
                  <c:v>0</c:v>
                </c:pt>
                <c:pt idx="36">
                  <c:v>13.516430341200186</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20.991381226617225</c:v>
                </c:pt>
                <c:pt idx="52">
                  <c:v>41.828866696441061</c:v>
                </c:pt>
                <c:pt idx="53">
                  <c:v>30.471359845089516</c:v>
                </c:pt>
                <c:pt idx="54">
                  <c:v>54.649975262399998</c:v>
                </c:pt>
                <c:pt idx="55">
                  <c:v>27.324987631199999</c:v>
                </c:pt>
                <c:pt idx="56">
                  <c:v>28.206438845109673</c:v>
                </c:pt>
                <c:pt idx="57">
                  <c:v>35.258048556387102</c:v>
                </c:pt>
                <c:pt idx="58">
                  <c:v>26.263648414451623</c:v>
                </c:pt>
                <c:pt idx="59">
                  <c:v>18.486896356804994</c:v>
                </c:pt>
                <c:pt idx="60">
                  <c:v>7.1455310693998495</c:v>
                </c:pt>
                <c:pt idx="61">
                  <c:v>3.5727655346999247</c:v>
                </c:pt>
                <c:pt idx="62">
                  <c:v>3.6880160358192766</c:v>
                </c:pt>
                <c:pt idx="63">
                  <c:v>37.813930945064442</c:v>
                </c:pt>
                <c:pt idx="64">
                  <c:v>0</c:v>
                </c:pt>
                <c:pt idx="65">
                  <c:v>4.6100200447740969</c:v>
                </c:pt>
                <c:pt idx="66">
                  <c:v>4.6100200447740969</c:v>
                </c:pt>
                <c:pt idx="67">
                  <c:v>4.6100200447740969</c:v>
                </c:pt>
                <c:pt idx="68">
                  <c:v>4.6100200447740969</c:v>
                </c:pt>
                <c:pt idx="69">
                  <c:v>7.1455310693998495</c:v>
                </c:pt>
                <c:pt idx="70">
                  <c:v>3.5727655346999247</c:v>
                </c:pt>
                <c:pt idx="71">
                  <c:v>3.6880160358192766</c:v>
                </c:pt>
                <c:pt idx="72">
                  <c:v>37.813930945064442</c:v>
                </c:pt>
                <c:pt idx="73">
                  <c:v>0</c:v>
                </c:pt>
                <c:pt idx="74">
                  <c:v>4.6100200447740969</c:v>
                </c:pt>
                <c:pt idx="75">
                  <c:v>4.6100200447740969</c:v>
                </c:pt>
                <c:pt idx="76">
                  <c:v>4.6100200447740969</c:v>
                </c:pt>
                <c:pt idx="77">
                  <c:v>4.6100200447740969</c:v>
                </c:pt>
                <c:pt idx="78">
                  <c:v>45.686585491178214</c:v>
                </c:pt>
                <c:pt idx="79">
                  <c:v>0.23482182872712448</c:v>
                </c:pt>
                <c:pt idx="80">
                  <c:v>11.748035673080649</c:v>
                </c:pt>
                <c:pt idx="81">
                  <c:v>23.20365917687209</c:v>
                </c:pt>
                <c:pt idx="82">
                  <c:v>45.801966178328378</c:v>
                </c:pt>
                <c:pt idx="83">
                  <c:v>34.117791132836459</c:v>
                </c:pt>
                <c:pt idx="84">
                  <c:v>24.015401769116227</c:v>
                </c:pt>
                <c:pt idx="85">
                  <c:v>5.9886463039630984</c:v>
                </c:pt>
                <c:pt idx="86">
                  <c:v>5.9886463039630984</c:v>
                </c:pt>
                <c:pt idx="87">
                  <c:v>30.142712269877737</c:v>
                </c:pt>
                <c:pt idx="88">
                  <c:v>0</c:v>
                </c:pt>
                <c:pt idx="89">
                  <c:v>0</c:v>
                </c:pt>
                <c:pt idx="90">
                  <c:v>0</c:v>
                </c:pt>
                <c:pt idx="91">
                  <c:v>0</c:v>
                </c:pt>
                <c:pt idx="92">
                  <c:v>0</c:v>
                </c:pt>
                <c:pt idx="93">
                  <c:v>45.887313194709677</c:v>
                </c:pt>
                <c:pt idx="94">
                  <c:v>33.779574236460334</c:v>
                </c:pt>
                <c:pt idx="95">
                  <c:v>23.388352991940309</c:v>
                </c:pt>
                <c:pt idx="96">
                  <c:v>4.8462044352858049</c:v>
                </c:pt>
                <c:pt idx="97">
                  <c:v>4.8462044352858049</c:v>
                </c:pt>
                <c:pt idx="98">
                  <c:v>26.5158938166411</c:v>
                </c:pt>
                <c:pt idx="99">
                  <c:v>7.581606659681249</c:v>
                </c:pt>
                <c:pt idx="100">
                  <c:v>5.5811383836234487</c:v>
                </c:pt>
                <c:pt idx="101">
                  <c:v>3.6632275065145272</c:v>
                </c:pt>
                <c:pt idx="102">
                  <c:v>0.80070096204664354</c:v>
                </c:pt>
                <c:pt idx="103">
                  <c:v>0.80070096204664354</c:v>
                </c:pt>
                <c:pt idx="104">
                  <c:v>4.3810165196341035</c:v>
                </c:pt>
                <c:pt idx="105">
                  <c:v>5.7625725782951287</c:v>
                </c:pt>
                <c:pt idx="106">
                  <c:v>4.2420711662837762</c:v>
                </c:pt>
                <c:pt idx="108">
                  <c:v>0</c:v>
                </c:pt>
                <c:pt idx="109">
                  <c:v>0</c:v>
                </c:pt>
                <c:pt idx="110">
                  <c:v>0</c:v>
                </c:pt>
                <c:pt idx="111">
                  <c:v>7.9817361104328963</c:v>
                </c:pt>
                <c:pt idx="112">
                  <c:v>7.9817361104328963</c:v>
                </c:pt>
                <c:pt idx="113">
                  <c:v>7.1835624993896063</c:v>
                </c:pt>
                <c:pt idx="114">
                  <c:v>15.963472220865796</c:v>
                </c:pt>
                <c:pt idx="115">
                  <c:v>15.963472220865793</c:v>
                </c:pt>
                <c:pt idx="116">
                  <c:v>5.3211574069552645</c:v>
                </c:pt>
                <c:pt idx="117">
                  <c:v>7.9817361104328963</c:v>
                </c:pt>
                <c:pt idx="118">
                  <c:v>5.8756904404960579</c:v>
                </c:pt>
                <c:pt idx="119">
                  <c:v>0</c:v>
                </c:pt>
                <c:pt idx="120">
                  <c:v>1.1624853704657718</c:v>
                </c:pt>
                <c:pt idx="121">
                  <c:v>1.1624853704657718</c:v>
                </c:pt>
                <c:pt idx="122">
                  <c:v>4.9378641725127959E-2</c:v>
                </c:pt>
                <c:pt idx="123">
                  <c:v>4.8792958449283903</c:v>
                </c:pt>
                <c:pt idx="124">
                  <c:v>0</c:v>
                </c:pt>
                <c:pt idx="125">
                  <c:v>0</c:v>
                </c:pt>
                <c:pt idx="126">
                  <c:v>0</c:v>
                </c:pt>
                <c:pt idx="127">
                  <c:v>0</c:v>
                </c:pt>
                <c:pt idx="128">
                  <c:v>0</c:v>
                </c:pt>
                <c:pt idx="129">
                  <c:v>0</c:v>
                </c:pt>
                <c:pt idx="130">
                  <c:v>0</c:v>
                </c:pt>
              </c:numCache>
            </c:numRef>
          </c:val>
          <c:extLst>
            <c:ext xmlns:c16="http://schemas.microsoft.com/office/drawing/2014/chart" uri="{C3380CC4-5D6E-409C-BE32-E72D297353CC}">
              <c16:uniqueId val="{00000003-4B89-4E97-A8D0-4FD153A3B287}"/>
            </c:ext>
          </c:extLst>
        </c:ser>
        <c:ser>
          <c:idx val="4"/>
          <c:order val="4"/>
          <c:tx>
            <c:strRef>
              <c:f>'0_Total'!$A$103</c:f>
              <c:strCache>
                <c:ptCount val="1"/>
                <c:pt idx="0">
                  <c:v>Infrastructure network (from the vehicleperspective)</c:v>
                </c:pt>
              </c:strCache>
            </c:strRef>
          </c:tx>
          <c:invertIfNegative val="0"/>
          <c:cat>
            <c:strRef>
              <c:f>'0_Total'!$D$2:$ED$2</c:f>
              <c:strCache>
                <c:ptCount val="131"/>
                <c:pt idx="0">
                  <c:v>Private e-scooter</c:v>
                </c:pt>
                <c:pt idx="1">
                  <c:v>Shared e-scooter (first generation, worst case)</c:v>
                </c:pt>
                <c:pt idx="2">
                  <c:v>Shared e-scooter (first generation, best case)</c:v>
                </c:pt>
                <c:pt idx="3">
                  <c:v>Shared e-scooter (first generation central case, daily distance 50% lower)</c:v>
                </c:pt>
                <c:pt idx="4">
                  <c:v>Shared e-scooter (first generation central case, daily distance 50% higher)</c:v>
                </c:pt>
                <c:pt idx="5">
                  <c:v>Shared e-scooter (first generation central case, low-carbon EVs for operational services)</c:v>
                </c:pt>
                <c:pt idx="6">
                  <c:v>Shared e-scooter (first generation central case, EVs for operational services)</c:v>
                </c:pt>
                <c:pt idx="7">
                  <c:v>Shared e-scooter (first generation central case, 50% more vehicles per servicing trip)</c:v>
                </c:pt>
                <c:pt idx="8">
                  <c:v>Shared e-scooter (first generation central case, 50% less vehicles per servcing trip)</c:v>
                </c:pt>
                <c:pt idx="9">
                  <c:v>Shared e-scooter (first generation central case, vehicle servicing distance 50% down)</c:v>
                </c:pt>
                <c:pt idx="10">
                  <c:v>Shared e-scooter (first generation central case, vehicle servicing distance 50% up)</c:v>
                </c:pt>
                <c:pt idx="11">
                  <c:v>Shared e-scooter (first generation central case, 50% higher lifetime)</c:v>
                </c:pt>
                <c:pt idx="12">
                  <c:v>Shared e-scooter (first generation central case, 50% lower lifetime)</c:v>
                </c:pt>
                <c:pt idx="13">
                  <c:v>Shared e-scooter (first generation central case, 25% less battery capacity)</c:v>
                </c:pt>
                <c:pt idx="14">
                  <c:v>Shared e-scooter (first generation central case, 25% more battery capacity)</c:v>
                </c:pt>
                <c:pt idx="15">
                  <c:v>Shared e-scooter (first generation central case, 25% heavier vehicle)</c:v>
                </c:pt>
                <c:pt idx="16">
                  <c:v>Shared e-scooter (first generation central case, low carbon Al smelting)</c:v>
                </c:pt>
                <c:pt idx="17">
                  <c:v>Shared e-scooter (first generation central case, high carbon electricity in use phase)</c:v>
                </c:pt>
                <c:pt idx="18">
                  <c:v>Shared e-scooter (first generation central case, low carbon electricity in use phase)</c:v>
                </c:pt>
                <c:pt idx="19">
                  <c:v>Shared e-scooter (first generation, central case)</c:v>
                </c:pt>
                <c:pt idx="20">
                  <c:v>Shared e-scooter (new generation),- All improvements combined</c:v>
                </c:pt>
                <c:pt idx="21">
                  <c:v>Shared e-scooter (new generation) - Low-carbon electricity in use phase</c:v>
                </c:pt>
                <c:pt idx="22">
                  <c:v>Shared e-scooter (new generation) - 50% lower service distance</c:v>
                </c:pt>
                <c:pt idx="23">
                  <c:v>Shared e-scooter (new generation) - 50% higher daily e-scooter distance</c:v>
                </c:pt>
                <c:pt idx="24">
                  <c:v>Shared e-scooter (new generation) - Low carbon Al smelting</c:v>
                </c:pt>
                <c:pt idx="25">
                  <c:v>Shared e-scooter (new generation) - Low-carbon EVs for operational services</c:v>
                </c:pt>
                <c:pt idx="26">
                  <c:v>Shared e-scooter (new generation) - 50% more vehicles per servicing trip</c:v>
                </c:pt>
                <c:pt idx="27">
                  <c:v>Shared e-scooter (new generation) - Central case</c:v>
                </c:pt>
                <c:pt idx="28">
                  <c:v>Shared e-scooter (Hollingsworth et al. 2019 simulation)</c:v>
                </c:pt>
                <c:pt idx="29">
                  <c:v>Private bike</c:v>
                </c:pt>
                <c:pt idx="30">
                  <c:v>Private e-bike</c:v>
                </c:pt>
                <c:pt idx="31">
                  <c:v>Shared bike</c:v>
                </c:pt>
                <c:pt idx="32">
                  <c:v>Shared e-bike</c:v>
                </c:pt>
                <c:pt idx="33">
                  <c:v>Private moped - ICE</c:v>
                </c:pt>
                <c:pt idx="34">
                  <c:v>Private moped - BEV</c:v>
                </c:pt>
                <c:pt idx="35">
                  <c:v>Shared moped - ICE</c:v>
                </c:pt>
                <c:pt idx="36">
                  <c:v>Shared moped - BEV</c:v>
                </c:pt>
                <c:pt idx="37">
                  <c:v>Private car - ICE</c:v>
                </c:pt>
                <c:pt idx="38">
                  <c:v>Private car - HEV</c:v>
                </c:pt>
                <c:pt idx="39">
                  <c:v>Private car - PHEV</c:v>
                </c:pt>
                <c:pt idx="40">
                  <c:v>AVAILABLE</c:v>
                </c:pt>
                <c:pt idx="41">
                  <c:v>Private car - BEV (high carbon intensity of electricity in use phase)</c:v>
                </c:pt>
                <c:pt idx="42">
                  <c:v>Private car - BEV (low carbon intensity of electricity in use phase)</c:v>
                </c:pt>
                <c:pt idx="43">
                  <c:v>Private car - BEV (Lower carbon intensity of battery manufacturing)</c:v>
                </c:pt>
                <c:pt idx="44">
                  <c:v>Private car - BEV (25% smaller battery)</c:v>
                </c:pt>
                <c:pt idx="45">
                  <c:v>Private car - BEV (25% larger battery)</c:v>
                </c:pt>
                <c:pt idx="46">
                  <c:v>Private car - BEV</c:v>
                </c:pt>
                <c:pt idx="47">
                  <c:v>Private car - FCEV (hydrogen from electrolysis, 100% natural gas electricity)</c:v>
                </c:pt>
                <c:pt idx="48">
                  <c:v>Private car - FCEV (hydrogen from electrolysis, 100% renewable electricity)</c:v>
                </c:pt>
                <c:pt idx="49">
                  <c:v>Private car - FCEV (hydrogen from electrolysis, global grid mix)</c:v>
                </c:pt>
                <c:pt idx="50">
                  <c:v>Private car - FCEV</c:v>
                </c:pt>
                <c:pt idx="51">
                  <c:v>Ridesourcing - car - ICE (25% lower deadheading km share and 2.25 passengers)</c:v>
                </c:pt>
                <c:pt idx="52">
                  <c:v>Ridesourcing - car - ICE (average load, 25% higher deadheading km share)</c:v>
                </c:pt>
                <c:pt idx="53">
                  <c:v>Ridesourcing - car - ICE (average load, 25% lower deadheading km share)</c:v>
                </c:pt>
                <c:pt idx="54">
                  <c:v>Ridesourcing - car - ICE (single passenger on board, no change in deadheading km share)</c:v>
                </c:pt>
                <c:pt idx="55">
                  <c:v>Ridesourcing - car - ICE (two passengers on board, no change in deadheading km share)</c:v>
                </c:pt>
                <c:pt idx="56">
                  <c:v>Ridesourcing - car - ICE (25% higher average load: 1,94 passengers on board, no change in deadheading km share)</c:v>
                </c:pt>
                <c:pt idx="57">
                  <c:v>Ridesourcing - car - ICE</c:v>
                </c:pt>
                <c:pt idx="58">
                  <c:v>Ridesourcing - car - HEV</c:v>
                </c:pt>
                <c:pt idx="59">
                  <c:v>Ridesourcing - car - PHEV</c:v>
                </c:pt>
                <c:pt idx="60">
                  <c:v>Ridesourcing - car - BEV single passenger on board, no change in deadheading km share)</c:v>
                </c:pt>
                <c:pt idx="61">
                  <c:v>Ridesourcing - car - BEV two passengers on board, no change in deadheading km share)</c:v>
                </c:pt>
                <c:pt idx="62">
                  <c:v>Ridesourcing - car - BEV 25% higher average load: 1,94 passengers on board, no change in deadheading km share)</c:v>
                </c:pt>
                <c:pt idx="63">
                  <c:v>Ridesourcing - car - BEV (high carbon intensity of electricity in use phase)</c:v>
                </c:pt>
                <c:pt idx="64">
                  <c:v>Ridesourcing - car - BEV (low carbon intensity of electricity in use phase)</c:v>
                </c:pt>
                <c:pt idx="65">
                  <c:v>Ridesourcing - car - BEV (Lower carbon intensity of battery manufacturing)</c:v>
                </c:pt>
                <c:pt idx="66">
                  <c:v>Ridesourcing - car - BEV (25% smaller battery)</c:v>
                </c:pt>
                <c:pt idx="67">
                  <c:v>Ridesourcing - car - BEV (25% larger battery)</c:v>
                </c:pt>
                <c:pt idx="68">
                  <c:v>Ridesourcing - car - BEV</c:v>
                </c:pt>
                <c:pt idx="69">
                  <c:v>Ridesourcing - car - BEV (two packs) single passenger on board, no change in deadheading km share)</c:v>
                </c:pt>
                <c:pt idx="70">
                  <c:v>Ridesourcing - car - BEV (two packs) two passengers on board, no change in deadheading km share)</c:v>
                </c:pt>
                <c:pt idx="71">
                  <c:v>Ridesourcing - car - BEV (two packs) 25% higher average load: 1,94 passengers on board, no change in deadheading km share)</c:v>
                </c:pt>
                <c:pt idx="72">
                  <c:v>Ridesourcing - car - BEV (two packs) (high carbon intensity of electricity in use phase)</c:v>
                </c:pt>
                <c:pt idx="73">
                  <c:v>Ridesourcing - car - BEV (two packs) (low carbon intensity of electricity in use phase)</c:v>
                </c:pt>
                <c:pt idx="74">
                  <c:v>Ridesourcing - car - BEV (two packs) (Lower carbon intensity of battery manufacturing)</c:v>
                </c:pt>
                <c:pt idx="75">
                  <c:v>Ridesourcing - car - BEV (two packs) (25% smaller battery)</c:v>
                </c:pt>
                <c:pt idx="76">
                  <c:v>Ridesourcing - car - BEV (two packs) (25% larger battery)</c:v>
                </c:pt>
                <c:pt idx="77">
                  <c:v>Ridesourcing - car - BEV (two packs)</c:v>
                </c:pt>
                <c:pt idx="78">
                  <c:v>Ridesourcing car - FCEV (hydrogen from electrolysis, 100% natural gas electricity)</c:v>
                </c:pt>
                <c:pt idx="79">
                  <c:v>Ridesourcing car - FCEV (hydrogen from electrolysis, 100% renewable electricity)</c:v>
                </c:pt>
                <c:pt idx="80">
                  <c:v>Ridesourcing car - FCEV (hydrogen from electrolysis, global grid mix)</c:v>
                </c:pt>
                <c:pt idx="81">
                  <c:v>Ridesourcing - car - FCEV</c:v>
                </c:pt>
                <c:pt idx="82">
                  <c:v>Taxi  ICE</c:v>
                </c:pt>
                <c:pt idx="83">
                  <c:v>Taxi  HEV</c:v>
                </c:pt>
                <c:pt idx="84">
                  <c:v>Taxi  PHEV</c:v>
                </c:pt>
                <c:pt idx="85">
                  <c:v>Taxi  BEV</c:v>
                </c:pt>
                <c:pt idx="86">
                  <c:v>Taxi  BEV (two packs)</c:v>
                </c:pt>
                <c:pt idx="87">
                  <c:v>Taxi - FCEV</c:v>
                </c:pt>
                <c:pt idx="88">
                  <c:v>Large Private car - ICE</c:v>
                </c:pt>
                <c:pt idx="89">
                  <c:v>Large Private car - HEV</c:v>
                </c:pt>
                <c:pt idx="90">
                  <c:v>Large Private car - PHEV</c:v>
                </c:pt>
                <c:pt idx="91">
                  <c:v>Large Private car - BEV</c:v>
                </c:pt>
                <c:pt idx="92">
                  <c:v>Large Private car - FCEV</c:v>
                </c:pt>
                <c:pt idx="93">
                  <c:v>Ridesourcing - Large car - ICE</c:v>
                </c:pt>
                <c:pt idx="94">
                  <c:v>Ridesourcing - Large car - HEV</c:v>
                </c:pt>
                <c:pt idx="95">
                  <c:v>Ridesourcing - Large car - PHEV</c:v>
                </c:pt>
                <c:pt idx="96">
                  <c:v>Ridesourcing - Large car - BEV</c:v>
                </c:pt>
                <c:pt idx="97">
                  <c:v>Ridesourcing - Large car - BEV (two packs)</c:v>
                </c:pt>
                <c:pt idx="98">
                  <c:v>Ridesourcing - Large car - FCEV</c:v>
                </c:pt>
                <c:pt idx="99">
                  <c:v>Ridesourcing - Shared van - ICE</c:v>
                </c:pt>
                <c:pt idx="100">
                  <c:v>Ridesourcing - Shared van - HEV</c:v>
                </c:pt>
                <c:pt idx="101">
                  <c:v>Ridesourcing - Shared van - PHEV</c:v>
                </c:pt>
                <c:pt idx="102">
                  <c:v>Ridesourcing - Shared van - BEV</c:v>
                </c:pt>
                <c:pt idx="103">
                  <c:v>Ridesourcing - Shared van - BEV (two packs)</c:v>
                </c:pt>
                <c:pt idx="104">
                  <c:v>Ridesourcing - Shared van - FCEV</c:v>
                </c:pt>
                <c:pt idx="105">
                  <c:v>Ridesourcing - Shared minibus - ICE</c:v>
                </c:pt>
                <c:pt idx="106">
                  <c:v>Ridesourcing - Shared minibus - HEV</c:v>
                </c:pt>
                <c:pt idx="108">
                  <c:v>Ridesourcing - Shared minibus - BEV</c:v>
                </c:pt>
                <c:pt idx="109">
                  <c:v>Ridesourcing - Shared minibus - BEV (two packs)</c:v>
                </c:pt>
                <c:pt idx="110">
                  <c:v>Ridesourcing - Shared minibus - FCEV</c:v>
                </c:pt>
                <c:pt idx="111">
                  <c:v>Bus - ICE (lifetime 25% lower)</c:v>
                </c:pt>
                <c:pt idx="112">
                  <c:v>Bus - ICE (lifetime 25% larger)</c:v>
                </c:pt>
                <c:pt idx="113">
                  <c:v>Bus - ICE (100% bus lane)</c:v>
                </c:pt>
                <c:pt idx="114">
                  <c:v>Bus - ICE (deadheading doubled)</c:v>
                </c:pt>
                <c:pt idx="115">
                  <c:v>Bus - ICE (ridership down by 50%)</c:v>
                </c:pt>
                <c:pt idx="116">
                  <c:v>Bus - ICE (ridership up by 50%)</c:v>
                </c:pt>
                <c:pt idx="117">
                  <c:v>Bus - ICE</c:v>
                </c:pt>
                <c:pt idx="118">
                  <c:v>Bus - HEV</c:v>
                </c:pt>
                <c:pt idx="119">
                  <c:v>Bus - BEV (two packs, 100% zero-carbon electricity)</c:v>
                </c:pt>
                <c:pt idx="120">
                  <c:v>Bus - BEV (two packs)</c:v>
                </c:pt>
                <c:pt idx="121">
                  <c:v>Bus - BEV</c:v>
                </c:pt>
                <c:pt idx="122">
                  <c:v>Bus - FCEV, hydrogen from electrolysis (100% zero-carbon electricity)</c:v>
                </c:pt>
                <c:pt idx="123">
                  <c:v>Bus - FCEV</c:v>
                </c:pt>
                <c:pt idx="124">
                  <c:v>Metro/urban train (infrastructure lifetime 25% higher)</c:v>
                </c:pt>
                <c:pt idx="125">
                  <c:v>Metro/urban train (infrastructure lifetime 25% lower)</c:v>
                </c:pt>
                <c:pt idx="126">
                  <c:v>Metro/urban train (network usage frequency down by 25%)</c:v>
                </c:pt>
                <c:pt idx="127">
                  <c:v>Metro/urban train (network usage frequency up by 25%)</c:v>
                </c:pt>
                <c:pt idx="128">
                  <c:v>Metro/urban train (ridership per train down by 50%)</c:v>
                </c:pt>
                <c:pt idx="129">
                  <c:v>Metro/urban train (ridership per train up by 50%)</c:v>
                </c:pt>
                <c:pt idx="130">
                  <c:v>Metro/urban train</c:v>
                </c:pt>
              </c:strCache>
            </c:strRef>
          </c:cat>
          <c:val>
            <c:numRef>
              <c:f>'0_Total'!$D$103:$ED$103</c:f>
              <c:numCache>
                <c:formatCode>General</c:formatCode>
                <c:ptCount val="131"/>
                <c:pt idx="0">
                  <c:v>9.4409392749428456</c:v>
                </c:pt>
                <c:pt idx="1">
                  <c:v>9.4409392749428456</c:v>
                </c:pt>
                <c:pt idx="2">
                  <c:v>9.4409392749428456</c:v>
                </c:pt>
                <c:pt idx="3">
                  <c:v>9.4409392749428456</c:v>
                </c:pt>
                <c:pt idx="4">
                  <c:v>9.4409392749428456</c:v>
                </c:pt>
                <c:pt idx="5">
                  <c:v>9.4409392749428456</c:v>
                </c:pt>
                <c:pt idx="6">
                  <c:v>9.4409392749428456</c:v>
                </c:pt>
                <c:pt idx="7">
                  <c:v>9.4409392749428456</c:v>
                </c:pt>
                <c:pt idx="8">
                  <c:v>9.4409392749428456</c:v>
                </c:pt>
                <c:pt idx="9">
                  <c:v>9.4409392749428456</c:v>
                </c:pt>
                <c:pt idx="10">
                  <c:v>9.4409392749428456</c:v>
                </c:pt>
                <c:pt idx="11">
                  <c:v>9.4409392749428456</c:v>
                </c:pt>
                <c:pt idx="12">
                  <c:v>9.4409392749428456</c:v>
                </c:pt>
                <c:pt idx="13">
                  <c:v>9.4409392749428456</c:v>
                </c:pt>
                <c:pt idx="14">
                  <c:v>9.4409392749428456</c:v>
                </c:pt>
                <c:pt idx="15">
                  <c:v>9.4409392749428456</c:v>
                </c:pt>
                <c:pt idx="16">
                  <c:v>9.4493582127681535</c:v>
                </c:pt>
                <c:pt idx="17">
                  <c:v>9.4493582127681535</c:v>
                </c:pt>
                <c:pt idx="18">
                  <c:v>9.4409392749428456</c:v>
                </c:pt>
                <c:pt idx="19">
                  <c:v>9.4409392749428456</c:v>
                </c:pt>
                <c:pt idx="20">
                  <c:v>9.4835085147745115</c:v>
                </c:pt>
                <c:pt idx="21">
                  <c:v>9.4835085147745115</c:v>
                </c:pt>
                <c:pt idx="22">
                  <c:v>9.4835085147745115</c:v>
                </c:pt>
                <c:pt idx="23">
                  <c:v>9.4835085147745115</c:v>
                </c:pt>
                <c:pt idx="24">
                  <c:v>9.4835085147745115</c:v>
                </c:pt>
                <c:pt idx="25">
                  <c:v>9.4835085147745115</c:v>
                </c:pt>
                <c:pt idx="26">
                  <c:v>9.4835085147745115</c:v>
                </c:pt>
                <c:pt idx="27">
                  <c:v>9.4835085147745115</c:v>
                </c:pt>
                <c:pt idx="28">
                  <c:v>9.4409392749428456</c:v>
                </c:pt>
                <c:pt idx="29">
                  <c:v>9.471154571397097</c:v>
                </c:pt>
                <c:pt idx="30">
                  <c:v>9.4793603097639458</c:v>
                </c:pt>
                <c:pt idx="31">
                  <c:v>9.4896885706026097</c:v>
                </c:pt>
                <c:pt idx="32">
                  <c:v>9.5026866330964577</c:v>
                </c:pt>
                <c:pt idx="33">
                  <c:v>11.394557604754132</c:v>
                </c:pt>
                <c:pt idx="34">
                  <c:v>11.354081196149926</c:v>
                </c:pt>
                <c:pt idx="35">
                  <c:v>11.394557604754132</c:v>
                </c:pt>
                <c:pt idx="36">
                  <c:v>11.354081196149926</c:v>
                </c:pt>
                <c:pt idx="37">
                  <c:v>12.476457294127272</c:v>
                </c:pt>
                <c:pt idx="38">
                  <c:v>12.716888018619265</c:v>
                </c:pt>
                <c:pt idx="39">
                  <c:v>12.937036533686294</c:v>
                </c:pt>
                <c:pt idx="40">
                  <c:v>12.197157451329351</c:v>
                </c:pt>
                <c:pt idx="41">
                  <c:v>12.197157451329351</c:v>
                </c:pt>
                <c:pt idx="42">
                  <c:v>12.197157451329351</c:v>
                </c:pt>
                <c:pt idx="43">
                  <c:v>12.197157451329351</c:v>
                </c:pt>
                <c:pt idx="44">
                  <c:v>12.197157451329351</c:v>
                </c:pt>
                <c:pt idx="45">
                  <c:v>12.197157451329351</c:v>
                </c:pt>
                <c:pt idx="46">
                  <c:v>12.197157451329351</c:v>
                </c:pt>
                <c:pt idx="47">
                  <c:v>12.984188392693992</c:v>
                </c:pt>
                <c:pt idx="48">
                  <c:v>12.984188392693992</c:v>
                </c:pt>
                <c:pt idx="49">
                  <c:v>12.984188392693992</c:v>
                </c:pt>
                <c:pt idx="50">
                  <c:v>12.984188392693992</c:v>
                </c:pt>
                <c:pt idx="51">
                  <c:v>12.147334446495694</c:v>
                </c:pt>
                <c:pt idx="52">
                  <c:v>24.205612188838192</c:v>
                </c:pt>
                <c:pt idx="53">
                  <c:v>17.63322742233246</c:v>
                </c:pt>
                <c:pt idx="54">
                  <c:v>31.624956921049129</c:v>
                </c:pt>
                <c:pt idx="55">
                  <c:v>15.812478460524565</c:v>
                </c:pt>
                <c:pt idx="56">
                  <c:v>16.322558410864065</c:v>
                </c:pt>
                <c:pt idx="57">
                  <c:v>20.403198013580084</c:v>
                </c:pt>
                <c:pt idx="58">
                  <c:v>20.796382999086166</c:v>
                </c:pt>
                <c:pt idx="59">
                  <c:v>21.156399760208132</c:v>
                </c:pt>
                <c:pt idx="60">
                  <c:v>30.916995895871118</c:v>
                </c:pt>
                <c:pt idx="61">
                  <c:v>15.458497947935559</c:v>
                </c:pt>
                <c:pt idx="62">
                  <c:v>15.957159172062511</c:v>
                </c:pt>
                <c:pt idx="63">
                  <c:v>19.94644896507814</c:v>
                </c:pt>
                <c:pt idx="64">
                  <c:v>19.94644896507814</c:v>
                </c:pt>
                <c:pt idx="65">
                  <c:v>19.94644896507814</c:v>
                </c:pt>
                <c:pt idx="66">
                  <c:v>19.94644896507814</c:v>
                </c:pt>
                <c:pt idx="67">
                  <c:v>19.94644896507814</c:v>
                </c:pt>
                <c:pt idx="68">
                  <c:v>19.94644896507814</c:v>
                </c:pt>
                <c:pt idx="69">
                  <c:v>30.916995895871118</c:v>
                </c:pt>
                <c:pt idx="70">
                  <c:v>15.458497947935559</c:v>
                </c:pt>
                <c:pt idx="71">
                  <c:v>15.957159172062511</c:v>
                </c:pt>
                <c:pt idx="72">
                  <c:v>19.94644896507814</c:v>
                </c:pt>
                <c:pt idx="73">
                  <c:v>19.94644896507814</c:v>
                </c:pt>
                <c:pt idx="74">
                  <c:v>19.94644896507814</c:v>
                </c:pt>
                <c:pt idx="75">
                  <c:v>19.94644896507814</c:v>
                </c:pt>
                <c:pt idx="76">
                  <c:v>19.94644896507814</c:v>
                </c:pt>
                <c:pt idx="77">
                  <c:v>19.94644896507814</c:v>
                </c:pt>
                <c:pt idx="78">
                  <c:v>18.023609971415254</c:v>
                </c:pt>
                <c:pt idx="79">
                  <c:v>18.023609971415254</c:v>
                </c:pt>
                <c:pt idx="80">
                  <c:v>18.023609971415254</c:v>
                </c:pt>
                <c:pt idx="81">
                  <c:v>21.233508886089187</c:v>
                </c:pt>
                <c:pt idx="82">
                  <c:v>26.504773338581245</c:v>
                </c:pt>
                <c:pt idx="83">
                  <c:v>27.01554027394284</c:v>
                </c:pt>
                <c:pt idx="84">
                  <c:v>27.48322002911047</c:v>
                </c:pt>
                <c:pt idx="85">
                  <c:v>25.911433510427884</c:v>
                </c:pt>
                <c:pt idx="86">
                  <c:v>25.911433510427884</c:v>
                </c:pt>
                <c:pt idx="87">
                  <c:v>27.58338863515219</c:v>
                </c:pt>
                <c:pt idx="88">
                  <c:v>13.588504018815213</c:v>
                </c:pt>
                <c:pt idx="89">
                  <c:v>13.875075274876075</c:v>
                </c:pt>
                <c:pt idx="90">
                  <c:v>14.136501636518176</c:v>
                </c:pt>
                <c:pt idx="91">
                  <c:v>13.256105319669301</c:v>
                </c:pt>
                <c:pt idx="92">
                  <c:v>14.249525493909287</c:v>
                </c:pt>
                <c:pt idx="93">
                  <c:v>22.221767899988556</c:v>
                </c:pt>
                <c:pt idx="94">
                  <c:v>22.690408151349207</c:v>
                </c:pt>
                <c:pt idx="95">
                  <c:v>23.117928055181544</c:v>
                </c:pt>
                <c:pt idx="96">
                  <c:v>21.678184387598165</c:v>
                </c:pt>
                <c:pt idx="97">
                  <c:v>21.678184387598165</c:v>
                </c:pt>
                <c:pt idx="98">
                  <c:v>23.30276002216106</c:v>
                </c:pt>
                <c:pt idx="99">
                  <c:v>6.0044203845842832</c:v>
                </c:pt>
                <c:pt idx="100">
                  <c:v>6.131049061968139</c:v>
                </c:pt>
                <c:pt idx="101">
                  <c:v>6.2465668388137754</c:v>
                </c:pt>
                <c:pt idx="102">
                  <c:v>5.8575417052096102</c:v>
                </c:pt>
                <c:pt idx="103">
                  <c:v>5.8575417052096102</c:v>
                </c:pt>
                <c:pt idx="104">
                  <c:v>6.2965092572230317</c:v>
                </c:pt>
                <c:pt idx="105">
                  <c:v>3.5717168242525923</c:v>
                </c:pt>
                <c:pt idx="106">
                  <c:v>3.5994059437926644</c:v>
                </c:pt>
                <c:pt idx="108">
                  <c:v>3.30949292679554</c:v>
                </c:pt>
                <c:pt idx="109">
                  <c:v>3.30949292679554</c:v>
                </c:pt>
                <c:pt idx="110">
                  <c:v>3.5010144880862284</c:v>
                </c:pt>
                <c:pt idx="111">
                  <c:v>3.6024452385780199</c:v>
                </c:pt>
                <c:pt idx="112">
                  <c:v>3.6024452385780199</c:v>
                </c:pt>
                <c:pt idx="113">
                  <c:v>15.378021549178094</c:v>
                </c:pt>
                <c:pt idx="114">
                  <c:v>3.9626897624358226</c:v>
                </c:pt>
                <c:pt idx="115">
                  <c:v>7.2048904771560398</c:v>
                </c:pt>
                <c:pt idx="116">
                  <c:v>2.4016301590520137</c:v>
                </c:pt>
                <c:pt idx="117">
                  <c:v>3.6024452385780199</c:v>
                </c:pt>
                <c:pt idx="118">
                  <c:v>3.5574070420397113</c:v>
                </c:pt>
                <c:pt idx="119">
                  <c:v>3.9264293380027726</c:v>
                </c:pt>
                <c:pt idx="120">
                  <c:v>3.9264293380027726</c:v>
                </c:pt>
                <c:pt idx="121">
                  <c:v>3.9264293380027726</c:v>
                </c:pt>
                <c:pt idx="122">
                  <c:v>4.0625475229856942</c:v>
                </c:pt>
                <c:pt idx="123">
                  <c:v>4.0625475229856942</c:v>
                </c:pt>
                <c:pt idx="124">
                  <c:v>8.8027234028980494</c:v>
                </c:pt>
                <c:pt idx="125">
                  <c:v>14.671205671496748</c:v>
                </c:pt>
                <c:pt idx="126">
                  <c:v>14.671205671496748</c:v>
                </c:pt>
                <c:pt idx="127">
                  <c:v>8.8027234028980494</c:v>
                </c:pt>
                <c:pt idx="128">
                  <c:v>14.671205671496748</c:v>
                </c:pt>
                <c:pt idx="129">
                  <c:v>8.8027234028980494</c:v>
                </c:pt>
                <c:pt idx="130">
                  <c:v>11.003404253622561</c:v>
                </c:pt>
              </c:numCache>
            </c:numRef>
          </c:val>
          <c:extLst>
            <c:ext xmlns:c16="http://schemas.microsoft.com/office/drawing/2014/chart" uri="{C3380CC4-5D6E-409C-BE32-E72D297353CC}">
              <c16:uniqueId val="{00000004-4B89-4E97-A8D0-4FD153A3B287}"/>
            </c:ext>
          </c:extLst>
        </c:ser>
        <c:dLbls>
          <c:showLegendKey val="0"/>
          <c:showVal val="0"/>
          <c:showCatName val="0"/>
          <c:showSerName val="0"/>
          <c:showPercent val="0"/>
          <c:showBubbleSize val="0"/>
        </c:dLbls>
        <c:gapWidth val="150"/>
        <c:overlap val="100"/>
        <c:axId val="116785920"/>
        <c:axId val="116787456"/>
      </c:barChart>
      <c:catAx>
        <c:axId val="116785920"/>
        <c:scaling>
          <c:orientation val="minMax"/>
        </c:scaling>
        <c:delete val="0"/>
        <c:axPos val="b"/>
        <c:numFmt formatCode="General" sourceLinked="0"/>
        <c:majorTickMark val="out"/>
        <c:minorTickMark val="none"/>
        <c:tickLblPos val="nextTo"/>
        <c:crossAx val="116787456"/>
        <c:crosses val="autoZero"/>
        <c:auto val="1"/>
        <c:lblAlgn val="ctr"/>
        <c:lblOffset val="100"/>
        <c:noMultiLvlLbl val="0"/>
      </c:catAx>
      <c:valAx>
        <c:axId val="116787456"/>
        <c:scaling>
          <c:orientation val="minMax"/>
        </c:scaling>
        <c:delete val="0"/>
        <c:axPos val="l"/>
        <c:majorGridlines/>
        <c:title>
          <c:tx>
            <c:rich>
              <a:bodyPr rot="-5400000" vert="horz"/>
              <a:lstStyle/>
              <a:p>
                <a:pPr>
                  <a:defRPr/>
                </a:pPr>
                <a:r>
                  <a:rPr lang="en-US"/>
                  <a:t>GHG emissions per pkm [g CO2/pkm, %]</a:t>
                </a:r>
              </a:p>
            </c:rich>
          </c:tx>
          <c:overlay val="0"/>
        </c:title>
        <c:numFmt formatCode="0%" sourceLinked="1"/>
        <c:majorTickMark val="out"/>
        <c:minorTickMark val="none"/>
        <c:tickLblPos val="nextTo"/>
        <c:crossAx val="116785920"/>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B'!$P$44</c:f>
              <c:strCache>
                <c:ptCount val="1"/>
                <c:pt idx="0">
                  <c:v>Private car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B604-4F42-B11E-0A3D75783E57}"/>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B604-4F42-B11E-0A3D75783E57}"/>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B604-4F42-B11E-0A3D75783E57}"/>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B604-4F42-B11E-0A3D75783E57}"/>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B604-4F42-B11E-0A3D75783E57}"/>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B604-4F42-B11E-0A3D75783E57}"/>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B604-4F42-B11E-0A3D75783E57}"/>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B604-4F42-B11E-0A3D75783E57}"/>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B604-4F42-B11E-0A3D75783E57}"/>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B604-4F42-B11E-0A3D75783E57}"/>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B'!$P$45:$P$55</c:f>
              <c:numCache>
                <c:formatCode>0</c:formatCode>
                <c:ptCount val="5"/>
                <c:pt idx="0">
                  <c:v>41.64927411276431</c:v>
                </c:pt>
                <c:pt idx="1">
                  <c:v>16.426508205516896</c:v>
                </c:pt>
                <c:pt idx="2">
                  <c:v>12.197157451329351</c:v>
                </c:pt>
                <c:pt idx="3">
                  <c:v>0</c:v>
                </c:pt>
                <c:pt idx="4">
                  <c:v>71.988017215883843</c:v>
                </c:pt>
              </c:numCache>
            </c:numRef>
          </c:val>
          <c:extLst>
            <c:ext xmlns:c16="http://schemas.microsoft.com/office/drawing/2014/chart" uri="{C3380CC4-5D6E-409C-BE32-E72D297353CC}">
              <c16:uniqueId val="{00000040-B604-4F42-B11E-0A3D75783E57}"/>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B'!$D$44</c:f>
              <c:strCache>
                <c:ptCount val="1"/>
                <c:pt idx="0">
                  <c:v>Shared e-scooter (first generation)</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1DBC-446A-929C-D042A305B7C6}"/>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1DBC-446A-929C-D042A305B7C6}"/>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1DBC-446A-929C-D042A305B7C6}"/>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1DBC-446A-929C-D042A305B7C6}"/>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1DBC-446A-929C-D042A305B7C6}"/>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1DBC-446A-929C-D042A305B7C6}"/>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1DBC-446A-929C-D042A305B7C6}"/>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1DBC-446A-929C-D042A305B7C6}"/>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1DBC-446A-929C-D042A305B7C6}"/>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1DBC-446A-929C-D042A305B7C6}"/>
              </c:ext>
            </c:extLst>
          </c:dPt>
          <c:dLbls>
            <c:delete val="1"/>
          </c:dLbls>
          <c:cat>
            <c:strRef>
              <c:f>'Figure_15_GHG_per_pkm_shares B'!$B$45:$B$48</c:f>
              <c:strCache>
                <c:ptCount val="4"/>
                <c:pt idx="0">
                  <c:v>Vehicle component</c:v>
                </c:pt>
                <c:pt idx="1">
                  <c:v>Fuel component</c:v>
                </c:pt>
                <c:pt idx="2">
                  <c:v>Infrastructure component</c:v>
                </c:pt>
                <c:pt idx="3">
                  <c:v>Operational services</c:v>
                </c:pt>
              </c:strCache>
            </c:strRef>
          </c:cat>
          <c:val>
            <c:numRef>
              <c:f>'Figure_15_GHG_per_pkm_shares B'!$D$45:$D$48</c:f>
              <c:numCache>
                <c:formatCode>0</c:formatCode>
                <c:ptCount val="4"/>
                <c:pt idx="0">
                  <c:v>71.455666502830198</c:v>
                </c:pt>
                <c:pt idx="1">
                  <c:v>1.4239176699373322</c:v>
                </c:pt>
                <c:pt idx="2">
                  <c:v>9.4409392749428456</c:v>
                </c:pt>
                <c:pt idx="3">
                  <c:v>34.727515897616378</c:v>
                </c:pt>
              </c:numCache>
            </c:numRef>
          </c:val>
          <c:extLst>
            <c:ext xmlns:c16="http://schemas.microsoft.com/office/drawing/2014/chart" uri="{C3380CC4-5D6E-409C-BE32-E72D297353CC}">
              <c16:uniqueId val="{0000002A-1DBC-446A-929C-D042A305B7C6}"/>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B'!$G$44</c:f>
              <c:strCache>
                <c:ptCount val="1"/>
                <c:pt idx="0">
                  <c:v>Private e-bike</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6620-409D-99CF-FAD3316EE766}"/>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6620-409D-99CF-FAD3316EE766}"/>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6620-409D-99CF-FAD3316EE766}"/>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6620-409D-99CF-FAD3316EE766}"/>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6620-409D-99CF-FAD3316EE766}"/>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6620-409D-99CF-FAD3316EE766}"/>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6620-409D-99CF-FAD3316EE766}"/>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6620-409D-99CF-FAD3316EE766}"/>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6620-409D-99CF-FAD3316EE766}"/>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6620-409D-99CF-FAD3316EE766}"/>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B'!$G$45:$G$55</c:f>
              <c:numCache>
                <c:formatCode>0</c:formatCode>
                <c:ptCount val="5"/>
                <c:pt idx="0">
                  <c:v>12.537922665474529</c:v>
                </c:pt>
                <c:pt idx="1">
                  <c:v>2.7183882789712701</c:v>
                </c:pt>
                <c:pt idx="2">
                  <c:v>9.4793603097639458</c:v>
                </c:pt>
                <c:pt idx="3">
                  <c:v>0</c:v>
                </c:pt>
                <c:pt idx="4">
                  <c:v>49.319363924740188</c:v>
                </c:pt>
              </c:numCache>
            </c:numRef>
          </c:val>
          <c:extLst>
            <c:ext xmlns:c16="http://schemas.microsoft.com/office/drawing/2014/chart" uri="{C3380CC4-5D6E-409C-BE32-E72D297353CC}">
              <c16:uniqueId val="{00000040-6620-409D-99CF-FAD3316EE766}"/>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B'!$C$44</c:f>
              <c:strCache>
                <c:ptCount val="1"/>
                <c:pt idx="0">
                  <c:v>Private e-scooter</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8602-4CD3-A727-8A5155F5C3EC}"/>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8602-4CD3-A727-8A5155F5C3EC}"/>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8602-4CD3-A727-8A5155F5C3EC}"/>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8602-4CD3-A727-8A5155F5C3EC}"/>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8602-4CD3-A727-8A5155F5C3EC}"/>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8602-4CD3-A727-8A5155F5C3EC}"/>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8602-4CD3-A727-8A5155F5C3EC}"/>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8602-4CD3-A727-8A5155F5C3EC}"/>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8602-4CD3-A727-8A5155F5C3EC}"/>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8602-4CD3-A727-8A5155F5C3EC}"/>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B'!$C$45:$C$55</c:f>
              <c:numCache>
                <c:formatCode>0</c:formatCode>
                <c:ptCount val="5"/>
                <c:pt idx="0">
                  <c:v>26.164322330581768</c:v>
                </c:pt>
                <c:pt idx="1">
                  <c:v>1.4239176699373322</c:v>
                </c:pt>
                <c:pt idx="2">
                  <c:v>9.4409392749428456</c:v>
                </c:pt>
                <c:pt idx="3">
                  <c:v>0</c:v>
                </c:pt>
                <c:pt idx="4">
                  <c:v>80.018860069864829</c:v>
                </c:pt>
              </c:numCache>
            </c:numRef>
          </c:val>
          <c:extLst>
            <c:ext xmlns:c16="http://schemas.microsoft.com/office/drawing/2014/chart" uri="{C3380CC4-5D6E-409C-BE32-E72D297353CC}">
              <c16:uniqueId val="{00000040-8602-4CD3-A727-8A5155F5C3EC}"/>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B'!$W$44</c:f>
              <c:strCache>
                <c:ptCount val="1"/>
                <c:pt idx="0">
                  <c:v>Ridesourcing - car -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5A52-4A70-ADCC-339CB22504E0}"/>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5A52-4A70-ADCC-339CB22504E0}"/>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5A52-4A70-ADCC-339CB22504E0}"/>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5A52-4A70-ADCC-339CB22504E0}"/>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5A52-4A70-ADCC-339CB22504E0}"/>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5A52-4A70-ADCC-339CB22504E0}"/>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5A52-4A70-ADCC-339CB22504E0}"/>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5A52-4A70-ADCC-339CB22504E0}"/>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5A52-4A70-ADCC-339CB22504E0}"/>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5A52-4A70-ADCC-339CB22504E0}"/>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B'!$W$45:$W$55</c:f>
              <c:numCache>
                <c:formatCode>0</c:formatCode>
                <c:ptCount val="5"/>
                <c:pt idx="0">
                  <c:v>24.220828487012707</c:v>
                </c:pt>
                <c:pt idx="1">
                  <c:v>90.564304877419374</c:v>
                </c:pt>
                <c:pt idx="2">
                  <c:v>20.796382999086166</c:v>
                </c:pt>
                <c:pt idx="3">
                  <c:v>83.169954927466094</c:v>
                </c:pt>
                <c:pt idx="4">
                  <c:v>64.59890359941005</c:v>
                </c:pt>
              </c:numCache>
            </c:numRef>
          </c:val>
          <c:extLst>
            <c:ext xmlns:c16="http://schemas.microsoft.com/office/drawing/2014/chart" uri="{C3380CC4-5D6E-409C-BE32-E72D297353CC}">
              <c16:uniqueId val="{0000002A-5A52-4A70-ADCC-339CB22504E0}"/>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B'!$Z$44</c:f>
              <c:strCache>
                <c:ptCount val="1"/>
                <c:pt idx="0">
                  <c:v>Ridesourcing - car - BEV (two packs)</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2D-A658-4BC5-AEAC-7F199632C08B}"/>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2F-A658-4BC5-AEAC-7F199632C08B}"/>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31-A658-4BC5-AEAC-7F199632C08B}"/>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33-A658-4BC5-AEAC-7F199632C08B}"/>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35-A658-4BC5-AEAC-7F199632C08B}"/>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37-A658-4BC5-AEAC-7F199632C08B}"/>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39-A658-4BC5-AEAC-7F199632C08B}"/>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3B-A658-4BC5-AEAC-7F199632C08B}"/>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3D-A658-4BC5-AEAC-7F199632C08B}"/>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3F-A658-4BC5-AEAC-7F199632C08B}"/>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B'!$Z$45:$Z$55</c:f>
              <c:numCache>
                <c:formatCode>0</c:formatCode>
                <c:ptCount val="5"/>
                <c:pt idx="0">
                  <c:v>62.392606772849085</c:v>
                </c:pt>
                <c:pt idx="1">
                  <c:v>15.896620844048607</c:v>
                </c:pt>
                <c:pt idx="2">
                  <c:v>19.94644896507814</c:v>
                </c:pt>
                <c:pt idx="3">
                  <c:v>14.598701341417666</c:v>
                </c:pt>
                <c:pt idx="4">
                  <c:v>29.426579062100899</c:v>
                </c:pt>
              </c:numCache>
            </c:numRef>
          </c:val>
          <c:extLst>
            <c:ext xmlns:c16="http://schemas.microsoft.com/office/drawing/2014/chart" uri="{C3380CC4-5D6E-409C-BE32-E72D297353CC}">
              <c16:uniqueId val="{00000040-A658-4BC5-AEAC-7F199632C08B}"/>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B'!$R$44</c:f>
              <c:strCache>
                <c:ptCount val="1"/>
                <c:pt idx="0">
                  <c:v>Taxi  HEV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8053-477E-9D7B-6B57EAB65D13}"/>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8053-477E-9D7B-6B57EAB65D13}"/>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8053-477E-9D7B-6B57EAB65D13}"/>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8053-477E-9D7B-6B57EAB65D13}"/>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8053-477E-9D7B-6B57EAB65D13}"/>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8053-477E-9D7B-6B57EAB65D13}"/>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8053-477E-9D7B-6B57EAB65D13}"/>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8053-477E-9D7B-6B57EAB65D13}"/>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8053-477E-9D7B-6B57EAB65D13}"/>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8053-477E-9D7B-6B57EAB65D13}"/>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B'!$R$45:$R$55</c:f>
              <c:numCache>
                <c:formatCode>0</c:formatCode>
                <c:ptCount val="5"/>
                <c:pt idx="0">
                  <c:v>30.645353280741684</c:v>
                </c:pt>
                <c:pt idx="1">
                  <c:v>117.64755563047052</c:v>
                </c:pt>
                <c:pt idx="2">
                  <c:v>27.01554027394284</c:v>
                </c:pt>
                <c:pt idx="3">
                  <c:v>108.04192570523938</c:v>
                </c:pt>
                <c:pt idx="4">
                  <c:v>0</c:v>
                </c:pt>
              </c:numCache>
            </c:numRef>
          </c:val>
          <c:extLst>
            <c:ext xmlns:c16="http://schemas.microsoft.com/office/drawing/2014/chart" uri="{C3380CC4-5D6E-409C-BE32-E72D297353CC}">
              <c16:uniqueId val="{0000002A-8053-477E-9D7B-6B57EAB65D13}"/>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B'!$T$44</c:f>
              <c:strCache>
                <c:ptCount val="1"/>
                <c:pt idx="0">
                  <c:v>Taxi  BEV (two packs)</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F5CE-4D63-B633-0E14BE1D54A1}"/>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F5CE-4D63-B633-0E14BE1D54A1}"/>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F5CE-4D63-B633-0E14BE1D54A1}"/>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F5CE-4D63-B633-0E14BE1D54A1}"/>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F5CE-4D63-B633-0E14BE1D54A1}"/>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F5CE-4D63-B633-0E14BE1D54A1}"/>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F5CE-4D63-B633-0E14BE1D54A1}"/>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F5CE-4D63-B633-0E14BE1D54A1}"/>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F5CE-4D63-B633-0E14BE1D54A1}"/>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F5CE-4D63-B633-0E14BE1D54A1}"/>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B'!$T$45:$T$55</c:f>
              <c:numCache>
                <c:formatCode>0</c:formatCode>
                <c:ptCount val="5"/>
                <c:pt idx="0">
                  <c:v>76.734576745891161</c:v>
                </c:pt>
                <c:pt idx="1">
                  <c:v>20.650504496424475</c:v>
                </c:pt>
                <c:pt idx="2">
                  <c:v>25.911433510427884</c:v>
                </c:pt>
                <c:pt idx="3">
                  <c:v>18.964442232750891</c:v>
                </c:pt>
                <c:pt idx="4">
                  <c:v>0</c:v>
                </c:pt>
              </c:numCache>
            </c:numRef>
          </c:val>
          <c:extLst>
            <c:ext xmlns:c16="http://schemas.microsoft.com/office/drawing/2014/chart" uri="{C3380CC4-5D6E-409C-BE32-E72D297353CC}">
              <c16:uniqueId val="{0000002A-F5CE-4D63-B633-0E14BE1D54A1}"/>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04841395679897E-2"/>
          <c:y val="7.8891640479537242E-2"/>
          <c:w val="0.3361479231827651"/>
          <c:h val="0.87626121385624189"/>
        </c:manualLayout>
      </c:layout>
      <c:pieChart>
        <c:varyColors val="1"/>
        <c:ser>
          <c:idx val="0"/>
          <c:order val="0"/>
          <c:tx>
            <c:strRef>
              <c:f>'Figure_15_GHG_per_pkm_shares B'!$L$44</c:f>
              <c:strCache>
                <c:ptCount val="1"/>
                <c:pt idx="0">
                  <c:v>Shared moped - BEV</c:v>
                </c:pt>
              </c:strCache>
            </c:strRef>
          </c:tx>
          <c:spPr>
            <a:solidFill>
              <a:srgbClr val="E5B951"/>
            </a:solidFill>
            <a:ln w="12700" cmpd="sng">
              <a:solidFill>
                <a:schemeClr val="bg1"/>
              </a:solidFill>
            </a:ln>
          </c:spPr>
          <c:dPt>
            <c:idx val="0"/>
            <c:bubble3D val="0"/>
            <c:spPr>
              <a:solidFill>
                <a:srgbClr val="003E7E"/>
              </a:solidFill>
              <a:ln w="12700" cmpd="sng">
                <a:solidFill>
                  <a:schemeClr val="bg1"/>
                </a:solidFill>
              </a:ln>
            </c:spPr>
            <c:extLst>
              <c:ext xmlns:c16="http://schemas.microsoft.com/office/drawing/2014/chart" uri="{C3380CC4-5D6E-409C-BE32-E72D297353CC}">
                <c16:uniqueId val="{00000017-803C-4A4D-9ADE-BBFB33F2B693}"/>
              </c:ext>
            </c:extLst>
          </c:dPt>
          <c:dPt>
            <c:idx val="1"/>
            <c:bubble3D val="0"/>
            <c:spPr>
              <a:solidFill>
                <a:srgbClr val="7BC143"/>
              </a:solidFill>
              <a:ln w="12700" cmpd="sng">
                <a:solidFill>
                  <a:schemeClr val="bg1"/>
                </a:solidFill>
              </a:ln>
            </c:spPr>
            <c:extLst>
              <c:ext xmlns:c16="http://schemas.microsoft.com/office/drawing/2014/chart" uri="{C3380CC4-5D6E-409C-BE32-E72D297353CC}">
                <c16:uniqueId val="{00000019-803C-4A4D-9ADE-BBFB33F2B693}"/>
              </c:ext>
            </c:extLst>
          </c:dPt>
          <c:dPt>
            <c:idx val="2"/>
            <c:bubble3D val="0"/>
            <c:spPr>
              <a:solidFill>
                <a:srgbClr val="939598"/>
              </a:solidFill>
              <a:ln w="12700" cmpd="sng">
                <a:solidFill>
                  <a:schemeClr val="bg1"/>
                </a:solidFill>
              </a:ln>
            </c:spPr>
            <c:extLst>
              <c:ext xmlns:c16="http://schemas.microsoft.com/office/drawing/2014/chart" uri="{C3380CC4-5D6E-409C-BE32-E72D297353CC}">
                <c16:uniqueId val="{0000001B-803C-4A4D-9ADE-BBFB33F2B693}"/>
              </c:ext>
            </c:extLst>
          </c:dPt>
          <c:dPt>
            <c:idx val="3"/>
            <c:bubble3D val="0"/>
            <c:spPr>
              <a:solidFill>
                <a:srgbClr val="007DC3"/>
              </a:solidFill>
              <a:ln w="12700" cmpd="sng">
                <a:solidFill>
                  <a:schemeClr val="bg1"/>
                </a:solidFill>
              </a:ln>
            </c:spPr>
            <c:extLst>
              <c:ext xmlns:c16="http://schemas.microsoft.com/office/drawing/2014/chart" uri="{C3380CC4-5D6E-409C-BE32-E72D297353CC}">
                <c16:uniqueId val="{0000001D-803C-4A4D-9ADE-BBFB33F2B693}"/>
              </c:ext>
            </c:extLst>
          </c:dPt>
          <c:dPt>
            <c:idx val="4"/>
            <c:bubble3D val="0"/>
            <c:spPr>
              <a:noFill/>
              <a:ln w="12700" cmpd="sng">
                <a:solidFill>
                  <a:schemeClr val="bg1">
                    <a:lumMod val="85000"/>
                  </a:schemeClr>
                </a:solidFill>
                <a:prstDash val="sysDot"/>
              </a:ln>
            </c:spPr>
            <c:extLst>
              <c:ext xmlns:c16="http://schemas.microsoft.com/office/drawing/2014/chart" uri="{C3380CC4-5D6E-409C-BE32-E72D297353CC}">
                <c16:uniqueId val="{0000001F-803C-4A4D-9ADE-BBFB33F2B693}"/>
              </c:ext>
            </c:extLst>
          </c:dPt>
          <c:dPt>
            <c:idx val="5"/>
            <c:bubble3D val="0"/>
            <c:spPr>
              <a:solidFill>
                <a:srgbClr val="E2001A"/>
              </a:solidFill>
              <a:ln w="12700" cmpd="sng">
                <a:solidFill>
                  <a:schemeClr val="bg1"/>
                </a:solidFill>
              </a:ln>
            </c:spPr>
            <c:extLst>
              <c:ext xmlns:c16="http://schemas.microsoft.com/office/drawing/2014/chart" uri="{C3380CC4-5D6E-409C-BE32-E72D297353CC}">
                <c16:uniqueId val="{00000021-803C-4A4D-9ADE-BBFB33F2B693}"/>
              </c:ext>
            </c:extLst>
          </c:dPt>
          <c:dPt>
            <c:idx val="6"/>
            <c:bubble3D val="0"/>
            <c:spPr>
              <a:solidFill>
                <a:srgbClr val="009093"/>
              </a:solidFill>
              <a:ln w="12700" cmpd="sng">
                <a:solidFill>
                  <a:schemeClr val="bg1"/>
                </a:solidFill>
              </a:ln>
            </c:spPr>
            <c:extLst>
              <c:ext xmlns:c16="http://schemas.microsoft.com/office/drawing/2014/chart" uri="{C3380CC4-5D6E-409C-BE32-E72D297353CC}">
                <c16:uniqueId val="{00000023-803C-4A4D-9ADE-BBFB33F2B693}"/>
              </c:ext>
            </c:extLst>
          </c:dPt>
          <c:dPt>
            <c:idx val="7"/>
            <c:bubble3D val="0"/>
            <c:spPr>
              <a:solidFill>
                <a:srgbClr val="EEA320"/>
              </a:solidFill>
              <a:ln w="12700" cmpd="sng">
                <a:solidFill>
                  <a:schemeClr val="bg1"/>
                </a:solidFill>
              </a:ln>
            </c:spPr>
            <c:extLst>
              <c:ext xmlns:c16="http://schemas.microsoft.com/office/drawing/2014/chart" uri="{C3380CC4-5D6E-409C-BE32-E72D297353CC}">
                <c16:uniqueId val="{00000025-803C-4A4D-9ADE-BBFB33F2B693}"/>
              </c:ext>
            </c:extLst>
          </c:dPt>
          <c:dPt>
            <c:idx val="8"/>
            <c:bubble3D val="0"/>
            <c:spPr>
              <a:solidFill>
                <a:srgbClr val="009EE3"/>
              </a:solidFill>
              <a:ln w="12700" cmpd="sng">
                <a:solidFill>
                  <a:schemeClr val="bg1"/>
                </a:solidFill>
              </a:ln>
            </c:spPr>
            <c:extLst>
              <c:ext xmlns:c16="http://schemas.microsoft.com/office/drawing/2014/chart" uri="{C3380CC4-5D6E-409C-BE32-E72D297353CC}">
                <c16:uniqueId val="{00000027-803C-4A4D-9ADE-BBFB33F2B693}"/>
              </c:ext>
            </c:extLst>
          </c:dPt>
          <c:dPt>
            <c:idx val="9"/>
            <c:bubble3D val="0"/>
            <c:spPr>
              <a:solidFill>
                <a:srgbClr val="00983A"/>
              </a:solidFill>
              <a:ln w="12700" cmpd="sng">
                <a:solidFill>
                  <a:schemeClr val="bg1"/>
                </a:solidFill>
              </a:ln>
            </c:spPr>
            <c:extLst>
              <c:ext xmlns:c16="http://schemas.microsoft.com/office/drawing/2014/chart" uri="{C3380CC4-5D6E-409C-BE32-E72D297353CC}">
                <c16:uniqueId val="{00000029-803C-4A4D-9ADE-BBFB33F2B693}"/>
              </c:ext>
            </c:extLst>
          </c:dPt>
          <c:dLbls>
            <c:delete val="1"/>
          </c:dLbls>
          <c:cat>
            <c:strRef>
              <c:f>'Figure_15_GHG_per_pkm_shares B'!$B$45:$B$55</c:f>
              <c:strCache>
                <c:ptCount val="4"/>
                <c:pt idx="0">
                  <c:v>Vehicle component</c:v>
                </c:pt>
                <c:pt idx="1">
                  <c:v>Fuel component</c:v>
                </c:pt>
                <c:pt idx="2">
                  <c:v>Infrastructure component</c:v>
                </c:pt>
                <c:pt idx="3">
                  <c:v>Operational services</c:v>
                </c:pt>
              </c:strCache>
            </c:strRef>
          </c:cat>
          <c:val>
            <c:numRef>
              <c:f>'Figure_15_GHG_per_pkm_shares B'!$L$45:$L$55</c:f>
              <c:numCache>
                <c:formatCode>0</c:formatCode>
                <c:ptCount val="5"/>
                <c:pt idx="0">
                  <c:v>34.562416943858203</c:v>
                </c:pt>
                <c:pt idx="1">
                  <c:v>4.5324601156650521</c:v>
                </c:pt>
                <c:pt idx="2">
                  <c:v>11.354081196149926</c:v>
                </c:pt>
                <c:pt idx="3">
                  <c:v>13.516430341200186</c:v>
                </c:pt>
              </c:numCache>
            </c:numRef>
          </c:val>
          <c:extLst>
            <c:ext xmlns:c16="http://schemas.microsoft.com/office/drawing/2014/chart" uri="{C3380CC4-5D6E-409C-BE32-E72D297353CC}">
              <c16:uniqueId val="{0000002A-803C-4A4D-9ADE-BBFB33F2B693}"/>
            </c:ext>
          </c:extLst>
        </c:ser>
        <c:dLbls>
          <c:showLegendKey val="0"/>
          <c:showVal val="0"/>
          <c:showCatName val="1"/>
          <c:showSerName val="0"/>
          <c:showPercent val="1"/>
          <c:showBubbleSize val="0"/>
          <c:showLeaderLines val="1"/>
        </c:dLbls>
        <c:firstSliceAng val="0"/>
      </c:pieChart>
      <c:spPr>
        <a:noFill/>
        <a:ln>
          <a:noFill/>
        </a:ln>
      </c:spPr>
    </c:plotArea>
    <c:plotVisOnly val="1"/>
    <c:dispBlanksAs val="zero"/>
    <c:showDLblsOverMax val="0"/>
  </c:chart>
  <c:spPr>
    <a:noFill/>
    <a:ln>
      <a:noFill/>
    </a:ln>
  </c:spPr>
  <c:txPr>
    <a:bodyPr/>
    <a:lstStyle/>
    <a:p>
      <a:pPr>
        <a:defRPr sz="1000" b="0" i="0">
          <a:latin typeface="+mn-lt"/>
          <a:cs typeface="Arial" pitchFamily="34" charset="0"/>
        </a:defRPr>
      </a:pPr>
      <a:endParaRPr lang="en-FI"/>
    </a:p>
  </c:txPr>
  <c:printSettings>
    <c:headerFooter/>
    <c:pageMargins b="0" l="0" r="0" t="0" header="0" footer="0"/>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23107297210188E-2"/>
          <c:y val="7.0629672429255566E-2"/>
          <c:w val="0.91073994533012104"/>
          <c:h val="0.63617129316181453"/>
        </c:manualLayout>
      </c:layout>
      <c:barChart>
        <c:barDir val="col"/>
        <c:grouping val="stacked"/>
        <c:varyColors val="0"/>
        <c:ser>
          <c:idx val="1"/>
          <c:order val="0"/>
          <c:tx>
            <c:strRef>
              <c:f>'Figure_16_GHG_per_pkm_TNC (2)'!$E$44</c:f>
              <c:strCache>
                <c:ptCount val="1"/>
                <c:pt idx="0">
                  <c:v>Vehicle component</c:v>
                </c:pt>
              </c:strCache>
            </c:strRef>
          </c:tx>
          <c:spPr>
            <a:solidFill>
              <a:srgbClr val="003E7E"/>
            </a:solidFill>
          </c:spPr>
          <c:invertIfNegative val="0"/>
          <c:cat>
            <c:multiLvlStrRef>
              <c:f>'Figure_16_GHG_per_pkm_TNC (2)'!$C$45:$D$57</c:f>
              <c:multiLvlStrCache>
                <c:ptCount val="11"/>
                <c:lvl>
                  <c:pt idx="0">
                    <c:v>ICE</c:v>
                  </c:pt>
                  <c:pt idx="1">
                    <c:v>HEV</c:v>
                  </c:pt>
                  <c:pt idx="2">
                    <c:v>PHEV</c:v>
                  </c:pt>
                  <c:pt idx="3">
                    <c:v>BEV</c:v>
                  </c:pt>
                  <c:pt idx="4">
                    <c:v>BEV (two packs)</c:v>
                  </c:pt>
                  <c:pt idx="5">
                    <c:v>FCEV</c:v>
                  </c:pt>
                  <c:pt idx="6">
                    <c:v>ICE</c:v>
                  </c:pt>
                  <c:pt idx="7">
                    <c:v>HEV</c:v>
                  </c:pt>
                  <c:pt idx="8">
                    <c:v>BEV</c:v>
                  </c:pt>
                  <c:pt idx="9">
                    <c:v>BEV (two packs)</c:v>
                  </c:pt>
                  <c:pt idx="10">
                    <c:v>FCEV</c:v>
                  </c:pt>
                </c:lvl>
                <c:lvl>
                  <c:pt idx="0">
                    <c:v>Shared van</c:v>
                  </c:pt>
                  <c:pt idx="6">
                    <c:v>Shared minibus</c:v>
                  </c:pt>
                </c:lvl>
              </c:multiLvlStrCache>
            </c:multiLvlStrRef>
          </c:cat>
          <c:val>
            <c:numRef>
              <c:f>'Figure_16_GHG_per_pkm_TNC (2)'!$E$45:$E$57</c:f>
              <c:numCache>
                <c:formatCode>0</c:formatCode>
                <c:ptCount val="11"/>
                <c:pt idx="0">
                  <c:v>8.2327426990191821</c:v>
                </c:pt>
                <c:pt idx="1">
                  <c:v>8.8750291793809168</c:v>
                </c:pt>
                <c:pt idx="2">
                  <c:v>9.3946577351906395</c:v>
                </c:pt>
                <c:pt idx="3">
                  <c:v>12.556176126308568</c:v>
                </c:pt>
                <c:pt idx="4">
                  <c:v>18.419315044533644</c:v>
                </c:pt>
                <c:pt idx="5">
                  <c:v>11.807278979708432</c:v>
                </c:pt>
                <c:pt idx="6">
                  <c:v>6.5095024467678364</c:v>
                </c:pt>
                <c:pt idx="7">
                  <c:v>6.4396033526031733</c:v>
                </c:pt>
                <c:pt idx="8">
                  <c:v>12.140572388163051</c:v>
                </c:pt>
                <c:pt idx="9">
                  <c:v>17.737269562600016</c:v>
                </c:pt>
                <c:pt idx="10">
                  <c:v>9.9131231849150012</c:v>
                </c:pt>
              </c:numCache>
            </c:numRef>
          </c:val>
          <c:extLst>
            <c:ext xmlns:c16="http://schemas.microsoft.com/office/drawing/2014/chart" uri="{C3380CC4-5D6E-409C-BE32-E72D297353CC}">
              <c16:uniqueId val="{00000000-8777-4515-A5B2-FBBF07A4C133}"/>
            </c:ext>
          </c:extLst>
        </c:ser>
        <c:ser>
          <c:idx val="2"/>
          <c:order val="1"/>
          <c:tx>
            <c:strRef>
              <c:f>'Figure_16_GHG_per_pkm_TNC (2)'!$F$44</c:f>
              <c:strCache>
                <c:ptCount val="1"/>
                <c:pt idx="0">
                  <c:v>Fuel component</c:v>
                </c:pt>
              </c:strCache>
            </c:strRef>
          </c:tx>
          <c:spPr>
            <a:solidFill>
              <a:srgbClr val="7BC143"/>
            </a:solidFill>
          </c:spPr>
          <c:invertIfNegative val="0"/>
          <c:cat>
            <c:multiLvlStrRef>
              <c:f>'Figure_16_GHG_per_pkm_TNC (2)'!$C$45:$D$57</c:f>
              <c:multiLvlStrCache>
                <c:ptCount val="11"/>
                <c:lvl>
                  <c:pt idx="0">
                    <c:v>ICE</c:v>
                  </c:pt>
                  <c:pt idx="1">
                    <c:v>HEV</c:v>
                  </c:pt>
                  <c:pt idx="2">
                    <c:v>PHEV</c:v>
                  </c:pt>
                  <c:pt idx="3">
                    <c:v>BEV</c:v>
                  </c:pt>
                  <c:pt idx="4">
                    <c:v>BEV (two packs)</c:v>
                  </c:pt>
                  <c:pt idx="5">
                    <c:v>FCEV</c:v>
                  </c:pt>
                  <c:pt idx="6">
                    <c:v>ICE</c:v>
                  </c:pt>
                  <c:pt idx="7">
                    <c:v>HEV</c:v>
                  </c:pt>
                  <c:pt idx="8">
                    <c:v>BEV</c:v>
                  </c:pt>
                  <c:pt idx="9">
                    <c:v>BEV (two packs)</c:v>
                  </c:pt>
                  <c:pt idx="10">
                    <c:v>FCEV</c:v>
                  </c:pt>
                </c:lvl>
                <c:lvl>
                  <c:pt idx="0">
                    <c:v>Shared van</c:v>
                  </c:pt>
                  <c:pt idx="6">
                    <c:v>Shared minibus</c:v>
                  </c:pt>
                </c:lvl>
              </c:multiLvlStrCache>
            </c:multiLvlStrRef>
          </c:cat>
          <c:val>
            <c:numRef>
              <c:f>'Figure_16_GHG_per_pkm_TNC (2)'!$F$45:$F$57</c:f>
              <c:numCache>
                <c:formatCode>0</c:formatCode>
                <c:ptCount val="11"/>
                <c:pt idx="0">
                  <c:v>54.502172759999979</c:v>
                </c:pt>
                <c:pt idx="1">
                  <c:v>40.121333384301543</c:v>
                </c:pt>
                <c:pt idx="2">
                  <c:v>26.333977398351692</c:v>
                </c:pt>
                <c:pt idx="3">
                  <c:v>5.7560282564697287</c:v>
                </c:pt>
                <c:pt idx="4">
                  <c:v>5.7560282564697287</c:v>
                </c:pt>
                <c:pt idx="5">
                  <c:v>31.493973498692483</c:v>
                </c:pt>
                <c:pt idx="6">
                  <c:v>41.425616007555327</c:v>
                </c:pt>
                <c:pt idx="7">
                  <c:v>30.49513196121589</c:v>
                </c:pt>
                <c:pt idx="8">
                  <c:v>5.4947320083020861</c:v>
                </c:pt>
                <c:pt idx="9">
                  <c:v>5.4947320083020861</c:v>
                </c:pt>
                <c:pt idx="10">
                  <c:v>25.693605071912746</c:v>
                </c:pt>
              </c:numCache>
            </c:numRef>
          </c:val>
          <c:extLst>
            <c:ext xmlns:c16="http://schemas.microsoft.com/office/drawing/2014/chart" uri="{C3380CC4-5D6E-409C-BE32-E72D297353CC}">
              <c16:uniqueId val="{00000001-8777-4515-A5B2-FBBF07A4C133}"/>
            </c:ext>
          </c:extLst>
        </c:ser>
        <c:ser>
          <c:idx val="3"/>
          <c:order val="2"/>
          <c:tx>
            <c:strRef>
              <c:f>'Figure_16_GHG_per_pkm_TNC (2)'!$G$44</c:f>
              <c:strCache>
                <c:ptCount val="1"/>
                <c:pt idx="0">
                  <c:v>Infrastructure component</c:v>
                </c:pt>
              </c:strCache>
            </c:strRef>
          </c:tx>
          <c:spPr>
            <a:solidFill>
              <a:srgbClr val="939598"/>
            </a:solidFill>
          </c:spPr>
          <c:invertIfNegative val="0"/>
          <c:cat>
            <c:multiLvlStrRef>
              <c:f>'Figure_16_GHG_per_pkm_TNC (2)'!$C$45:$D$57</c:f>
              <c:multiLvlStrCache>
                <c:ptCount val="11"/>
                <c:lvl>
                  <c:pt idx="0">
                    <c:v>ICE</c:v>
                  </c:pt>
                  <c:pt idx="1">
                    <c:v>HEV</c:v>
                  </c:pt>
                  <c:pt idx="2">
                    <c:v>PHEV</c:v>
                  </c:pt>
                  <c:pt idx="3">
                    <c:v>BEV</c:v>
                  </c:pt>
                  <c:pt idx="4">
                    <c:v>BEV (two packs)</c:v>
                  </c:pt>
                  <c:pt idx="5">
                    <c:v>FCEV</c:v>
                  </c:pt>
                  <c:pt idx="6">
                    <c:v>ICE</c:v>
                  </c:pt>
                  <c:pt idx="7">
                    <c:v>HEV</c:v>
                  </c:pt>
                  <c:pt idx="8">
                    <c:v>BEV</c:v>
                  </c:pt>
                  <c:pt idx="9">
                    <c:v>BEV (two packs)</c:v>
                  </c:pt>
                  <c:pt idx="10">
                    <c:v>FCEV</c:v>
                  </c:pt>
                </c:lvl>
                <c:lvl>
                  <c:pt idx="0">
                    <c:v>Shared van</c:v>
                  </c:pt>
                  <c:pt idx="6">
                    <c:v>Shared minibus</c:v>
                  </c:pt>
                </c:lvl>
              </c:multiLvlStrCache>
            </c:multiLvlStrRef>
          </c:cat>
          <c:val>
            <c:numRef>
              <c:f>'Figure_16_GHG_per_pkm_TNC (2)'!$G$45:$G$57</c:f>
              <c:numCache>
                <c:formatCode>0</c:formatCode>
                <c:ptCount val="11"/>
                <c:pt idx="0">
                  <c:v>6.0044203845842832</c:v>
                </c:pt>
                <c:pt idx="1">
                  <c:v>6.131049061968139</c:v>
                </c:pt>
                <c:pt idx="2">
                  <c:v>6.2465668388137754</c:v>
                </c:pt>
                <c:pt idx="3">
                  <c:v>5.8575417052096102</c:v>
                </c:pt>
                <c:pt idx="4">
                  <c:v>5.8575417052096102</c:v>
                </c:pt>
                <c:pt idx="5">
                  <c:v>6.2965092572230317</c:v>
                </c:pt>
                <c:pt idx="6">
                  <c:v>3.5717168242525923</c:v>
                </c:pt>
                <c:pt idx="7">
                  <c:v>3.5994059437926644</c:v>
                </c:pt>
                <c:pt idx="8">
                  <c:v>3.30949292679554</c:v>
                </c:pt>
                <c:pt idx="9">
                  <c:v>3.30949292679554</c:v>
                </c:pt>
                <c:pt idx="10">
                  <c:v>3.5010144880862284</c:v>
                </c:pt>
              </c:numCache>
            </c:numRef>
          </c:val>
          <c:extLst>
            <c:ext xmlns:c16="http://schemas.microsoft.com/office/drawing/2014/chart" uri="{C3380CC4-5D6E-409C-BE32-E72D297353CC}">
              <c16:uniqueId val="{00000002-8777-4515-A5B2-FBBF07A4C133}"/>
            </c:ext>
          </c:extLst>
        </c:ser>
        <c:ser>
          <c:idx val="4"/>
          <c:order val="3"/>
          <c:tx>
            <c:strRef>
              <c:f>'Figure_16_GHG_per_pkm_TNC (2)'!$H$44</c:f>
              <c:strCache>
                <c:ptCount val="1"/>
                <c:pt idx="0">
                  <c:v>Operational services</c:v>
                </c:pt>
              </c:strCache>
            </c:strRef>
          </c:tx>
          <c:spPr>
            <a:solidFill>
              <a:srgbClr val="007DC3"/>
            </a:solidFill>
          </c:spPr>
          <c:invertIfNegative val="0"/>
          <c:cat>
            <c:multiLvlStrRef>
              <c:f>'Figure_16_GHG_per_pkm_TNC (2)'!$C$45:$D$57</c:f>
              <c:multiLvlStrCache>
                <c:ptCount val="11"/>
                <c:lvl>
                  <c:pt idx="0">
                    <c:v>ICE</c:v>
                  </c:pt>
                  <c:pt idx="1">
                    <c:v>HEV</c:v>
                  </c:pt>
                  <c:pt idx="2">
                    <c:v>PHEV</c:v>
                  </c:pt>
                  <c:pt idx="3">
                    <c:v>BEV</c:v>
                  </c:pt>
                  <c:pt idx="4">
                    <c:v>BEV (two packs)</c:v>
                  </c:pt>
                  <c:pt idx="5">
                    <c:v>FCEV</c:v>
                  </c:pt>
                  <c:pt idx="6">
                    <c:v>ICE</c:v>
                  </c:pt>
                  <c:pt idx="7">
                    <c:v>HEV</c:v>
                  </c:pt>
                  <c:pt idx="8">
                    <c:v>BEV</c:v>
                  </c:pt>
                  <c:pt idx="9">
                    <c:v>BEV (two packs)</c:v>
                  </c:pt>
                  <c:pt idx="10">
                    <c:v>FCEV</c:v>
                  </c:pt>
                </c:lvl>
                <c:lvl>
                  <c:pt idx="0">
                    <c:v>Shared van</c:v>
                  </c:pt>
                  <c:pt idx="6">
                    <c:v>Shared minibus</c:v>
                  </c:pt>
                </c:lvl>
              </c:multiLvlStrCache>
            </c:multiLvlStrRef>
          </c:cat>
          <c:val>
            <c:numRef>
              <c:f>'Figure_16_GHG_per_pkm_TNC (2)'!$H$45:$H$57</c:f>
              <c:numCache>
                <c:formatCode>0</c:formatCode>
                <c:ptCount val="11"/>
                <c:pt idx="0">
                  <c:v>27.517026558369906</c:v>
                </c:pt>
                <c:pt idx="1">
                  <c:v>20.256436402170308</c:v>
                </c:pt>
                <c:pt idx="2">
                  <c:v>13.295483808487283</c:v>
                </c:pt>
                <c:pt idx="3">
                  <c:v>2.9061003329439599</c:v>
                </c:pt>
                <c:pt idx="4">
                  <c:v>2.9061003329439599</c:v>
                </c:pt>
                <c:pt idx="5">
                  <c:v>15.900659759167359</c:v>
                </c:pt>
                <c:pt idx="6">
                  <c:v>20.914941884910164</c:v>
                </c:pt>
                <c:pt idx="7">
                  <c:v>15.396365201308591</c:v>
                </c:pt>
                <c:pt idx="8">
                  <c:v>2.0098242743206725</c:v>
                </c:pt>
                <c:pt idx="9">
                  <c:v>2.0098242743206725</c:v>
                </c:pt>
                <c:pt idx="10">
                  <c:v>9.3980254342369705</c:v>
                </c:pt>
              </c:numCache>
            </c:numRef>
          </c:val>
          <c:extLst>
            <c:ext xmlns:c16="http://schemas.microsoft.com/office/drawing/2014/chart" uri="{C3380CC4-5D6E-409C-BE32-E72D297353CC}">
              <c16:uniqueId val="{00000003-8777-4515-A5B2-FBBF07A4C133}"/>
            </c:ext>
          </c:extLst>
        </c:ser>
        <c:dLbls>
          <c:showLegendKey val="0"/>
          <c:showVal val="0"/>
          <c:showCatName val="0"/>
          <c:showSerName val="0"/>
          <c:showPercent val="0"/>
          <c:showBubbleSize val="0"/>
        </c:dLbls>
        <c:gapWidth val="70"/>
        <c:overlap val="100"/>
        <c:axId val="135788800"/>
        <c:axId val="136069120"/>
      </c:barChart>
      <c:lineChart>
        <c:grouping val="standard"/>
        <c:varyColors val="0"/>
        <c:ser>
          <c:idx val="8"/>
          <c:order val="4"/>
          <c:tx>
            <c:strRef>
              <c:f>'Figure_16_GHG_per_pkm_TNC (2)'!$I$44</c:f>
              <c:strCache>
                <c:ptCount val="1"/>
                <c:pt idx="0">
                  <c:v>Private car - ICE (central estimate)</c:v>
                </c:pt>
              </c:strCache>
            </c:strRef>
          </c:tx>
          <c:spPr>
            <a:ln>
              <a:solidFill>
                <a:srgbClr val="EEA320"/>
              </a:solidFill>
            </a:ln>
          </c:spPr>
          <c:marker>
            <c:symbol val="none"/>
          </c:marker>
          <c:cat>
            <c:strRef>
              <c:f>'Figure_16_GHG_per_pkm_TNC (2)'!$C$45:$C$57</c:f>
              <c:strCache>
                <c:ptCount val="7"/>
                <c:pt idx="0">
                  <c:v>Shared van</c:v>
                </c:pt>
                <c:pt idx="6">
                  <c:v>Shared minibus</c:v>
                </c:pt>
              </c:strCache>
            </c:strRef>
          </c:cat>
          <c:val>
            <c:numRef>
              <c:f>'Figure_16_GHG_per_pkm_TNC (2)'!$I$45:$I$57</c:f>
              <c:numCache>
                <c:formatCode>0</c:formatCode>
                <c:ptCount val="11"/>
                <c:pt idx="0">
                  <c:v>161.97203672281782</c:v>
                </c:pt>
                <c:pt idx="1">
                  <c:v>161.97203672281782</c:v>
                </c:pt>
                <c:pt idx="2">
                  <c:v>161.97203672281782</c:v>
                </c:pt>
                <c:pt idx="3">
                  <c:v>161.97203672281782</c:v>
                </c:pt>
                <c:pt idx="4">
                  <c:v>161.97203672281782</c:v>
                </c:pt>
                <c:pt idx="5">
                  <c:v>161.97203672281782</c:v>
                </c:pt>
                <c:pt idx="6">
                  <c:v>161.97203672281782</c:v>
                </c:pt>
                <c:pt idx="7">
                  <c:v>161.97203672281782</c:v>
                </c:pt>
                <c:pt idx="8">
                  <c:v>161.97203672281782</c:v>
                </c:pt>
                <c:pt idx="9">
                  <c:v>161.97203672281782</c:v>
                </c:pt>
                <c:pt idx="10">
                  <c:v>161.97203672281782</c:v>
                </c:pt>
              </c:numCache>
            </c:numRef>
          </c:val>
          <c:smooth val="0"/>
          <c:extLst>
            <c:ext xmlns:c16="http://schemas.microsoft.com/office/drawing/2014/chart" uri="{C3380CC4-5D6E-409C-BE32-E72D297353CC}">
              <c16:uniqueId val="{00000004-8777-4515-A5B2-FBBF07A4C133}"/>
            </c:ext>
          </c:extLst>
        </c:ser>
        <c:ser>
          <c:idx val="6"/>
          <c:order val="5"/>
          <c:tx>
            <c:strRef>
              <c:f>'Figure_16_GHG_per_pkm_TNC (2)'!$J$44</c:f>
              <c:strCache>
                <c:ptCount val="1"/>
                <c:pt idx="0">
                  <c:v>Ridesourcing - car - ICE (central estimate)</c:v>
                </c:pt>
              </c:strCache>
            </c:strRef>
          </c:tx>
          <c:spPr>
            <a:ln>
              <a:solidFill>
                <a:schemeClr val="tx1"/>
              </a:solidFill>
            </a:ln>
          </c:spPr>
          <c:marker>
            <c:symbol val="none"/>
          </c:marker>
          <c:cat>
            <c:strRef>
              <c:f>'Figure_16_GHG_per_pkm_TNC (2)'!$C$45:$C$57</c:f>
              <c:strCache>
                <c:ptCount val="7"/>
                <c:pt idx="0">
                  <c:v>Shared van</c:v>
                </c:pt>
                <c:pt idx="6">
                  <c:v>Shared minibus</c:v>
                </c:pt>
              </c:strCache>
            </c:strRef>
          </c:cat>
          <c:val>
            <c:numRef>
              <c:f>'Figure_16_GHG_per_pkm_TNC (2)'!$J$45:$J$57</c:f>
              <c:numCache>
                <c:formatCode>0</c:formatCode>
                <c:ptCount val="11"/>
                <c:pt idx="0">
                  <c:v>275.94612396656066</c:v>
                </c:pt>
                <c:pt idx="1">
                  <c:v>275.94612396656066</c:v>
                </c:pt>
                <c:pt idx="2">
                  <c:v>275.94612396656066</c:v>
                </c:pt>
                <c:pt idx="3">
                  <c:v>275.94612396656066</c:v>
                </c:pt>
                <c:pt idx="4">
                  <c:v>275.94612396656066</c:v>
                </c:pt>
                <c:pt idx="5">
                  <c:v>275.94612396656066</c:v>
                </c:pt>
                <c:pt idx="6">
                  <c:v>275.94612396656066</c:v>
                </c:pt>
                <c:pt idx="7">
                  <c:v>275.94612396656066</c:v>
                </c:pt>
                <c:pt idx="8">
                  <c:v>275.94612396656066</c:v>
                </c:pt>
                <c:pt idx="9">
                  <c:v>275.94612396656066</c:v>
                </c:pt>
                <c:pt idx="10">
                  <c:v>275.94612396656066</c:v>
                </c:pt>
              </c:numCache>
            </c:numRef>
          </c:val>
          <c:smooth val="0"/>
          <c:extLst>
            <c:ext xmlns:c16="http://schemas.microsoft.com/office/drawing/2014/chart" uri="{C3380CC4-5D6E-409C-BE32-E72D297353CC}">
              <c16:uniqueId val="{00000005-8777-4515-A5B2-FBBF07A4C133}"/>
            </c:ext>
          </c:extLst>
        </c:ser>
        <c:ser>
          <c:idx val="0"/>
          <c:order val="6"/>
          <c:tx>
            <c:strRef>
              <c:f>'Figure_16_GHG_per_pkm_TNC (2)'!$C$62</c:f>
              <c:strCache>
                <c:ptCount val="1"/>
                <c:pt idx="0">
                  <c:v>Bus - ICE (central estimate)</c:v>
                </c:pt>
              </c:strCache>
            </c:strRef>
          </c:tx>
          <c:spPr>
            <a:ln>
              <a:solidFill>
                <a:srgbClr val="C6003A"/>
              </a:solidFill>
            </a:ln>
          </c:spPr>
          <c:marker>
            <c:symbol val="none"/>
          </c:marker>
          <c:val>
            <c:numRef>
              <c:f>'Figure_16_GHG_per_pkm_TNC (2)'!$K$45:$K$55</c:f>
              <c:numCache>
                <c:formatCode>0</c:formatCode>
                <c:ptCount val="11"/>
                <c:pt idx="0">
                  <c:v>91.433521668933466</c:v>
                </c:pt>
                <c:pt idx="1">
                  <c:v>91.433521668933466</c:v>
                </c:pt>
                <c:pt idx="2">
                  <c:v>91.433521668933466</c:v>
                </c:pt>
                <c:pt idx="3">
                  <c:v>91.433521668933466</c:v>
                </c:pt>
                <c:pt idx="4">
                  <c:v>91.433521668933466</c:v>
                </c:pt>
                <c:pt idx="5">
                  <c:v>91.433521668933466</c:v>
                </c:pt>
                <c:pt idx="6">
                  <c:v>91.433521668933466</c:v>
                </c:pt>
                <c:pt idx="7">
                  <c:v>91.433521668933466</c:v>
                </c:pt>
                <c:pt idx="8">
                  <c:v>91.433521668933466</c:v>
                </c:pt>
                <c:pt idx="9">
                  <c:v>91.433521668933466</c:v>
                </c:pt>
                <c:pt idx="10">
                  <c:v>91.433521668933466</c:v>
                </c:pt>
              </c:numCache>
            </c:numRef>
          </c:val>
          <c:smooth val="0"/>
          <c:extLst>
            <c:ext xmlns:c16="http://schemas.microsoft.com/office/drawing/2014/chart" uri="{C3380CC4-5D6E-409C-BE32-E72D297353CC}">
              <c16:uniqueId val="{00000001-F8DD-4012-9EBA-E3664E0A9D7D}"/>
            </c:ext>
          </c:extLst>
        </c:ser>
        <c:dLbls>
          <c:showLegendKey val="0"/>
          <c:showVal val="0"/>
          <c:showCatName val="0"/>
          <c:showSerName val="0"/>
          <c:showPercent val="0"/>
          <c:showBubbleSize val="0"/>
        </c:dLbls>
        <c:marker val="1"/>
        <c:smooth val="0"/>
        <c:axId val="135788800"/>
        <c:axId val="136069120"/>
      </c:lineChart>
      <c:catAx>
        <c:axId val="135788800"/>
        <c:scaling>
          <c:orientation val="minMax"/>
        </c:scaling>
        <c:delete val="0"/>
        <c:axPos val="b"/>
        <c:numFmt formatCode="General" sourceLinked="1"/>
        <c:majorTickMark val="none"/>
        <c:minorTickMark val="none"/>
        <c:tickLblPos val="nextTo"/>
        <c:spPr>
          <a:ln>
            <a:solidFill>
              <a:schemeClr val="tx1"/>
            </a:solidFill>
          </a:ln>
        </c:spPr>
        <c:txPr>
          <a:bodyPr rot="0" vert="horz"/>
          <a:lstStyle/>
          <a:p>
            <a:pPr>
              <a:defRPr>
                <a:latin typeface="Calibri Light" panose="020F0302020204030204" pitchFamily="34" charset="0"/>
                <a:cs typeface="Calibri Light" panose="020F0302020204030204" pitchFamily="34" charset="0"/>
              </a:defRPr>
            </a:pPr>
            <a:endParaRPr lang="en-FI"/>
          </a:p>
        </c:txPr>
        <c:crossAx val="136069120"/>
        <c:crosses val="autoZero"/>
        <c:auto val="1"/>
        <c:lblAlgn val="ctr"/>
        <c:lblOffset val="100"/>
        <c:noMultiLvlLbl val="0"/>
      </c:catAx>
      <c:valAx>
        <c:axId val="136069120"/>
        <c:scaling>
          <c:orientation val="minMax"/>
        </c:scaling>
        <c:delete val="0"/>
        <c:axPos val="l"/>
        <c:majorGridlines>
          <c:spPr>
            <a:ln w="12700" cap="rnd">
              <a:solidFill>
                <a:schemeClr val="tx1"/>
              </a:solidFill>
              <a:prstDash val="sysDot"/>
            </a:ln>
          </c:spPr>
        </c:majorGridlines>
        <c:title>
          <c:tx>
            <c:strRef>
              <c:f>'Figure_16_GHG_per_pkm_TNC (2)'!$C$11</c:f>
              <c:strCache>
                <c:ptCount val="1"/>
                <c:pt idx="0">
                  <c:v>GHG emissions per pkm [g CO₂/pkm]</c:v>
                </c:pt>
              </c:strCache>
            </c:strRef>
          </c:tx>
          <c:layout>
            <c:manualLayout>
              <c:xMode val="edge"/>
              <c:yMode val="edge"/>
              <c:x val="8.4121130321837389E-3"/>
              <c:y val="0.17072622267437532"/>
            </c:manualLayout>
          </c:layout>
          <c:overlay val="0"/>
          <c:txPr>
            <a:bodyPr rot="-5400000" vert="horz"/>
            <a:lstStyle/>
            <a:p>
              <a:pPr>
                <a:defRPr/>
              </a:pPr>
              <a:endParaRPr lang="en-FI"/>
            </a:p>
          </c:txPr>
        </c:title>
        <c:numFmt formatCode="#\ ##0" sourceLinked="0"/>
        <c:majorTickMark val="out"/>
        <c:minorTickMark val="none"/>
        <c:tickLblPos val="nextTo"/>
        <c:spPr>
          <a:ln>
            <a:noFill/>
          </a:ln>
        </c:spPr>
        <c:txPr>
          <a:bodyPr/>
          <a:lstStyle/>
          <a:p>
            <a:pPr>
              <a:defRPr>
                <a:latin typeface="Calibri Light" panose="020F0302020204030204" pitchFamily="34" charset="0"/>
                <a:cs typeface="Calibri Light" panose="020F0302020204030204" pitchFamily="34" charset="0"/>
              </a:defRPr>
            </a:pPr>
            <a:endParaRPr lang="en-FI"/>
          </a:p>
        </c:txPr>
        <c:crossAx val="135788800"/>
        <c:crosses val="autoZero"/>
        <c:crossBetween val="between"/>
        <c:majorUnit val="50"/>
      </c:valAx>
      <c:spPr>
        <a:solidFill>
          <a:srgbClr val="F9F8F7"/>
        </a:solidFill>
        <a:ln>
          <a:noFill/>
        </a:ln>
      </c:spPr>
    </c:plotArea>
    <c:legend>
      <c:legendPos val="b"/>
      <c:layout>
        <c:manualLayout>
          <c:xMode val="edge"/>
          <c:yMode val="edge"/>
          <c:x val="6.8148168499190587E-2"/>
          <c:y val="0.85137509881002593"/>
          <c:w val="0.90488189868739133"/>
          <c:h val="0.13888548538674392"/>
        </c:manualLayout>
      </c:layout>
      <c:overlay val="0"/>
      <c:txPr>
        <a:bodyPr/>
        <a:lstStyle/>
        <a:p>
          <a:pPr>
            <a:defRPr>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623217848756282"/>
          <c:y val="2.8480513767860052E-2"/>
          <c:w val="0.60852260997497043"/>
          <c:h val="0.85034842095775254"/>
        </c:manualLayout>
      </c:layout>
      <c:barChart>
        <c:barDir val="bar"/>
        <c:grouping val="stacked"/>
        <c:varyColors val="0"/>
        <c:ser>
          <c:idx val="1"/>
          <c:order val="0"/>
          <c:tx>
            <c:strRef>
              <c:f>Figure_2_GHG_per_pkm_General!$B$45</c:f>
              <c:strCache>
                <c:ptCount val="1"/>
                <c:pt idx="0">
                  <c:v>Vehicle component</c:v>
                </c:pt>
              </c:strCache>
            </c:strRef>
          </c:tx>
          <c:spPr>
            <a:solidFill>
              <a:srgbClr val="003E7E"/>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Figure_2_GHG_per_pkm_General!$C$45:$AH$45</c:f>
              <c:numCache>
                <c:formatCode>0</c:formatCode>
                <c:ptCount val="32"/>
                <c:pt idx="0">
                  <c:v>26.164322330581768</c:v>
                </c:pt>
                <c:pt idx="1">
                  <c:v>71.455666502830198</c:v>
                </c:pt>
                <c:pt idx="2">
                  <c:v>65.575881673322854</c:v>
                </c:pt>
                <c:pt idx="3">
                  <c:v>7.4670905852088847</c:v>
                </c:pt>
                <c:pt idx="4">
                  <c:v>23.312907018241759</c:v>
                </c:pt>
                <c:pt idx="5">
                  <c:v>12.537922665474529</c:v>
                </c:pt>
                <c:pt idx="6">
                  <c:v>37.131518608826688</c:v>
                </c:pt>
                <c:pt idx="7">
                  <c:v>7.985146217473579</c:v>
                </c:pt>
                <c:pt idx="8">
                  <c:v>9.7988736045981124</c:v>
                </c:pt>
                <c:pt idx="9">
                  <c:v>19.952685602050249</c:v>
                </c:pt>
                <c:pt idx="10">
                  <c:v>34.562416943858203</c:v>
                </c:pt>
                <c:pt idx="11">
                  <c:v>23.86345238869054</c:v>
                </c:pt>
                <c:pt idx="12">
                  <c:v>25.97776328361342</c:v>
                </c:pt>
                <c:pt idx="13">
                  <c:v>31.760408198944184</c:v>
                </c:pt>
                <c:pt idx="14">
                  <c:v>41.64927411276431</c:v>
                </c:pt>
                <c:pt idx="15">
                  <c:v>37.744913578184971</c:v>
                </c:pt>
                <c:pt idx="16">
                  <c:v>30.645353280741684</c:v>
                </c:pt>
                <c:pt idx="17">
                  <c:v>50.370851959294306</c:v>
                </c:pt>
                <c:pt idx="18">
                  <c:v>76.734576745891161</c:v>
                </c:pt>
                <c:pt idx="19">
                  <c:v>42.163812959731359</c:v>
                </c:pt>
                <c:pt idx="20">
                  <c:v>22.31063196833988</c:v>
                </c:pt>
                <c:pt idx="21">
                  <c:v>24.220828487012707</c:v>
                </c:pt>
                <c:pt idx="22">
                  <c:v>29.210236319465356</c:v>
                </c:pt>
                <c:pt idx="23">
                  <c:v>38.532772618337084</c:v>
                </c:pt>
                <c:pt idx="24">
                  <c:v>62.392606772849085</c:v>
                </c:pt>
                <c:pt idx="25">
                  <c:v>32.45742243615814</c:v>
                </c:pt>
                <c:pt idx="26">
                  <c:v>8.013715326026503</c:v>
                </c:pt>
                <c:pt idx="27">
                  <c:v>7.9930110809261254</c:v>
                </c:pt>
                <c:pt idx="28">
                  <c:v>13.730124843093328</c:v>
                </c:pt>
                <c:pt idx="29">
                  <c:v>17.060980443414817</c:v>
                </c:pt>
                <c:pt idx="30">
                  <c:v>11.025198611180571</c:v>
                </c:pt>
                <c:pt idx="31">
                  <c:v>2.0282607820493368</c:v>
                </c:pt>
              </c:numCache>
            </c:numRef>
          </c:val>
          <c:extLst>
            <c:ext xmlns:c16="http://schemas.microsoft.com/office/drawing/2014/chart" uri="{C3380CC4-5D6E-409C-BE32-E72D297353CC}">
              <c16:uniqueId val="{00000000-6072-4ADC-B385-96A851B05519}"/>
            </c:ext>
          </c:extLst>
        </c:ser>
        <c:ser>
          <c:idx val="2"/>
          <c:order val="1"/>
          <c:tx>
            <c:strRef>
              <c:f>Figure_2_GHG_per_pkm_General!$B$46</c:f>
              <c:strCache>
                <c:ptCount val="1"/>
                <c:pt idx="0">
                  <c:v>Fuel component</c:v>
                </c:pt>
              </c:strCache>
            </c:strRef>
          </c:tx>
          <c:spPr>
            <a:solidFill>
              <a:srgbClr val="7BC143"/>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Figure_2_GHG_per_pkm_General!$C$46:$AH$46</c:f>
              <c:numCache>
                <c:formatCode>0</c:formatCode>
                <c:ptCount val="32"/>
                <c:pt idx="0">
                  <c:v>1.4239176699373322</c:v>
                </c:pt>
                <c:pt idx="1">
                  <c:v>1.4239176699373322</c:v>
                </c:pt>
                <c:pt idx="2">
                  <c:v>1.5404200247503861</c:v>
                </c:pt>
                <c:pt idx="3">
                  <c:v>0</c:v>
                </c:pt>
                <c:pt idx="4">
                  <c:v>0</c:v>
                </c:pt>
                <c:pt idx="5">
                  <c:v>2.7183882789712701</c:v>
                </c:pt>
                <c:pt idx="6">
                  <c:v>2.7183882789712706</c:v>
                </c:pt>
                <c:pt idx="7">
                  <c:v>53.73696412283369</c:v>
                </c:pt>
                <c:pt idx="8">
                  <c:v>4.5324601156650521</c:v>
                </c:pt>
                <c:pt idx="9">
                  <c:v>53.736964122833704</c:v>
                </c:pt>
                <c:pt idx="10">
                  <c:v>4.5324601156650521</c:v>
                </c:pt>
                <c:pt idx="11">
                  <c:v>125.63212704</c:v>
                </c:pt>
                <c:pt idx="12">
                  <c:v>93.58311504000001</c:v>
                </c:pt>
                <c:pt idx="13">
                  <c:v>42.659754529241155</c:v>
                </c:pt>
                <c:pt idx="14">
                  <c:v>16.426508205516896</c:v>
                </c:pt>
                <c:pt idx="15">
                  <c:v>82.679705112992522</c:v>
                </c:pt>
                <c:pt idx="16">
                  <c:v>117.64755563047052</c:v>
                </c:pt>
                <c:pt idx="17">
                  <c:v>20.650504496424475</c:v>
                </c:pt>
                <c:pt idx="18">
                  <c:v>20.650504496424475</c:v>
                </c:pt>
                <c:pt idx="19">
                  <c:v>103.94038713750945</c:v>
                </c:pt>
                <c:pt idx="20">
                  <c:v>121.57947778064515</c:v>
                </c:pt>
                <c:pt idx="21">
                  <c:v>90.564304877419374</c:v>
                </c:pt>
                <c:pt idx="22">
                  <c:v>63.747918471741364</c:v>
                </c:pt>
                <c:pt idx="23">
                  <c:v>15.896620844048607</c:v>
                </c:pt>
                <c:pt idx="24">
                  <c:v>15.896620844048607</c:v>
                </c:pt>
                <c:pt idx="25">
                  <c:v>80.012617851283068</c:v>
                </c:pt>
                <c:pt idx="26">
                  <c:v>71.835624993896062</c:v>
                </c:pt>
                <c:pt idx="27">
                  <c:v>52.881213964464521</c:v>
                </c:pt>
                <c:pt idx="28">
                  <c:v>10.462368334191947</c:v>
                </c:pt>
                <c:pt idx="29">
                  <c:v>10.462368334191947</c:v>
                </c:pt>
                <c:pt idx="30">
                  <c:v>43.913662604355508</c:v>
                </c:pt>
                <c:pt idx="31">
                  <c:v>12.073398680398997</c:v>
                </c:pt>
              </c:numCache>
            </c:numRef>
          </c:val>
          <c:extLst>
            <c:ext xmlns:c16="http://schemas.microsoft.com/office/drawing/2014/chart" uri="{C3380CC4-5D6E-409C-BE32-E72D297353CC}">
              <c16:uniqueId val="{00000001-6072-4ADC-B385-96A851B05519}"/>
            </c:ext>
          </c:extLst>
        </c:ser>
        <c:ser>
          <c:idx val="3"/>
          <c:order val="2"/>
          <c:tx>
            <c:strRef>
              <c:f>Figure_2_GHG_per_pkm_General!$B$47</c:f>
              <c:strCache>
                <c:ptCount val="1"/>
                <c:pt idx="0">
                  <c:v>Infrastructure component</c:v>
                </c:pt>
              </c:strCache>
            </c:strRef>
          </c:tx>
          <c:spPr>
            <a:solidFill>
              <a:srgbClr val="939598"/>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Figure_2_GHG_per_pkm_General!$C$47:$AH$47</c:f>
              <c:numCache>
                <c:formatCode>0</c:formatCode>
                <c:ptCount val="32"/>
                <c:pt idx="0">
                  <c:v>9.4409392749428456</c:v>
                </c:pt>
                <c:pt idx="1">
                  <c:v>9.4409392749428456</c:v>
                </c:pt>
                <c:pt idx="2">
                  <c:v>9.4835085147745115</c:v>
                </c:pt>
                <c:pt idx="3">
                  <c:v>9.471154571397097</c:v>
                </c:pt>
                <c:pt idx="4">
                  <c:v>9.4896885706026097</c:v>
                </c:pt>
                <c:pt idx="5">
                  <c:v>9.4793603097639458</c:v>
                </c:pt>
                <c:pt idx="6">
                  <c:v>9.5026866330964577</c:v>
                </c:pt>
                <c:pt idx="7">
                  <c:v>11.394557604754132</c:v>
                </c:pt>
                <c:pt idx="8">
                  <c:v>11.354081196149926</c:v>
                </c:pt>
                <c:pt idx="9">
                  <c:v>11.394557604754132</c:v>
                </c:pt>
                <c:pt idx="10">
                  <c:v>11.354081196149926</c:v>
                </c:pt>
                <c:pt idx="11">
                  <c:v>12.476457294127272</c:v>
                </c:pt>
                <c:pt idx="12">
                  <c:v>12.716888018619265</c:v>
                </c:pt>
                <c:pt idx="13">
                  <c:v>12.937036533686294</c:v>
                </c:pt>
                <c:pt idx="14">
                  <c:v>12.197157451329351</c:v>
                </c:pt>
                <c:pt idx="15">
                  <c:v>12.984188392693992</c:v>
                </c:pt>
                <c:pt idx="16">
                  <c:v>27.01554027394284</c:v>
                </c:pt>
                <c:pt idx="17">
                  <c:v>25.911433510427884</c:v>
                </c:pt>
                <c:pt idx="18">
                  <c:v>25.911433510427884</c:v>
                </c:pt>
                <c:pt idx="19">
                  <c:v>27.58338863515219</c:v>
                </c:pt>
                <c:pt idx="20">
                  <c:v>20.403198013580084</c:v>
                </c:pt>
                <c:pt idx="21">
                  <c:v>20.796382999086166</c:v>
                </c:pt>
                <c:pt idx="22">
                  <c:v>21.156399760208132</c:v>
                </c:pt>
                <c:pt idx="23">
                  <c:v>19.94644896507814</c:v>
                </c:pt>
                <c:pt idx="24">
                  <c:v>19.94644896507814</c:v>
                </c:pt>
                <c:pt idx="25">
                  <c:v>21.233508886089187</c:v>
                </c:pt>
                <c:pt idx="26">
                  <c:v>3.6024452385780199</c:v>
                </c:pt>
                <c:pt idx="27">
                  <c:v>3.5574070420397113</c:v>
                </c:pt>
                <c:pt idx="28">
                  <c:v>3.9264293380027726</c:v>
                </c:pt>
                <c:pt idx="29">
                  <c:v>3.9264293380027726</c:v>
                </c:pt>
                <c:pt idx="30">
                  <c:v>4.0625475229856942</c:v>
                </c:pt>
                <c:pt idx="31">
                  <c:v>11.003404253622561</c:v>
                </c:pt>
              </c:numCache>
            </c:numRef>
          </c:val>
          <c:extLst>
            <c:ext xmlns:c16="http://schemas.microsoft.com/office/drawing/2014/chart" uri="{C3380CC4-5D6E-409C-BE32-E72D297353CC}">
              <c16:uniqueId val="{00000002-6072-4ADC-B385-96A851B05519}"/>
            </c:ext>
          </c:extLst>
        </c:ser>
        <c:ser>
          <c:idx val="4"/>
          <c:order val="3"/>
          <c:tx>
            <c:strRef>
              <c:f>Figure_2_GHG_per_pkm_General!$B$48</c:f>
              <c:strCache>
                <c:ptCount val="1"/>
                <c:pt idx="0">
                  <c:v>Operational services</c:v>
                </c:pt>
              </c:strCache>
            </c:strRef>
          </c:tx>
          <c:spPr>
            <a:solidFill>
              <a:srgbClr val="007DC3"/>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Figure_2_GHG_per_pkm_General!$C$48:$AH$48</c:f>
              <c:numCache>
                <c:formatCode>0</c:formatCode>
                <c:ptCount val="32"/>
                <c:pt idx="0">
                  <c:v>0</c:v>
                </c:pt>
                <c:pt idx="1">
                  <c:v>34.727515897616378</c:v>
                </c:pt>
                <c:pt idx="2">
                  <c:v>24.702441658055509</c:v>
                </c:pt>
                <c:pt idx="3">
                  <c:v>0</c:v>
                </c:pt>
                <c:pt idx="4">
                  <c:v>24.702441658055513</c:v>
                </c:pt>
                <c:pt idx="5">
                  <c:v>0</c:v>
                </c:pt>
                <c:pt idx="6">
                  <c:v>24.702441658055513</c:v>
                </c:pt>
                <c:pt idx="7">
                  <c:v>0</c:v>
                </c:pt>
                <c:pt idx="8">
                  <c:v>0</c:v>
                </c:pt>
                <c:pt idx="9">
                  <c:v>0</c:v>
                </c:pt>
                <c:pt idx="10">
                  <c:v>13.516430341200186</c:v>
                </c:pt>
                <c:pt idx="11">
                  <c:v>0</c:v>
                </c:pt>
                <c:pt idx="12">
                  <c:v>0</c:v>
                </c:pt>
                <c:pt idx="13">
                  <c:v>0</c:v>
                </c:pt>
                <c:pt idx="14">
                  <c:v>0</c:v>
                </c:pt>
                <c:pt idx="15">
                  <c:v>0</c:v>
                </c:pt>
                <c:pt idx="16">
                  <c:v>108.04192570523938</c:v>
                </c:pt>
                <c:pt idx="17">
                  <c:v>18.964442232750891</c:v>
                </c:pt>
                <c:pt idx="18">
                  <c:v>18.964442232750891</c:v>
                </c:pt>
                <c:pt idx="19">
                  <c:v>95.453913383102048</c:v>
                </c:pt>
                <c:pt idx="20">
                  <c:v>111.65281620399554</c:v>
                </c:pt>
                <c:pt idx="21">
                  <c:v>83.169954927466094</c:v>
                </c:pt>
                <c:pt idx="22">
                  <c:v>58.543059687707611</c:v>
                </c:pt>
                <c:pt idx="23">
                  <c:v>14.598701341417666</c:v>
                </c:pt>
                <c:pt idx="24">
                  <c:v>14.598701341417666</c:v>
                </c:pt>
                <c:pt idx="25">
                  <c:v>73.479786868866043</c:v>
                </c:pt>
                <c:pt idx="26">
                  <c:v>7.9817361104328963</c:v>
                </c:pt>
                <c:pt idx="27">
                  <c:v>5.8756904404960579</c:v>
                </c:pt>
                <c:pt idx="28">
                  <c:v>1.1624853704657718</c:v>
                </c:pt>
                <c:pt idx="29">
                  <c:v>1.1624853704657718</c:v>
                </c:pt>
                <c:pt idx="30">
                  <c:v>4.8792958449283903</c:v>
                </c:pt>
                <c:pt idx="31">
                  <c:v>0</c:v>
                </c:pt>
              </c:numCache>
            </c:numRef>
          </c:val>
          <c:extLst>
            <c:ext xmlns:c16="http://schemas.microsoft.com/office/drawing/2014/chart" uri="{C3380CC4-5D6E-409C-BE32-E72D297353CC}">
              <c16:uniqueId val="{00000003-6072-4ADC-B385-96A851B05519}"/>
            </c:ext>
          </c:extLst>
        </c:ser>
        <c:dLbls>
          <c:showLegendKey val="0"/>
          <c:showVal val="0"/>
          <c:showCatName val="0"/>
          <c:showSerName val="0"/>
          <c:showPercent val="0"/>
          <c:showBubbleSize val="0"/>
        </c:dLbls>
        <c:gapWidth val="70"/>
        <c:overlap val="100"/>
        <c:axId val="111766912"/>
        <c:axId val="111776896"/>
      </c:barChart>
      <c:catAx>
        <c:axId val="111766912"/>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1776896"/>
        <c:crosses val="autoZero"/>
        <c:auto val="1"/>
        <c:lblAlgn val="ctr"/>
        <c:lblOffset val="100"/>
        <c:noMultiLvlLbl val="0"/>
      </c:catAx>
      <c:valAx>
        <c:axId val="111776896"/>
        <c:scaling>
          <c:orientation val="minMax"/>
        </c:scaling>
        <c:delete val="0"/>
        <c:axPos val="b"/>
        <c:majorGridlines>
          <c:spPr>
            <a:ln w="12700" cap="rnd">
              <a:solidFill>
                <a:schemeClr val="tx1"/>
              </a:solidFill>
              <a:prstDash val="sysDot"/>
            </a:ln>
          </c:spPr>
        </c:majorGridlines>
        <c:title>
          <c:tx>
            <c:strRef>
              <c:f>Figure_2_GHG_per_pkm_General!$C$12</c:f>
              <c:strCache>
                <c:ptCount val="1"/>
                <c:pt idx="0">
                  <c:v>GHG emissions per pkm [g CO₂/pkm]</c:v>
                </c:pt>
              </c:strCache>
            </c:strRef>
          </c:tx>
          <c:overlay val="0"/>
          <c:txPr>
            <a:bodyPr/>
            <a:lstStyle/>
            <a:p>
              <a:pPr>
                <a:defRPr sz="1100"/>
              </a:pPr>
              <a:endParaRPr lang="en-FI"/>
            </a:p>
          </c:txPr>
        </c:title>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1766912"/>
        <c:crosses val="autoZero"/>
        <c:crossBetween val="between"/>
      </c:valAx>
      <c:spPr>
        <a:solidFill>
          <a:srgbClr val="F9F8F7"/>
        </a:solidFill>
        <a:ln>
          <a:noFill/>
        </a:ln>
      </c:spPr>
    </c:plotArea>
    <c:legend>
      <c:legendPos val="b"/>
      <c:layout>
        <c:manualLayout>
          <c:xMode val="edge"/>
          <c:yMode val="edge"/>
          <c:x val="0.19659420496558383"/>
          <c:y val="0.95754201920009219"/>
          <c:w val="0.75724488084020314"/>
          <c:h val="3.5303681823001427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27672592303947"/>
          <c:y val="2.8480513767860052E-2"/>
          <c:w val="0.6284780625394939"/>
          <c:h val="0.85034842095775254"/>
        </c:manualLayout>
      </c:layout>
      <c:barChart>
        <c:barDir val="bar"/>
        <c:grouping val="stacked"/>
        <c:varyColors val="0"/>
        <c:ser>
          <c:idx val="1"/>
          <c:order val="0"/>
          <c:tx>
            <c:strRef>
              <c:f>Figure_3_MJ_per_pkm_General!$B$45</c:f>
              <c:strCache>
                <c:ptCount val="1"/>
                <c:pt idx="0">
                  <c:v>Vehicle component</c:v>
                </c:pt>
              </c:strCache>
            </c:strRef>
          </c:tx>
          <c:spPr>
            <a:solidFill>
              <a:srgbClr val="003E7E"/>
            </a:solidFill>
          </c:spPr>
          <c:invertIfNegative val="0"/>
          <c:cat>
            <c:strRef>
              <c:f>Figure_3_MJ_per_pkm_General!$C$44:$AH$44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Figure_3_MJ_per_pkm_General!$C$45:$AH$45</c:f>
              <c:numCache>
                <c:formatCode>0</c:formatCode>
                <c:ptCount val="32"/>
                <c:pt idx="0">
                  <c:v>0.302000803931392</c:v>
                </c:pt>
                <c:pt idx="1">
                  <c:v>0.82477460935745672</c:v>
                </c:pt>
                <c:pt idx="2">
                  <c:v>0.76247684020612139</c:v>
                </c:pt>
                <c:pt idx="3">
                  <c:v>9.4977638889436972E-2</c:v>
                </c:pt>
                <c:pt idx="4">
                  <c:v>0.2979787140022731</c:v>
                </c:pt>
                <c:pt idx="5">
                  <c:v>0.16262911800293872</c:v>
                </c:pt>
                <c:pt idx="6">
                  <c:v>0.48099386202586614</c:v>
                </c:pt>
                <c:pt idx="7">
                  <c:v>0.10294124304401861</c:v>
                </c:pt>
                <c:pt idx="8">
                  <c:v>0.13000839895620495</c:v>
                </c:pt>
                <c:pt idx="9">
                  <c:v>0.25722187196108681</c:v>
                </c:pt>
                <c:pt idx="10">
                  <c:v>0.46214333172454819</c:v>
                </c:pt>
                <c:pt idx="11">
                  <c:v>0.2923315594338895</c:v>
                </c:pt>
                <c:pt idx="12">
                  <c:v>0.31480507599602064</c:v>
                </c:pt>
                <c:pt idx="13">
                  <c:v>0.39059733860515505</c:v>
                </c:pt>
                <c:pt idx="14">
                  <c:v>0.55886181030656912</c:v>
                </c:pt>
                <c:pt idx="15">
                  <c:v>0.51922357166367639</c:v>
                </c:pt>
                <c:pt idx="16">
                  <c:v>0.34450822499367106</c:v>
                </c:pt>
                <c:pt idx="17">
                  <c:v>0.66293515793663482</c:v>
                </c:pt>
                <c:pt idx="18">
                  <c:v>1.0225075123192719</c:v>
                </c:pt>
                <c:pt idx="19">
                  <c:v>0.56818992759747378</c:v>
                </c:pt>
                <c:pt idx="20">
                  <c:v>0.24628619913522878</c:v>
                </c:pt>
                <c:pt idx="21">
                  <c:v>0.26521927190120143</c:v>
                </c:pt>
                <c:pt idx="22">
                  <c:v>0.3290664672290477</c:v>
                </c:pt>
                <c:pt idx="23">
                  <c:v>0.51031987322160843</c:v>
                </c:pt>
                <c:pt idx="24">
                  <c:v>0.78717352341747082</c:v>
                </c:pt>
                <c:pt idx="25">
                  <c:v>0.4373888225340144</c:v>
                </c:pt>
                <c:pt idx="26">
                  <c:v>9.7920571000034706E-2</c:v>
                </c:pt>
                <c:pt idx="27">
                  <c:v>9.7372994510693173E-2</c:v>
                </c:pt>
                <c:pt idx="28">
                  <c:v>0.1715667429231485</c:v>
                </c:pt>
                <c:pt idx="29">
                  <c:v>0.21591142780196612</c:v>
                </c:pt>
                <c:pt idx="30">
                  <c:v>0.13530930508455991</c:v>
                </c:pt>
                <c:pt idx="31">
                  <c:v>2.5097498802663841E-2</c:v>
                </c:pt>
              </c:numCache>
            </c:numRef>
          </c:val>
          <c:extLst>
            <c:ext xmlns:c16="http://schemas.microsoft.com/office/drawing/2014/chart" uri="{C3380CC4-5D6E-409C-BE32-E72D297353CC}">
              <c16:uniqueId val="{00000000-A081-4D14-8F4D-B31D024ABB3C}"/>
            </c:ext>
          </c:extLst>
        </c:ser>
        <c:ser>
          <c:idx val="2"/>
          <c:order val="1"/>
          <c:tx>
            <c:strRef>
              <c:f>Figure_3_MJ_per_pkm_General!$B$46</c:f>
              <c:strCache>
                <c:ptCount val="1"/>
                <c:pt idx="0">
                  <c:v>Fuel component</c:v>
                </c:pt>
              </c:strCache>
            </c:strRef>
          </c:tx>
          <c:spPr>
            <a:solidFill>
              <a:srgbClr val="7BC143"/>
            </a:solidFill>
          </c:spPr>
          <c:invertIfNegative val="0"/>
          <c:cat>
            <c:strRef>
              <c:f>Figure_3_MJ_per_pkm_General!$C$44:$AH$44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Figure_3_MJ_per_pkm_General!$C$46:$AH$46</c:f>
              <c:numCache>
                <c:formatCode>0</c:formatCode>
                <c:ptCount val="32"/>
                <c:pt idx="0">
                  <c:v>0.10272971336374727</c:v>
                </c:pt>
                <c:pt idx="1">
                  <c:v>0.10272971336374727</c:v>
                </c:pt>
                <c:pt idx="2">
                  <c:v>0.11113487172987203</c:v>
                </c:pt>
                <c:pt idx="3">
                  <c:v>0</c:v>
                </c:pt>
                <c:pt idx="4">
                  <c:v>0</c:v>
                </c:pt>
                <c:pt idx="5">
                  <c:v>0.19612036187624479</c:v>
                </c:pt>
                <c:pt idx="6">
                  <c:v>0.19612036187624482</c:v>
                </c:pt>
                <c:pt idx="7">
                  <c:v>0.79332529947476416</c:v>
                </c:pt>
                <c:pt idx="8">
                  <c:v>0.32699806902134998</c:v>
                </c:pt>
                <c:pt idx="9">
                  <c:v>0.79332529947476405</c:v>
                </c:pt>
                <c:pt idx="10">
                  <c:v>0.32699806902134998</c:v>
                </c:pt>
                <c:pt idx="11">
                  <c:v>1.8547222835260513</c:v>
                </c:pt>
                <c:pt idx="12">
                  <c:v>1.3815788438510384</c:v>
                </c:pt>
                <c:pt idx="13">
                  <c:v>1.251905425220138</c:v>
                </c:pt>
                <c:pt idx="14">
                  <c:v>1.1851039671375527</c:v>
                </c:pt>
                <c:pt idx="15">
                  <c:v>1.2962503991132992</c:v>
                </c:pt>
                <c:pt idx="16">
                  <c:v>1.7368450902748038</c:v>
                </c:pt>
                <c:pt idx="17">
                  <c:v>1.489847659400017</c:v>
                </c:pt>
                <c:pt idx="18">
                  <c:v>1.489847659400017</c:v>
                </c:pt>
                <c:pt idx="19">
                  <c:v>1.6295748530653043</c:v>
                </c:pt>
                <c:pt idx="20">
                  <c:v>1.7948925324445657</c:v>
                </c:pt>
                <c:pt idx="21">
                  <c:v>1.3370117843719727</c:v>
                </c:pt>
                <c:pt idx="22">
                  <c:v>1.268725393496084</c:v>
                </c:pt>
                <c:pt idx="23">
                  <c:v>1.1468748069073091</c:v>
                </c:pt>
                <c:pt idx="24">
                  <c:v>1.1468748069073091</c:v>
                </c:pt>
                <c:pt idx="25">
                  <c:v>1.2544358701096445</c:v>
                </c:pt>
                <c:pt idx="26">
                  <c:v>0.96573225110845395</c:v>
                </c:pt>
                <c:pt idx="27">
                  <c:v>0.71091598086032548</c:v>
                </c:pt>
                <c:pt idx="28">
                  <c:v>0.75481618268336226</c:v>
                </c:pt>
                <c:pt idx="29">
                  <c:v>0.75481618268336226</c:v>
                </c:pt>
                <c:pt idx="30">
                  <c:v>0.68847733067782246</c:v>
                </c:pt>
                <c:pt idx="31">
                  <c:v>0.87104529422562738</c:v>
                </c:pt>
              </c:numCache>
            </c:numRef>
          </c:val>
          <c:extLst>
            <c:ext xmlns:c16="http://schemas.microsoft.com/office/drawing/2014/chart" uri="{C3380CC4-5D6E-409C-BE32-E72D297353CC}">
              <c16:uniqueId val="{00000001-A081-4D14-8F4D-B31D024ABB3C}"/>
            </c:ext>
          </c:extLst>
        </c:ser>
        <c:ser>
          <c:idx val="3"/>
          <c:order val="2"/>
          <c:tx>
            <c:strRef>
              <c:f>Figure_3_MJ_per_pkm_General!$B$47</c:f>
              <c:strCache>
                <c:ptCount val="1"/>
                <c:pt idx="0">
                  <c:v>Infrastructure component</c:v>
                </c:pt>
              </c:strCache>
            </c:strRef>
          </c:tx>
          <c:spPr>
            <a:solidFill>
              <a:srgbClr val="939598"/>
            </a:solidFill>
          </c:spPr>
          <c:invertIfNegative val="0"/>
          <c:cat>
            <c:strRef>
              <c:f>Figure_3_MJ_per_pkm_General!$C$44:$AH$44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Figure_3_MJ_per_pkm_General!$C$47:$AH$47</c:f>
              <c:numCache>
                <c:formatCode>0</c:formatCode>
                <c:ptCount val="32"/>
                <c:pt idx="0">
                  <c:v>2.7627731661023575E-2</c:v>
                </c:pt>
                <c:pt idx="1">
                  <c:v>2.7627731661023575E-2</c:v>
                </c:pt>
                <c:pt idx="2">
                  <c:v>2.7752305233719292E-2</c:v>
                </c:pt>
                <c:pt idx="3">
                  <c:v>2.7716152958755239E-2</c:v>
                </c:pt>
                <c:pt idx="4">
                  <c:v>2.7770390396550708E-2</c:v>
                </c:pt>
                <c:pt idx="5">
                  <c:v>2.7740166028967599E-2</c:v>
                </c:pt>
                <c:pt idx="6">
                  <c:v>2.7808427605798137E-2</c:v>
                </c:pt>
                <c:pt idx="7">
                  <c:v>3.3347863362650804E-2</c:v>
                </c:pt>
                <c:pt idx="8">
                  <c:v>3.3229403147663539E-2</c:v>
                </c:pt>
                <c:pt idx="9">
                  <c:v>3.3347863362650804E-2</c:v>
                </c:pt>
                <c:pt idx="10">
                  <c:v>3.3229403147663539E-2</c:v>
                </c:pt>
                <c:pt idx="11">
                  <c:v>3.650746940283902E-2</c:v>
                </c:pt>
                <c:pt idx="12">
                  <c:v>3.7210995821514409E-2</c:v>
                </c:pt>
                <c:pt idx="13">
                  <c:v>3.7855174292086589E-2</c:v>
                </c:pt>
                <c:pt idx="14">
                  <c:v>3.5690207721515231E-2</c:v>
                </c:pt>
                <c:pt idx="15">
                  <c:v>3.7993145753810804E-2</c:v>
                </c:pt>
                <c:pt idx="16">
                  <c:v>7.9064986722060193E-2</c:v>
                </c:pt>
                <c:pt idx="17">
                  <c:v>7.5833654469888073E-2</c:v>
                </c:pt>
                <c:pt idx="18">
                  <c:v>7.5833654469888073E-2</c:v>
                </c:pt>
                <c:pt idx="19">
                  <c:v>8.0726879198904922E-2</c:v>
                </c:pt>
                <c:pt idx="20">
                  <c:v>5.971298606925235E-2</c:v>
                </c:pt>
                <c:pt idx="21">
                  <c:v>6.0863700263494684E-2</c:v>
                </c:pt>
                <c:pt idx="22">
                  <c:v>6.1917342728135025E-2</c:v>
                </c:pt>
                <c:pt idx="23">
                  <c:v>5.8376242214088679E-2</c:v>
                </c:pt>
                <c:pt idx="24">
                  <c:v>5.8376242214088679E-2</c:v>
                </c:pt>
                <c:pt idx="25">
                  <c:v>6.2143014025177926E-2</c:v>
                </c:pt>
                <c:pt idx="26">
                  <c:v>1.0543090460783534E-2</c:v>
                </c:pt>
                <c:pt idx="27">
                  <c:v>1.0411279496605943E-2</c:v>
                </c:pt>
                <c:pt idx="28">
                  <c:v>1.1491277995048165E-2</c:v>
                </c:pt>
                <c:pt idx="29">
                  <c:v>1.1491277995048165E-2</c:v>
                </c:pt>
                <c:pt idx="30">
                  <c:v>1.1889648058321935E-2</c:v>
                </c:pt>
                <c:pt idx="31">
                  <c:v>6.0446159712211962E-2</c:v>
                </c:pt>
              </c:numCache>
            </c:numRef>
          </c:val>
          <c:extLst>
            <c:ext xmlns:c16="http://schemas.microsoft.com/office/drawing/2014/chart" uri="{C3380CC4-5D6E-409C-BE32-E72D297353CC}">
              <c16:uniqueId val="{00000002-A081-4D14-8F4D-B31D024ABB3C}"/>
            </c:ext>
          </c:extLst>
        </c:ser>
        <c:ser>
          <c:idx val="4"/>
          <c:order val="3"/>
          <c:tx>
            <c:strRef>
              <c:f>Figure_3_MJ_per_pkm_General!$B$48</c:f>
              <c:strCache>
                <c:ptCount val="1"/>
                <c:pt idx="0">
                  <c:v>Operational services</c:v>
                </c:pt>
              </c:strCache>
            </c:strRef>
          </c:tx>
          <c:spPr>
            <a:solidFill>
              <a:srgbClr val="007DC3"/>
            </a:solidFill>
          </c:spPr>
          <c:invertIfNegative val="0"/>
          <c:cat>
            <c:strRef>
              <c:f>Figure_3_MJ_per_pkm_General!$C$44:$AH$44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Figure_3_MJ_per_pkm_General!$C$48:$AH$48</c:f>
              <c:numCache>
                <c:formatCode>0</c:formatCode>
                <c:ptCount val="32"/>
                <c:pt idx="0">
                  <c:v>0</c:v>
                </c:pt>
                <c:pt idx="1">
                  <c:v>0.50111855552115991</c:v>
                </c:pt>
                <c:pt idx="2">
                  <c:v>0.35645658958233067</c:v>
                </c:pt>
                <c:pt idx="3">
                  <c:v>0</c:v>
                </c:pt>
                <c:pt idx="4">
                  <c:v>0.35645658958233067</c:v>
                </c:pt>
                <c:pt idx="5">
                  <c:v>0</c:v>
                </c:pt>
                <c:pt idx="6">
                  <c:v>0.35645658958233067</c:v>
                </c:pt>
                <c:pt idx="7">
                  <c:v>0</c:v>
                </c:pt>
                <c:pt idx="8">
                  <c:v>0</c:v>
                </c:pt>
                <c:pt idx="9">
                  <c:v>0</c:v>
                </c:pt>
                <c:pt idx="10">
                  <c:v>0.19504228486580358</c:v>
                </c:pt>
                <c:pt idx="11">
                  <c:v>0</c:v>
                </c:pt>
                <c:pt idx="12">
                  <c:v>0</c:v>
                </c:pt>
                <c:pt idx="13">
                  <c:v>0</c:v>
                </c:pt>
                <c:pt idx="14">
                  <c:v>0</c:v>
                </c:pt>
                <c:pt idx="15">
                  <c:v>0</c:v>
                </c:pt>
                <c:pt idx="16">
                  <c:v>1.5950360141301445</c:v>
                </c:pt>
                <c:pt idx="17">
                  <c:v>1.3682053083585826</c:v>
                </c:pt>
                <c:pt idx="18">
                  <c:v>1.3682053083585826</c:v>
                </c:pt>
                <c:pt idx="19">
                  <c:v>1.4965241246407002</c:v>
                </c:pt>
                <c:pt idx="20">
                  <c:v>1.6483440272093408</c:v>
                </c:pt>
                <c:pt idx="21">
                  <c:v>1.2278481019008356</c:v>
                </c:pt>
                <c:pt idx="22">
                  <c:v>1.1651371247780702</c:v>
                </c:pt>
                <c:pt idx="23">
                  <c:v>1.0532353351249537</c:v>
                </c:pt>
                <c:pt idx="24">
                  <c:v>1.0532353351249537</c:v>
                </c:pt>
                <c:pt idx="25">
                  <c:v>1.152014305389198</c:v>
                </c:pt>
                <c:pt idx="26">
                  <c:v>0.10730358345649489</c:v>
                </c:pt>
                <c:pt idx="27">
                  <c:v>7.8990664540036171E-2</c:v>
                </c:pt>
                <c:pt idx="28">
                  <c:v>8.3868464742595822E-2</c:v>
                </c:pt>
                <c:pt idx="29">
                  <c:v>8.3868464742595822E-2</c:v>
                </c:pt>
                <c:pt idx="30">
                  <c:v>7.6497481186424715E-2</c:v>
                </c:pt>
                <c:pt idx="31">
                  <c:v>0</c:v>
                </c:pt>
              </c:numCache>
            </c:numRef>
          </c:val>
          <c:extLst>
            <c:ext xmlns:c16="http://schemas.microsoft.com/office/drawing/2014/chart" uri="{C3380CC4-5D6E-409C-BE32-E72D297353CC}">
              <c16:uniqueId val="{00000003-A081-4D14-8F4D-B31D024ABB3C}"/>
            </c:ext>
          </c:extLst>
        </c:ser>
        <c:ser>
          <c:idx val="5"/>
          <c:order val="4"/>
          <c:tx>
            <c:strRef>
              <c:f>Figure_2_GHG_per_pkm_General!$B$49</c:f>
              <c:strCache>
                <c:ptCount val="1"/>
                <c:pt idx="0">
                  <c:v>Column 5</c:v>
                </c:pt>
              </c:strCache>
            </c:strRef>
          </c:tx>
          <c:spPr>
            <a:solidFill>
              <a:srgbClr val="9E005D"/>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Figure_2_GHG_per_pkm_General!$C$49:$K$49</c:f>
            </c:numRef>
          </c:val>
          <c:extLst>
            <c:ext xmlns:c16="http://schemas.microsoft.com/office/drawing/2014/chart" uri="{C3380CC4-5D6E-409C-BE32-E72D297353CC}">
              <c16:uniqueId val="{00000004-A081-4D14-8F4D-B31D024ABB3C}"/>
            </c:ext>
          </c:extLst>
        </c:ser>
        <c:ser>
          <c:idx val="6"/>
          <c:order val="5"/>
          <c:tx>
            <c:strRef>
              <c:f>Figure_2_GHG_per_pkm_General!$B$50</c:f>
              <c:strCache>
                <c:ptCount val="1"/>
                <c:pt idx="0">
                  <c:v>Column 6</c:v>
                </c:pt>
              </c:strCache>
            </c:strRef>
          </c:tx>
          <c:spPr>
            <a:solidFill>
              <a:srgbClr val="E2001A"/>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Figure_2_GHG_per_pkm_General!$C$50:$K$50</c:f>
            </c:numRef>
          </c:val>
          <c:extLst>
            <c:ext xmlns:c16="http://schemas.microsoft.com/office/drawing/2014/chart" uri="{C3380CC4-5D6E-409C-BE32-E72D297353CC}">
              <c16:uniqueId val="{00000005-A081-4D14-8F4D-B31D024ABB3C}"/>
            </c:ext>
          </c:extLst>
        </c:ser>
        <c:ser>
          <c:idx val="7"/>
          <c:order val="6"/>
          <c:tx>
            <c:strRef>
              <c:f>Figure_2_GHG_per_pkm_General!$B$51</c:f>
              <c:strCache>
                <c:ptCount val="1"/>
                <c:pt idx="0">
                  <c:v>Column 7</c:v>
                </c:pt>
              </c:strCache>
            </c:strRef>
          </c:tx>
          <c:spPr>
            <a:solidFill>
              <a:srgbClr val="EEA320"/>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Figure_2_GHG_per_pkm_General!$C$51:$K$51</c:f>
            </c:numRef>
          </c:val>
          <c:extLst>
            <c:ext xmlns:c16="http://schemas.microsoft.com/office/drawing/2014/chart" uri="{C3380CC4-5D6E-409C-BE32-E72D297353CC}">
              <c16:uniqueId val="{00000006-A081-4D14-8F4D-B31D024ABB3C}"/>
            </c:ext>
          </c:extLst>
        </c:ser>
        <c:ser>
          <c:idx val="8"/>
          <c:order val="7"/>
          <c:tx>
            <c:strRef>
              <c:f>Figure_2_GHG_per_pkm_General!$B$52</c:f>
              <c:strCache>
                <c:ptCount val="1"/>
                <c:pt idx="0">
                  <c:v>Column 8</c:v>
                </c:pt>
              </c:strCache>
            </c:strRef>
          </c:tx>
          <c:spPr>
            <a:solidFill>
              <a:srgbClr val="00909D"/>
            </a:solidFill>
          </c:spPr>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Figure_2_GHG_per_pkm_General!$C$52:$K$52</c:f>
            </c:numRef>
          </c:val>
          <c:extLst>
            <c:ext xmlns:c16="http://schemas.microsoft.com/office/drawing/2014/chart" uri="{C3380CC4-5D6E-409C-BE32-E72D297353CC}">
              <c16:uniqueId val="{00000007-A081-4D14-8F4D-B31D024ABB3C}"/>
            </c:ext>
          </c:extLst>
        </c:ser>
        <c:ser>
          <c:idx val="0"/>
          <c:order val="8"/>
          <c:tx>
            <c:strRef>
              <c:f>Figure_2_GHG_per_pkm_General!$B$53</c:f>
              <c:strCache>
                <c:ptCount val="1"/>
                <c:pt idx="0">
                  <c:v>Column 9</c:v>
                </c:pt>
              </c:strCache>
            </c:strRef>
          </c:tx>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Figure_2_GHG_per_pkm_General!$C$53:$K$53</c:f>
            </c:numRef>
          </c:val>
          <c:extLst>
            <c:ext xmlns:c16="http://schemas.microsoft.com/office/drawing/2014/chart" uri="{C3380CC4-5D6E-409C-BE32-E72D297353CC}">
              <c16:uniqueId val="{00000008-A081-4D14-8F4D-B31D024ABB3C}"/>
            </c:ext>
          </c:extLst>
        </c:ser>
        <c:ser>
          <c:idx val="9"/>
          <c:order val="9"/>
          <c:tx>
            <c:strRef>
              <c:f>Figure_2_GHG_per_pkm_General!$B$54</c:f>
              <c:strCache>
                <c:ptCount val="1"/>
                <c:pt idx="0">
                  <c:v>Column 10</c:v>
                </c:pt>
              </c:strCache>
            </c:strRef>
          </c:tx>
          <c:invertIfNegative val="0"/>
          <c:cat>
            <c:strRef>
              <c:f>Figure_2_GHG_per_pkm_General!$C$44:$AH$44</c:f>
              <c:strCache>
                <c:ptCount val="32"/>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BEV</c:v>
                </c:pt>
                <c:pt idx="18">
                  <c:v>Taxi  BEV (two packs)</c:v>
                </c:pt>
                <c:pt idx="19">
                  <c:v>Taxi - FCEV</c:v>
                </c:pt>
                <c:pt idx="20">
                  <c:v>Ridesourcing - car - ICE</c:v>
                </c:pt>
                <c:pt idx="21">
                  <c:v>Ridesourcing - car - HEV</c:v>
                </c:pt>
                <c:pt idx="22">
                  <c:v>Ridesourcing - car - PHEV</c:v>
                </c:pt>
                <c:pt idx="23">
                  <c:v>Ridesourcing - car - BEV</c:v>
                </c:pt>
                <c:pt idx="24">
                  <c:v>Ridesourcing - car - BEV (two packs)</c:v>
                </c:pt>
                <c:pt idx="25">
                  <c:v>Ridesourcing - car - FCEV</c:v>
                </c:pt>
                <c:pt idx="26">
                  <c:v>Bus - ICE</c:v>
                </c:pt>
                <c:pt idx="27">
                  <c:v>Bus - HEV</c:v>
                </c:pt>
                <c:pt idx="28">
                  <c:v>Bus - BEV</c:v>
                </c:pt>
                <c:pt idx="29">
                  <c:v>Bus - BEV (two packs)</c:v>
                </c:pt>
                <c:pt idx="30">
                  <c:v>Bus - FCEV</c:v>
                </c:pt>
                <c:pt idx="31">
                  <c:v>Metro/urban train</c:v>
                </c:pt>
              </c:strCache>
            </c:strRef>
          </c:cat>
          <c:val>
            <c:numRef>
              <c:f>Figure_2_GHG_per_pkm_General!$C$54:$K$54</c:f>
            </c:numRef>
          </c:val>
          <c:extLst>
            <c:ext xmlns:c16="http://schemas.microsoft.com/office/drawing/2014/chart" uri="{C3380CC4-5D6E-409C-BE32-E72D297353CC}">
              <c16:uniqueId val="{00000009-A081-4D14-8F4D-B31D024ABB3C}"/>
            </c:ext>
          </c:extLst>
        </c:ser>
        <c:dLbls>
          <c:showLegendKey val="0"/>
          <c:showVal val="0"/>
          <c:showCatName val="0"/>
          <c:showSerName val="0"/>
          <c:showPercent val="0"/>
          <c:showBubbleSize val="0"/>
        </c:dLbls>
        <c:gapWidth val="70"/>
        <c:overlap val="100"/>
        <c:axId val="112132864"/>
        <c:axId val="112134400"/>
      </c:barChart>
      <c:catAx>
        <c:axId val="112132864"/>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2134400"/>
        <c:crosses val="autoZero"/>
        <c:auto val="1"/>
        <c:lblAlgn val="ctr"/>
        <c:lblOffset val="100"/>
        <c:noMultiLvlLbl val="0"/>
      </c:catAx>
      <c:valAx>
        <c:axId val="112134400"/>
        <c:scaling>
          <c:orientation val="minMax"/>
        </c:scaling>
        <c:delete val="0"/>
        <c:axPos val="b"/>
        <c:majorGridlines>
          <c:spPr>
            <a:ln w="12700" cap="rnd">
              <a:solidFill>
                <a:schemeClr val="tx1"/>
              </a:solidFill>
              <a:prstDash val="sysDot"/>
            </a:ln>
          </c:spPr>
        </c:majorGridlines>
        <c:title>
          <c:tx>
            <c:strRef>
              <c:f>Figure_3_MJ_per_pkm_General!$C$12</c:f>
              <c:strCache>
                <c:ptCount val="1"/>
                <c:pt idx="0">
                  <c:v>Energy consumption per pkm [MJ/pkm]</c:v>
                </c:pt>
              </c:strCache>
            </c:strRef>
          </c:tx>
          <c:overlay val="0"/>
          <c:txPr>
            <a:bodyPr/>
            <a:lstStyle/>
            <a:p>
              <a:pPr>
                <a:defRPr sz="1100"/>
              </a:pPr>
              <a:endParaRPr lang="en-FI"/>
            </a:p>
          </c:txPr>
        </c:title>
        <c:numFmt formatCode="#,##0.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2132864"/>
        <c:crosses val="autoZero"/>
        <c:crossBetween val="between"/>
      </c:valAx>
      <c:spPr>
        <a:solidFill>
          <a:srgbClr val="F9F8F7"/>
        </a:solidFill>
        <a:ln>
          <a:noFill/>
        </a:ln>
      </c:spPr>
    </c:plotArea>
    <c:legend>
      <c:legendPos val="b"/>
      <c:layout>
        <c:manualLayout>
          <c:xMode val="edge"/>
          <c:yMode val="edge"/>
          <c:x val="0.19659420496558383"/>
          <c:y val="0.95754201920009219"/>
          <c:w val="0.75724488084020314"/>
          <c:h val="3.4161072478265886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083728292552979"/>
          <c:y val="2.8658715084571552E-3"/>
          <c:w val="0.60391750553700352"/>
          <c:h val="0.17156057962262064"/>
        </c:manualLayout>
      </c:layout>
      <c:barChart>
        <c:barDir val="bar"/>
        <c:grouping val="stacked"/>
        <c:varyColors val="0"/>
        <c:ser>
          <c:idx val="1"/>
          <c:order val="0"/>
          <c:tx>
            <c:strRef>
              <c:f>Figure_4_GHG_per_vkm_General!$B$45</c:f>
              <c:strCache>
                <c:ptCount val="1"/>
                <c:pt idx="0">
                  <c:v>Vehicle component</c:v>
                </c:pt>
              </c:strCache>
            </c:strRef>
          </c:tx>
          <c:spPr>
            <a:solidFill>
              <a:srgbClr val="003E7E"/>
            </a:solidFill>
          </c:spPr>
          <c:invertIfNegative val="0"/>
          <c:cat>
            <c:strRef>
              <c:f>Figure_4_GHG_per_vkm_General!$AD$44:$AI$44</c:f>
              <c:strCache>
                <c:ptCount val="6"/>
                <c:pt idx="0">
                  <c:v>Bus - ICE</c:v>
                </c:pt>
                <c:pt idx="1">
                  <c:v>Bus - HEV</c:v>
                </c:pt>
                <c:pt idx="2">
                  <c:v>Bus - BEV</c:v>
                </c:pt>
                <c:pt idx="3">
                  <c:v>Bus - BEV (two packs)</c:v>
                </c:pt>
                <c:pt idx="4">
                  <c:v>Bus - FCEV</c:v>
                </c:pt>
                <c:pt idx="5">
                  <c:v>Metro/urban train</c:v>
                </c:pt>
              </c:strCache>
            </c:strRef>
          </c:cat>
          <c:val>
            <c:numRef>
              <c:f>Figure_4_GHG_per_vkm_General!$AD$45:$AI$45</c:f>
              <c:numCache>
                <c:formatCode>0</c:formatCode>
                <c:ptCount val="6"/>
                <c:pt idx="0">
                  <c:v>122.60984448820551</c:v>
                </c:pt>
                <c:pt idx="1">
                  <c:v>122.29306953816973</c:v>
                </c:pt>
                <c:pt idx="2">
                  <c:v>210.07091009932793</c:v>
                </c:pt>
                <c:pt idx="3">
                  <c:v>261.03300078424672</c:v>
                </c:pt>
                <c:pt idx="4">
                  <c:v>168.68553875106272</c:v>
                </c:pt>
                <c:pt idx="5">
                  <c:v>385.36954858937395</c:v>
                </c:pt>
              </c:numCache>
            </c:numRef>
          </c:val>
          <c:extLst>
            <c:ext xmlns:c16="http://schemas.microsoft.com/office/drawing/2014/chart" uri="{C3380CC4-5D6E-409C-BE32-E72D297353CC}">
              <c16:uniqueId val="{00000000-5686-4AF6-9E11-68378844B617}"/>
            </c:ext>
          </c:extLst>
        </c:ser>
        <c:ser>
          <c:idx val="2"/>
          <c:order val="1"/>
          <c:tx>
            <c:strRef>
              <c:f>Figure_4_GHG_per_vkm_General!$B$46</c:f>
              <c:strCache>
                <c:ptCount val="1"/>
                <c:pt idx="0">
                  <c:v>Fuel component</c:v>
                </c:pt>
              </c:strCache>
            </c:strRef>
          </c:tx>
          <c:spPr>
            <a:solidFill>
              <a:srgbClr val="7BC143"/>
            </a:solidFill>
          </c:spPr>
          <c:invertIfNegative val="0"/>
          <c:cat>
            <c:strRef>
              <c:f>Figure_4_GHG_per_vkm_General!$AD$44:$AI$44</c:f>
              <c:strCache>
                <c:ptCount val="6"/>
                <c:pt idx="0">
                  <c:v>Bus - ICE</c:v>
                </c:pt>
                <c:pt idx="1">
                  <c:v>Bus - HEV</c:v>
                </c:pt>
                <c:pt idx="2">
                  <c:v>Bus - BEV</c:v>
                </c:pt>
                <c:pt idx="3">
                  <c:v>Bus - BEV (two packs)</c:v>
                </c:pt>
                <c:pt idx="4">
                  <c:v>Bus - FCEV</c:v>
                </c:pt>
                <c:pt idx="5">
                  <c:v>Metro/urban train</c:v>
                </c:pt>
              </c:strCache>
            </c:strRef>
          </c:cat>
          <c:val>
            <c:numRef>
              <c:f>Figure_4_GHG_per_vkm_General!$AD$46:$AI$46</c:f>
              <c:numCache>
                <c:formatCode>0</c:formatCode>
                <c:ptCount val="6"/>
                <c:pt idx="0">
                  <c:v>1099.0850624066097</c:v>
                </c:pt>
                <c:pt idx="1">
                  <c:v>809.0825736563072</c:v>
                </c:pt>
                <c:pt idx="2">
                  <c:v>160.07423551313678</c:v>
                </c:pt>
                <c:pt idx="3">
                  <c:v>160.07423551313678</c:v>
                </c:pt>
                <c:pt idx="4">
                  <c:v>671.87903784663933</c:v>
                </c:pt>
                <c:pt idx="5">
                  <c:v>2293.9457492758092</c:v>
                </c:pt>
              </c:numCache>
            </c:numRef>
          </c:val>
          <c:extLst>
            <c:ext xmlns:c16="http://schemas.microsoft.com/office/drawing/2014/chart" uri="{C3380CC4-5D6E-409C-BE32-E72D297353CC}">
              <c16:uniqueId val="{00000001-5686-4AF6-9E11-68378844B617}"/>
            </c:ext>
          </c:extLst>
        </c:ser>
        <c:ser>
          <c:idx val="3"/>
          <c:order val="2"/>
          <c:tx>
            <c:strRef>
              <c:f>Figure_4_GHG_per_vkm_General!$B$47</c:f>
              <c:strCache>
                <c:ptCount val="1"/>
                <c:pt idx="0">
                  <c:v>Infrastructure component</c:v>
                </c:pt>
              </c:strCache>
            </c:strRef>
          </c:tx>
          <c:spPr>
            <a:solidFill>
              <a:srgbClr val="939598"/>
            </a:solidFill>
          </c:spPr>
          <c:invertIfNegative val="0"/>
          <c:cat>
            <c:strRef>
              <c:f>Figure_4_GHG_per_vkm_General!$AD$44:$AI$44</c:f>
              <c:strCache>
                <c:ptCount val="6"/>
                <c:pt idx="0">
                  <c:v>Bus - ICE</c:v>
                </c:pt>
                <c:pt idx="1">
                  <c:v>Bus - HEV</c:v>
                </c:pt>
                <c:pt idx="2">
                  <c:v>Bus - BEV</c:v>
                </c:pt>
                <c:pt idx="3">
                  <c:v>Bus - BEV (two packs)</c:v>
                </c:pt>
                <c:pt idx="4">
                  <c:v>Bus - FCEV</c:v>
                </c:pt>
                <c:pt idx="5">
                  <c:v>Metro/urban train</c:v>
                </c:pt>
              </c:strCache>
            </c:strRef>
          </c:cat>
          <c:val>
            <c:numRef>
              <c:f>Figure_4_GHG_per_vkm_General!$AD$47:$AI$47</c:f>
              <c:numCache>
                <c:formatCode>0</c:formatCode>
                <c:ptCount val="6"/>
                <c:pt idx="0">
                  <c:v>55.117412150243709</c:v>
                </c:pt>
                <c:pt idx="1">
                  <c:v>54.428327743207582</c:v>
                </c:pt>
                <c:pt idx="2">
                  <c:v>60.074368871442424</c:v>
                </c:pt>
                <c:pt idx="3">
                  <c:v>60.074368871442424</c:v>
                </c:pt>
                <c:pt idx="4">
                  <c:v>62.156977101681122</c:v>
                </c:pt>
                <c:pt idx="5">
                  <c:v>2090.6468081882867</c:v>
                </c:pt>
              </c:numCache>
            </c:numRef>
          </c:val>
          <c:extLst>
            <c:ext xmlns:c16="http://schemas.microsoft.com/office/drawing/2014/chart" uri="{C3380CC4-5D6E-409C-BE32-E72D297353CC}">
              <c16:uniqueId val="{00000002-5686-4AF6-9E11-68378844B617}"/>
            </c:ext>
          </c:extLst>
        </c:ser>
        <c:ser>
          <c:idx val="4"/>
          <c:order val="3"/>
          <c:tx>
            <c:strRef>
              <c:f>Figure_4_GHG_per_vkm_General!$B$48</c:f>
              <c:strCache>
                <c:ptCount val="1"/>
                <c:pt idx="0">
                  <c:v>Operational services</c:v>
                </c:pt>
              </c:strCache>
            </c:strRef>
          </c:tx>
          <c:spPr>
            <a:solidFill>
              <a:srgbClr val="007DC3"/>
            </a:solidFill>
          </c:spPr>
          <c:invertIfNegative val="0"/>
          <c:cat>
            <c:strRef>
              <c:f>Figure_4_GHG_per_vkm_General!$AD$44:$AI$44</c:f>
              <c:strCache>
                <c:ptCount val="6"/>
                <c:pt idx="0">
                  <c:v>Bus - ICE</c:v>
                </c:pt>
                <c:pt idx="1">
                  <c:v>Bus - HEV</c:v>
                </c:pt>
                <c:pt idx="2">
                  <c:v>Bus - BEV</c:v>
                </c:pt>
                <c:pt idx="3">
                  <c:v>Bus - BEV (two packs)</c:v>
                </c:pt>
                <c:pt idx="4">
                  <c:v>Bus - FCEV</c:v>
                </c:pt>
                <c:pt idx="5">
                  <c:v>Metro/urban train</c:v>
                </c:pt>
              </c:strCache>
            </c:strRef>
          </c:cat>
          <c:val>
            <c:numRef>
              <c:f>Figure_4_GHG_per_vkm_General!$AD$48:$AI$48</c:f>
              <c:numCache>
                <c:formatCode>0</c:formatCode>
                <c:ptCount val="6"/>
                <c:pt idx="0">
                  <c:v>122.12056248962332</c:v>
                </c:pt>
                <c:pt idx="1">
                  <c:v>89.898063739589688</c:v>
                </c:pt>
                <c:pt idx="2">
                  <c:v>17.786026168126309</c:v>
                </c:pt>
                <c:pt idx="3">
                  <c:v>17.786026168126309</c:v>
                </c:pt>
                <c:pt idx="4">
                  <c:v>74.653226427404377</c:v>
                </c:pt>
                <c:pt idx="5">
                  <c:v>0</c:v>
                </c:pt>
              </c:numCache>
            </c:numRef>
          </c:val>
          <c:extLst>
            <c:ext xmlns:c16="http://schemas.microsoft.com/office/drawing/2014/chart" uri="{C3380CC4-5D6E-409C-BE32-E72D297353CC}">
              <c16:uniqueId val="{00000003-5686-4AF6-9E11-68378844B617}"/>
            </c:ext>
          </c:extLst>
        </c:ser>
        <c:dLbls>
          <c:showLegendKey val="0"/>
          <c:showVal val="0"/>
          <c:showCatName val="0"/>
          <c:showSerName val="0"/>
          <c:showPercent val="0"/>
          <c:showBubbleSize val="0"/>
        </c:dLbls>
        <c:gapWidth val="70"/>
        <c:overlap val="100"/>
        <c:axId val="112943104"/>
        <c:axId val="112944640"/>
      </c:barChart>
      <c:catAx>
        <c:axId val="112943104"/>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2944640"/>
        <c:crosses val="autoZero"/>
        <c:auto val="1"/>
        <c:lblAlgn val="ctr"/>
        <c:lblOffset val="100"/>
        <c:noMultiLvlLbl val="0"/>
      </c:catAx>
      <c:valAx>
        <c:axId val="112944640"/>
        <c:scaling>
          <c:orientation val="minMax"/>
        </c:scaling>
        <c:delete val="0"/>
        <c:axPos val="b"/>
        <c:majorGridlines>
          <c:spPr>
            <a:ln w="12700" cap="rnd">
              <a:solidFill>
                <a:schemeClr val="tx1"/>
              </a:solidFill>
              <a:prstDash val="sysDot"/>
            </a:ln>
          </c:spPr>
        </c:majorGridlines>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2943104"/>
        <c:crosses val="autoZero"/>
        <c:crossBetween val="between"/>
      </c:valAx>
      <c:spPr>
        <a:solidFill>
          <a:srgbClr val="F9F8F7"/>
        </a:solidFill>
        <a:ln>
          <a:noFill/>
        </a:ln>
      </c:spPr>
    </c:plotArea>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30224811287414"/>
          <c:y val="2.8480513767860052E-2"/>
          <c:w val="0.60545254034965934"/>
          <c:h val="0.83728715305268386"/>
        </c:manualLayout>
      </c:layout>
      <c:barChart>
        <c:barDir val="bar"/>
        <c:grouping val="stacked"/>
        <c:varyColors val="0"/>
        <c:ser>
          <c:idx val="1"/>
          <c:order val="0"/>
          <c:tx>
            <c:strRef>
              <c:f>Figure_4_GHG_per_vkm_General!$B$45</c:f>
              <c:strCache>
                <c:ptCount val="1"/>
                <c:pt idx="0">
                  <c:v>Vehicle component</c:v>
                </c:pt>
              </c:strCache>
            </c:strRef>
          </c:tx>
          <c:spPr>
            <a:solidFill>
              <a:srgbClr val="003E7E"/>
            </a:solidFill>
          </c:spPr>
          <c:invertIfNegative val="0"/>
          <c:cat>
            <c:strRef>
              <c:f>Figure_4_GHG_per_vkm_General!$C$44:$AC$44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Figure_4_GHG_per_vkm_General!$C$45:$AC$45</c:f>
              <c:numCache>
                <c:formatCode>0</c:formatCode>
                <c:ptCount val="27"/>
                <c:pt idx="0">
                  <c:v>26.164322330581768</c:v>
                </c:pt>
                <c:pt idx="1">
                  <c:v>71.455666502830198</c:v>
                </c:pt>
                <c:pt idx="2">
                  <c:v>65.575881673322854</c:v>
                </c:pt>
                <c:pt idx="3">
                  <c:v>7.4670905852088847</c:v>
                </c:pt>
                <c:pt idx="4">
                  <c:v>23.312907018241759</c:v>
                </c:pt>
                <c:pt idx="5">
                  <c:v>12.537922665474529</c:v>
                </c:pt>
                <c:pt idx="6">
                  <c:v>37.131518608826688</c:v>
                </c:pt>
                <c:pt idx="7">
                  <c:v>7.985146217473579</c:v>
                </c:pt>
                <c:pt idx="8">
                  <c:v>9.7988736045981124</c:v>
                </c:pt>
                <c:pt idx="9">
                  <c:v>19.952685602050249</c:v>
                </c:pt>
                <c:pt idx="10">
                  <c:v>34.562416943858203</c:v>
                </c:pt>
                <c:pt idx="11">
                  <c:v>35.795178583035813</c:v>
                </c:pt>
                <c:pt idx="12">
                  <c:v>38.966644925420127</c:v>
                </c:pt>
                <c:pt idx="13">
                  <c:v>47.640612298416279</c:v>
                </c:pt>
                <c:pt idx="14">
                  <c:v>62.473911169146469</c:v>
                </c:pt>
                <c:pt idx="15">
                  <c:v>56.617370367277459</c:v>
                </c:pt>
                <c:pt idx="16">
                  <c:v>19.060841501384477</c:v>
                </c:pt>
                <c:pt idx="17">
                  <c:v>22.886910013249171</c:v>
                </c:pt>
                <c:pt idx="18">
                  <c:v>31.329735920818003</c:v>
                </c:pt>
                <c:pt idx="19">
                  <c:v>47.727483890629685</c:v>
                </c:pt>
                <c:pt idx="20">
                  <c:v>26.225109841514261</c:v>
                </c:pt>
                <c:pt idx="21">
                  <c:v>18.026655540937302</c:v>
                </c:pt>
                <c:pt idx="22">
                  <c:v>19.57006563826118</c:v>
                </c:pt>
                <c:pt idx="23">
                  <c:v>23.601432229602565</c:v>
                </c:pt>
                <c:pt idx="24">
                  <c:v>31.13390154136945</c:v>
                </c:pt>
                <c:pt idx="25">
                  <c:v>50.412289180842627</c:v>
                </c:pt>
                <c:pt idx="26">
                  <c:v>26.225109841514261</c:v>
                </c:pt>
              </c:numCache>
            </c:numRef>
          </c:val>
          <c:extLst>
            <c:ext xmlns:c16="http://schemas.microsoft.com/office/drawing/2014/chart" uri="{C3380CC4-5D6E-409C-BE32-E72D297353CC}">
              <c16:uniqueId val="{00000000-7BBB-4D3C-841B-29CE73D9A94C}"/>
            </c:ext>
          </c:extLst>
        </c:ser>
        <c:ser>
          <c:idx val="2"/>
          <c:order val="1"/>
          <c:tx>
            <c:strRef>
              <c:f>Figure_4_GHG_per_vkm_General!$B$46</c:f>
              <c:strCache>
                <c:ptCount val="1"/>
                <c:pt idx="0">
                  <c:v>Fuel component</c:v>
                </c:pt>
              </c:strCache>
            </c:strRef>
          </c:tx>
          <c:spPr>
            <a:solidFill>
              <a:srgbClr val="7BC143"/>
            </a:solidFill>
          </c:spPr>
          <c:invertIfNegative val="0"/>
          <c:cat>
            <c:strRef>
              <c:f>Figure_4_GHG_per_vkm_General!$C$44:$AC$44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Figure_4_GHG_per_vkm_General!$C$46:$AC$46</c:f>
              <c:numCache>
                <c:formatCode>0</c:formatCode>
                <c:ptCount val="27"/>
                <c:pt idx="0">
                  <c:v>1.4239176699373322</c:v>
                </c:pt>
                <c:pt idx="1">
                  <c:v>1.4239176699373322</c:v>
                </c:pt>
                <c:pt idx="2">
                  <c:v>1.5404200247503861</c:v>
                </c:pt>
                <c:pt idx="3">
                  <c:v>0</c:v>
                </c:pt>
                <c:pt idx="4">
                  <c:v>0</c:v>
                </c:pt>
                <c:pt idx="5">
                  <c:v>2.7183882789712701</c:v>
                </c:pt>
                <c:pt idx="6">
                  <c:v>2.7183882789712706</c:v>
                </c:pt>
                <c:pt idx="7">
                  <c:v>53.73696412283369</c:v>
                </c:pt>
                <c:pt idx="8">
                  <c:v>4.5324601156650521</c:v>
                </c:pt>
                <c:pt idx="9">
                  <c:v>53.736964122833704</c:v>
                </c:pt>
                <c:pt idx="10">
                  <c:v>4.5324601156650521</c:v>
                </c:pt>
                <c:pt idx="11">
                  <c:v>188.44819056</c:v>
                </c:pt>
                <c:pt idx="12">
                  <c:v>140.37467256000002</c:v>
                </c:pt>
                <c:pt idx="13">
                  <c:v>63.989631793861733</c:v>
                </c:pt>
                <c:pt idx="14">
                  <c:v>24.639762308275344</c:v>
                </c:pt>
                <c:pt idx="15">
                  <c:v>124.01955766948878</c:v>
                </c:pt>
                <c:pt idx="16">
                  <c:v>73.174598130899369</c:v>
                </c:pt>
                <c:pt idx="17">
                  <c:v>51.50736067775064</c:v>
                </c:pt>
                <c:pt idx="18">
                  <c:v>12.844230886296639</c:v>
                </c:pt>
                <c:pt idx="19">
                  <c:v>12.844230886296639</c:v>
                </c:pt>
                <c:pt idx="20">
                  <c:v>64.648993492453556</c:v>
                </c:pt>
                <c:pt idx="21">
                  <c:v>98.23439201134434</c:v>
                </c:pt>
                <c:pt idx="22">
                  <c:v>73.174598130899369</c:v>
                </c:pt>
                <c:pt idx="23">
                  <c:v>51.50736067775064</c:v>
                </c:pt>
                <c:pt idx="24">
                  <c:v>12.844230886296639</c:v>
                </c:pt>
                <c:pt idx="25">
                  <c:v>12.844230886296639</c:v>
                </c:pt>
                <c:pt idx="26">
                  <c:v>64.648993492453556</c:v>
                </c:pt>
              </c:numCache>
            </c:numRef>
          </c:val>
          <c:extLst>
            <c:ext xmlns:c16="http://schemas.microsoft.com/office/drawing/2014/chart" uri="{C3380CC4-5D6E-409C-BE32-E72D297353CC}">
              <c16:uniqueId val="{00000001-7BBB-4D3C-841B-29CE73D9A94C}"/>
            </c:ext>
          </c:extLst>
        </c:ser>
        <c:ser>
          <c:idx val="3"/>
          <c:order val="2"/>
          <c:tx>
            <c:strRef>
              <c:f>Figure_4_GHG_per_vkm_General!$B$47</c:f>
              <c:strCache>
                <c:ptCount val="1"/>
                <c:pt idx="0">
                  <c:v>Infrastructure component</c:v>
                </c:pt>
              </c:strCache>
            </c:strRef>
          </c:tx>
          <c:spPr>
            <a:solidFill>
              <a:srgbClr val="939598"/>
            </a:solidFill>
          </c:spPr>
          <c:invertIfNegative val="0"/>
          <c:cat>
            <c:strRef>
              <c:f>Figure_4_GHG_per_vkm_General!$C$44:$AC$44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Figure_4_GHG_per_vkm_General!$C$47:$AC$47</c:f>
              <c:numCache>
                <c:formatCode>0</c:formatCode>
                <c:ptCount val="27"/>
                <c:pt idx="0">
                  <c:v>9.4409392749428456</c:v>
                </c:pt>
                <c:pt idx="1">
                  <c:v>9.4409392749428456</c:v>
                </c:pt>
                <c:pt idx="2">
                  <c:v>9.4835085147745115</c:v>
                </c:pt>
                <c:pt idx="3">
                  <c:v>9.471154571397097</c:v>
                </c:pt>
                <c:pt idx="4">
                  <c:v>9.4896885706026097</c:v>
                </c:pt>
                <c:pt idx="5">
                  <c:v>9.4793603097639458</c:v>
                </c:pt>
                <c:pt idx="6">
                  <c:v>9.5026866330964577</c:v>
                </c:pt>
                <c:pt idx="7">
                  <c:v>11.394557604754132</c:v>
                </c:pt>
                <c:pt idx="8">
                  <c:v>11.354081196149926</c:v>
                </c:pt>
                <c:pt idx="9">
                  <c:v>11.394557604754132</c:v>
                </c:pt>
                <c:pt idx="10">
                  <c:v>11.354081196149926</c:v>
                </c:pt>
                <c:pt idx="11">
                  <c:v>18.714685941190908</c:v>
                </c:pt>
                <c:pt idx="12">
                  <c:v>19.075332027928898</c:v>
                </c:pt>
                <c:pt idx="13">
                  <c:v>19.40555480052944</c:v>
                </c:pt>
                <c:pt idx="14">
                  <c:v>18.295736176994026</c:v>
                </c:pt>
                <c:pt idx="15">
                  <c:v>19.476282589040988</c:v>
                </c:pt>
                <c:pt idx="16">
                  <c:v>16.803165116699571</c:v>
                </c:pt>
                <c:pt idx="17">
                  <c:v>17.094053252495954</c:v>
                </c:pt>
                <c:pt idx="18">
                  <c:v>16.116431182612718</c:v>
                </c:pt>
                <c:pt idx="19">
                  <c:v>16.116431182612718</c:v>
                </c:pt>
                <c:pt idx="20">
                  <c:v>17.156356268084803</c:v>
                </c:pt>
                <c:pt idx="21">
                  <c:v>20.382756028222818</c:v>
                </c:pt>
                <c:pt idx="22">
                  <c:v>20.812612912314112</c:v>
                </c:pt>
                <c:pt idx="23">
                  <c:v>21.204752454777264</c:v>
                </c:pt>
                <c:pt idx="24">
                  <c:v>19.88415797950395</c:v>
                </c:pt>
                <c:pt idx="25">
                  <c:v>21.37428824086393</c:v>
                </c:pt>
                <c:pt idx="26">
                  <c:v>17.954854708383174</c:v>
                </c:pt>
              </c:numCache>
            </c:numRef>
          </c:val>
          <c:extLst>
            <c:ext xmlns:c16="http://schemas.microsoft.com/office/drawing/2014/chart" uri="{C3380CC4-5D6E-409C-BE32-E72D297353CC}">
              <c16:uniqueId val="{00000002-7BBB-4D3C-841B-29CE73D9A94C}"/>
            </c:ext>
          </c:extLst>
        </c:ser>
        <c:ser>
          <c:idx val="4"/>
          <c:order val="3"/>
          <c:tx>
            <c:strRef>
              <c:f>Figure_4_GHG_per_vkm_General!$B$48</c:f>
              <c:strCache>
                <c:ptCount val="1"/>
                <c:pt idx="0">
                  <c:v>Operational services</c:v>
                </c:pt>
              </c:strCache>
            </c:strRef>
          </c:tx>
          <c:spPr>
            <a:solidFill>
              <a:srgbClr val="007DC3"/>
            </a:solidFill>
          </c:spPr>
          <c:invertIfNegative val="0"/>
          <c:cat>
            <c:strRef>
              <c:f>Figure_4_GHG_per_vkm_General!$C$44:$AC$44</c:f>
              <c:strCache>
                <c:ptCount val="27"/>
                <c:pt idx="0">
                  <c:v>Private e-scooter</c:v>
                </c:pt>
                <c:pt idx="1">
                  <c:v>Shared e-scooter (first generation)</c:v>
                </c:pt>
                <c:pt idx="2">
                  <c:v>Shared e-scooter (new generation)</c:v>
                </c:pt>
                <c:pt idx="3">
                  <c:v>Private bike</c:v>
                </c:pt>
                <c:pt idx="4">
                  <c:v>Shared bike</c:v>
                </c:pt>
                <c:pt idx="5">
                  <c:v>Private e-bike</c:v>
                </c:pt>
                <c:pt idx="6">
                  <c:v>Shared e-bike</c:v>
                </c:pt>
                <c:pt idx="7">
                  <c:v>Private moped - ICE</c:v>
                </c:pt>
                <c:pt idx="8">
                  <c:v>Private moped - BEV</c:v>
                </c:pt>
                <c:pt idx="9">
                  <c:v>Shared moped - ICE</c:v>
                </c:pt>
                <c:pt idx="10">
                  <c:v>Shared moped - BEV</c:v>
                </c:pt>
                <c:pt idx="11">
                  <c:v>Private car - ICE</c:v>
                </c:pt>
                <c:pt idx="12">
                  <c:v>Private car - HEV</c:v>
                </c:pt>
                <c:pt idx="13">
                  <c:v>Private car - PHEV</c:v>
                </c:pt>
                <c:pt idx="14">
                  <c:v>Private car - BEV</c:v>
                </c:pt>
                <c:pt idx="15">
                  <c:v>Private car - FCEV</c:v>
                </c:pt>
                <c:pt idx="16">
                  <c:v>Taxi  HEV</c:v>
                </c:pt>
                <c:pt idx="17">
                  <c:v>Taxi  PHEV</c:v>
                </c:pt>
                <c:pt idx="18">
                  <c:v>Taxi  BEV</c:v>
                </c:pt>
                <c:pt idx="19">
                  <c:v>Taxi  BEV (two packs)</c:v>
                </c:pt>
                <c:pt idx="20">
                  <c:v>Taxi - FCEV</c:v>
                </c:pt>
                <c:pt idx="21">
                  <c:v>Ridesourcing - car - ICE</c:v>
                </c:pt>
                <c:pt idx="22">
                  <c:v>Ridesourcing - car - HEV</c:v>
                </c:pt>
                <c:pt idx="23">
                  <c:v>Ridesourcing - car - PHEV</c:v>
                </c:pt>
                <c:pt idx="24">
                  <c:v>Ridesourcing - car - BEV</c:v>
                </c:pt>
                <c:pt idx="25">
                  <c:v>Ridesourcing - car - BEV (two packs)</c:v>
                </c:pt>
                <c:pt idx="26">
                  <c:v>Ridesourcing - car - FCEV</c:v>
                </c:pt>
              </c:strCache>
            </c:strRef>
          </c:cat>
          <c:val>
            <c:numRef>
              <c:f>Figure_4_GHG_per_vkm_General!$C$48:$AC$48</c:f>
              <c:numCache>
                <c:formatCode>0</c:formatCode>
                <c:ptCount val="27"/>
                <c:pt idx="0">
                  <c:v>0</c:v>
                </c:pt>
                <c:pt idx="1">
                  <c:v>34.727515897616378</c:v>
                </c:pt>
                <c:pt idx="2">
                  <c:v>24.702441658055509</c:v>
                </c:pt>
                <c:pt idx="3">
                  <c:v>0</c:v>
                </c:pt>
                <c:pt idx="4">
                  <c:v>24.702441658055513</c:v>
                </c:pt>
                <c:pt idx="5">
                  <c:v>0</c:v>
                </c:pt>
                <c:pt idx="6">
                  <c:v>24.702441658055513</c:v>
                </c:pt>
                <c:pt idx="7">
                  <c:v>0</c:v>
                </c:pt>
                <c:pt idx="8">
                  <c:v>0</c:v>
                </c:pt>
                <c:pt idx="9">
                  <c:v>0</c:v>
                </c:pt>
                <c:pt idx="10">
                  <c:v>13.516430341200186</c:v>
                </c:pt>
                <c:pt idx="11">
                  <c:v>0</c:v>
                </c:pt>
                <c:pt idx="12">
                  <c:v>0</c:v>
                </c:pt>
                <c:pt idx="13">
                  <c:v>0</c:v>
                </c:pt>
                <c:pt idx="14">
                  <c:v>0</c:v>
                </c:pt>
                <c:pt idx="15">
                  <c:v>0</c:v>
                </c:pt>
                <c:pt idx="16">
                  <c:v>67.200074429100653</c:v>
                </c:pt>
                <c:pt idx="17">
                  <c:v>47.301912953448472</c:v>
                </c:pt>
                <c:pt idx="18">
                  <c:v>11.795531421978701</c:v>
                </c:pt>
                <c:pt idx="19">
                  <c:v>11.795531421978701</c:v>
                </c:pt>
                <c:pt idx="20">
                  <c:v>59.37056417703522</c:v>
                </c:pt>
                <c:pt idx="21">
                  <c:v>90.213798548655646</c:v>
                </c:pt>
                <c:pt idx="22">
                  <c:v>67.200074429100653</c:v>
                </c:pt>
                <c:pt idx="23">
                  <c:v>47.301912953448472</c:v>
                </c:pt>
                <c:pt idx="24">
                  <c:v>11.795531421978701</c:v>
                </c:pt>
                <c:pt idx="25">
                  <c:v>11.795531421978701</c:v>
                </c:pt>
                <c:pt idx="26">
                  <c:v>59.37056417703522</c:v>
                </c:pt>
              </c:numCache>
            </c:numRef>
          </c:val>
          <c:extLst>
            <c:ext xmlns:c16="http://schemas.microsoft.com/office/drawing/2014/chart" uri="{C3380CC4-5D6E-409C-BE32-E72D297353CC}">
              <c16:uniqueId val="{00000003-7BBB-4D3C-841B-29CE73D9A94C}"/>
            </c:ext>
          </c:extLst>
        </c:ser>
        <c:dLbls>
          <c:showLegendKey val="0"/>
          <c:showVal val="0"/>
          <c:showCatName val="0"/>
          <c:showSerName val="0"/>
          <c:showPercent val="0"/>
          <c:showBubbleSize val="0"/>
        </c:dLbls>
        <c:gapWidth val="70"/>
        <c:overlap val="100"/>
        <c:axId val="112978944"/>
        <c:axId val="112980736"/>
      </c:barChart>
      <c:catAx>
        <c:axId val="112978944"/>
        <c:scaling>
          <c:orientation val="minMax"/>
        </c:scaling>
        <c:delete val="0"/>
        <c:axPos val="l"/>
        <c:numFmt formatCode="General" sourceLinked="1"/>
        <c:majorTickMark val="none"/>
        <c:minorTickMark val="none"/>
        <c:tickLblPos val="nextTo"/>
        <c:spPr>
          <a:ln>
            <a:solidFill>
              <a:schemeClr val="tx1"/>
            </a:solidFill>
          </a:ln>
        </c:spPr>
        <c:txPr>
          <a:bodyPr rot="0" vert="horz"/>
          <a:lstStyle/>
          <a:p>
            <a:pPr>
              <a:defRPr sz="1100">
                <a:latin typeface="Calibri Light" panose="020F0302020204030204" pitchFamily="34" charset="0"/>
                <a:cs typeface="Calibri Light" panose="020F0302020204030204" pitchFamily="34" charset="0"/>
              </a:defRPr>
            </a:pPr>
            <a:endParaRPr lang="en-FI"/>
          </a:p>
        </c:txPr>
        <c:crossAx val="112980736"/>
        <c:crosses val="autoZero"/>
        <c:auto val="1"/>
        <c:lblAlgn val="ctr"/>
        <c:lblOffset val="100"/>
        <c:noMultiLvlLbl val="0"/>
      </c:catAx>
      <c:valAx>
        <c:axId val="112980736"/>
        <c:scaling>
          <c:orientation val="minMax"/>
          <c:max val="350"/>
        </c:scaling>
        <c:delete val="0"/>
        <c:axPos val="b"/>
        <c:majorGridlines>
          <c:spPr>
            <a:ln w="12700" cap="rnd">
              <a:solidFill>
                <a:schemeClr val="tx1"/>
              </a:solidFill>
              <a:prstDash val="sysDot"/>
            </a:ln>
          </c:spPr>
        </c:majorGridlines>
        <c:title>
          <c:tx>
            <c:strRef>
              <c:f>Figure_4_GHG_per_vkm_General!$C$12</c:f>
              <c:strCache>
                <c:ptCount val="1"/>
                <c:pt idx="0">
                  <c:v>GHG emissions per vkm [g CO₂/vkm]</c:v>
                </c:pt>
              </c:strCache>
            </c:strRef>
          </c:tx>
          <c:overlay val="0"/>
          <c:txPr>
            <a:bodyPr/>
            <a:lstStyle/>
            <a:p>
              <a:pPr>
                <a:defRPr sz="1100"/>
              </a:pPr>
              <a:endParaRPr lang="en-FI"/>
            </a:p>
          </c:txPr>
        </c:title>
        <c:numFmt formatCode="#\ ##0" sourceLinked="0"/>
        <c:majorTickMark val="out"/>
        <c:minorTickMark val="none"/>
        <c:tickLblPos val="nextTo"/>
        <c:spPr>
          <a:ln>
            <a:noFill/>
          </a:ln>
        </c:spPr>
        <c:txPr>
          <a:bodyPr/>
          <a:lstStyle/>
          <a:p>
            <a:pPr>
              <a:defRPr sz="1100">
                <a:latin typeface="Calibri Light" panose="020F0302020204030204" pitchFamily="34" charset="0"/>
                <a:cs typeface="Calibri Light" panose="020F0302020204030204" pitchFamily="34" charset="0"/>
              </a:defRPr>
            </a:pPr>
            <a:endParaRPr lang="en-FI"/>
          </a:p>
        </c:txPr>
        <c:crossAx val="112978944"/>
        <c:crosses val="autoZero"/>
        <c:crossBetween val="between"/>
      </c:valAx>
      <c:spPr>
        <a:solidFill>
          <a:srgbClr val="F9F8F7"/>
        </a:solidFill>
        <a:ln>
          <a:noFill/>
        </a:ln>
      </c:spPr>
    </c:plotArea>
    <c:legend>
      <c:legendPos val="b"/>
      <c:layout>
        <c:manualLayout>
          <c:xMode val="edge"/>
          <c:yMode val="edge"/>
          <c:x val="0.19659420496558383"/>
          <c:y val="0.95754201920009219"/>
          <c:w val="0.75724488084020314"/>
          <c:h val="3.5303681823001427E-2"/>
        </c:manualLayout>
      </c:layout>
      <c:overlay val="0"/>
      <c:txPr>
        <a:bodyPr/>
        <a:lstStyle/>
        <a:p>
          <a:pPr>
            <a:defRPr sz="1100">
              <a:latin typeface="Calibri Light" panose="020F0302020204030204" pitchFamily="34" charset="0"/>
              <a:cs typeface="Calibri Light" panose="020F0302020204030204" pitchFamily="34" charset="0"/>
            </a:defRPr>
          </a:pPr>
          <a:endParaRPr lang="en-FI"/>
        </a:p>
      </c:txPr>
    </c:legend>
    <c:plotVisOnly val="1"/>
    <c:dispBlanksAs val="gap"/>
    <c:showDLblsOverMax val="0"/>
  </c:chart>
  <c:spPr>
    <a:noFill/>
    <a:ln>
      <a:noFill/>
    </a:ln>
  </c:spPr>
  <c:txPr>
    <a:bodyPr/>
    <a:lstStyle/>
    <a:p>
      <a:pPr>
        <a:defRPr sz="1000" b="0" i="0">
          <a:latin typeface="+mn-lt"/>
          <a:cs typeface="PFAgoraSansPro-Light"/>
        </a:defRPr>
      </a:pPr>
      <a:endParaRPr lang="en-FI"/>
    </a:p>
  </c:txPr>
  <c:printSettings>
    <c:headerFooter/>
    <c:pageMargins b="0" l="0" r="0" t="0"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36.xml"/><Relationship Id="rId13" Type="http://schemas.openxmlformats.org/officeDocument/2006/relationships/chart" Target="../charts/chart41.xml"/><Relationship Id="rId3" Type="http://schemas.openxmlformats.org/officeDocument/2006/relationships/chart" Target="../charts/chart31.xml"/><Relationship Id="rId7" Type="http://schemas.openxmlformats.org/officeDocument/2006/relationships/chart" Target="../charts/chart35.xml"/><Relationship Id="rId12" Type="http://schemas.openxmlformats.org/officeDocument/2006/relationships/chart" Target="../charts/chart40.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11" Type="http://schemas.openxmlformats.org/officeDocument/2006/relationships/chart" Target="../charts/chart39.xml"/><Relationship Id="rId5" Type="http://schemas.openxmlformats.org/officeDocument/2006/relationships/chart" Target="../charts/chart33.xml"/><Relationship Id="rId15" Type="http://schemas.openxmlformats.org/officeDocument/2006/relationships/chart" Target="../charts/chart43.xml"/><Relationship Id="rId10" Type="http://schemas.openxmlformats.org/officeDocument/2006/relationships/chart" Target="../charts/chart38.xml"/><Relationship Id="rId4" Type="http://schemas.openxmlformats.org/officeDocument/2006/relationships/chart" Target="../charts/chart32.xml"/><Relationship Id="rId9" Type="http://schemas.openxmlformats.org/officeDocument/2006/relationships/chart" Target="../charts/chart37.xml"/><Relationship Id="rId14" Type="http://schemas.openxmlformats.org/officeDocument/2006/relationships/chart" Target="../charts/chart42.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51.xml"/><Relationship Id="rId13" Type="http://schemas.openxmlformats.org/officeDocument/2006/relationships/chart" Target="../charts/chart56.xml"/><Relationship Id="rId3" Type="http://schemas.openxmlformats.org/officeDocument/2006/relationships/chart" Target="../charts/chart46.xml"/><Relationship Id="rId7" Type="http://schemas.openxmlformats.org/officeDocument/2006/relationships/chart" Target="../charts/chart50.xml"/><Relationship Id="rId12" Type="http://schemas.openxmlformats.org/officeDocument/2006/relationships/chart" Target="../charts/chart55.xml"/><Relationship Id="rId2" Type="http://schemas.openxmlformats.org/officeDocument/2006/relationships/chart" Target="../charts/chart45.xml"/><Relationship Id="rId1" Type="http://schemas.openxmlformats.org/officeDocument/2006/relationships/chart" Target="../charts/chart44.xml"/><Relationship Id="rId6" Type="http://schemas.openxmlformats.org/officeDocument/2006/relationships/chart" Target="../charts/chart49.xml"/><Relationship Id="rId11" Type="http://schemas.openxmlformats.org/officeDocument/2006/relationships/chart" Target="../charts/chart54.xml"/><Relationship Id="rId5" Type="http://schemas.openxmlformats.org/officeDocument/2006/relationships/chart" Target="../charts/chart48.xml"/><Relationship Id="rId15" Type="http://schemas.openxmlformats.org/officeDocument/2006/relationships/chart" Target="../charts/chart58.xml"/><Relationship Id="rId10" Type="http://schemas.openxmlformats.org/officeDocument/2006/relationships/chart" Target="../charts/chart53.xml"/><Relationship Id="rId4" Type="http://schemas.openxmlformats.org/officeDocument/2006/relationships/chart" Target="../charts/chart47.xml"/><Relationship Id="rId9" Type="http://schemas.openxmlformats.org/officeDocument/2006/relationships/chart" Target="../charts/chart52.xml"/><Relationship Id="rId14" Type="http://schemas.openxmlformats.org/officeDocument/2006/relationships/chart" Target="../charts/chart5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1856750</xdr:colOff>
      <xdr:row>3</xdr:row>
      <xdr:rowOff>123825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61925"/>
          <a:ext cx="1856750" cy="447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11</xdr:col>
      <xdr:colOff>0</xdr:colOff>
      <xdr:row>10</xdr:row>
      <xdr:rowOff>0</xdr:rowOff>
    </xdr:from>
    <xdr:to>
      <xdr:col>25</xdr:col>
      <xdr:colOff>511969</xdr:colOff>
      <xdr:row>34</xdr:row>
      <xdr:rowOff>24046</xdr:rowOff>
    </xdr:to>
    <xdr:graphicFrame macro="">
      <xdr:nvGraphicFramePr>
        <xdr:cNvPr id="6" name="Chart 5">
          <a:extLst>
            <a:ext uri="{FF2B5EF4-FFF2-40B4-BE49-F238E27FC236}">
              <a16:creationId xmlns:a16="http://schemas.microsoft.com/office/drawing/2014/main" id="{00000000-0008-0000-1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26</xdr:col>
      <xdr:colOff>0</xdr:colOff>
      <xdr:row>10</xdr:row>
      <xdr:rowOff>0</xdr:rowOff>
    </xdr:from>
    <xdr:to>
      <xdr:col>43</xdr:col>
      <xdr:colOff>1</xdr:colOff>
      <xdr:row>34</xdr:row>
      <xdr:rowOff>59531</xdr:rowOff>
    </xdr:to>
    <xdr:graphicFrame macro="">
      <xdr:nvGraphicFramePr>
        <xdr:cNvPr id="7" name="Chart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11</xdr:col>
      <xdr:colOff>696</xdr:colOff>
      <xdr:row>11</xdr:row>
      <xdr:rowOff>35485</xdr:rowOff>
    </xdr:from>
    <xdr:to>
      <xdr:col>25</xdr:col>
      <xdr:colOff>35719</xdr:colOff>
      <xdr:row>35</xdr:row>
      <xdr:rowOff>59531</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26</xdr:col>
      <xdr:colOff>-1</xdr:colOff>
      <xdr:row>11</xdr:row>
      <xdr:rowOff>0</xdr:rowOff>
    </xdr:from>
    <xdr:to>
      <xdr:col>42</xdr:col>
      <xdr:colOff>380998</xdr:colOff>
      <xdr:row>33</xdr:row>
      <xdr:rowOff>234</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8</xdr:col>
      <xdr:colOff>417415</xdr:colOff>
      <xdr:row>11</xdr:row>
      <xdr:rowOff>35486</xdr:rowOff>
    </xdr:from>
    <xdr:to>
      <xdr:col>22</xdr:col>
      <xdr:colOff>452438</xdr:colOff>
      <xdr:row>33</xdr:row>
      <xdr:rowOff>35719</xdr:rowOff>
    </xdr:to>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23</xdr:col>
      <xdr:colOff>416719</xdr:colOff>
      <xdr:row>11</xdr:row>
      <xdr:rowOff>0</xdr:rowOff>
    </xdr:from>
    <xdr:to>
      <xdr:col>40</xdr:col>
      <xdr:colOff>416719</xdr:colOff>
      <xdr:row>35</xdr:row>
      <xdr:rowOff>59531</xdr:rowOff>
    </xdr:to>
    <xdr:graphicFrame macro="">
      <xdr:nvGraphicFramePr>
        <xdr:cNvPr id="3" name="Chart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11</xdr:col>
      <xdr:colOff>35717</xdr:colOff>
      <xdr:row>10</xdr:row>
      <xdr:rowOff>0</xdr:rowOff>
    </xdr:from>
    <xdr:to>
      <xdr:col>25</xdr:col>
      <xdr:colOff>47577</xdr:colOff>
      <xdr:row>33</xdr:row>
      <xdr:rowOff>8531</xdr:rowOff>
    </xdr:to>
    <xdr:graphicFrame macro="">
      <xdr:nvGraphicFramePr>
        <xdr:cNvPr id="4" name="Chart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35717</xdr:colOff>
      <xdr:row>9</xdr:row>
      <xdr:rowOff>178592</xdr:rowOff>
    </xdr:from>
    <xdr:to>
      <xdr:col>25</xdr:col>
      <xdr:colOff>47577</xdr:colOff>
      <xdr:row>33</xdr:row>
      <xdr:rowOff>8530</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11</xdr:col>
      <xdr:colOff>35718</xdr:colOff>
      <xdr:row>9</xdr:row>
      <xdr:rowOff>182670</xdr:rowOff>
    </xdr:from>
    <xdr:to>
      <xdr:col>25</xdr:col>
      <xdr:colOff>543869</xdr:colOff>
      <xdr:row>33</xdr:row>
      <xdr:rowOff>98988</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11</xdr:col>
      <xdr:colOff>35718</xdr:colOff>
      <xdr:row>10</xdr:row>
      <xdr:rowOff>0</xdr:rowOff>
    </xdr:from>
    <xdr:to>
      <xdr:col>25</xdr:col>
      <xdr:colOff>543869</xdr:colOff>
      <xdr:row>33</xdr:row>
      <xdr:rowOff>98989</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272563</xdr:colOff>
      <xdr:row>11</xdr:row>
      <xdr:rowOff>85298</xdr:rowOff>
    </xdr:from>
    <xdr:to>
      <xdr:col>24</xdr:col>
      <xdr:colOff>319868</xdr:colOff>
      <xdr:row>36</xdr:row>
      <xdr:rowOff>135055</xdr:rowOff>
    </xdr:to>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11</xdr:col>
      <xdr:colOff>14392</xdr:colOff>
      <xdr:row>11</xdr:row>
      <xdr:rowOff>113731</xdr:rowOff>
    </xdr:from>
    <xdr:to>
      <xdr:col>25</xdr:col>
      <xdr:colOff>42648</xdr:colOff>
      <xdr:row>36</xdr:row>
      <xdr:rowOff>135056</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28608</xdr:colOff>
      <xdr:row>10</xdr:row>
      <xdr:rowOff>92408</xdr:rowOff>
    </xdr:from>
    <xdr:to>
      <xdr:col>25</xdr:col>
      <xdr:colOff>56864</xdr:colOff>
      <xdr:row>34</xdr:row>
      <xdr:rowOff>127947</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135</xdr:col>
      <xdr:colOff>0</xdr:colOff>
      <xdr:row>25</xdr:row>
      <xdr:rowOff>11206</xdr:rowOff>
    </xdr:from>
    <xdr:to>
      <xdr:col>163</xdr:col>
      <xdr:colOff>598006</xdr:colOff>
      <xdr:row>50</xdr:row>
      <xdr:rowOff>11208</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163</xdr:col>
      <xdr:colOff>595205</xdr:colOff>
      <xdr:row>25</xdr:row>
      <xdr:rowOff>11206</xdr:rowOff>
    </xdr:from>
    <xdr:to>
      <xdr:col>193</xdr:col>
      <xdr:colOff>261560</xdr:colOff>
      <xdr:row>50</xdr:row>
      <xdr:rowOff>11208</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135</xdr:col>
      <xdr:colOff>0</xdr:colOff>
      <xdr:row>50</xdr:row>
      <xdr:rowOff>11208</xdr:rowOff>
    </xdr:from>
    <xdr:to>
      <xdr:col>163</xdr:col>
      <xdr:colOff>598006</xdr:colOff>
      <xdr:row>75</xdr:row>
      <xdr:rowOff>11206</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163</xdr:col>
      <xdr:colOff>595205</xdr:colOff>
      <xdr:row>50</xdr:row>
      <xdr:rowOff>11208</xdr:rowOff>
    </xdr:from>
    <xdr:to>
      <xdr:col>193</xdr:col>
      <xdr:colOff>282727</xdr:colOff>
      <xdr:row>75</xdr:row>
      <xdr:rowOff>11206</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193</xdr:col>
      <xdr:colOff>325061</xdr:colOff>
      <xdr:row>25</xdr:row>
      <xdr:rowOff>0</xdr:rowOff>
    </xdr:from>
    <xdr:to>
      <xdr:col>209</xdr:col>
      <xdr:colOff>234346</xdr:colOff>
      <xdr:row>50</xdr:row>
      <xdr:rowOff>2</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11</xdr:col>
      <xdr:colOff>28608</xdr:colOff>
      <xdr:row>10</xdr:row>
      <xdr:rowOff>92408</xdr:rowOff>
    </xdr:from>
    <xdr:to>
      <xdr:col>25</xdr:col>
      <xdr:colOff>56864</xdr:colOff>
      <xdr:row>34</xdr:row>
      <xdr:rowOff>127947</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592431</xdr:colOff>
      <xdr:row>11</xdr:row>
      <xdr:rowOff>85298</xdr:rowOff>
    </xdr:from>
    <xdr:to>
      <xdr:col>25</xdr:col>
      <xdr:colOff>7107</xdr:colOff>
      <xdr:row>38</xdr:row>
      <xdr:rowOff>14217</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absoluteAnchor>
    <xdr:pos x="8840390" y="541735"/>
    <xdr:ext cx="9584531" cy="4953000"/>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twoCellAnchor editAs="absolute">
    <xdr:from>
      <xdr:col>11</xdr:col>
      <xdr:colOff>898</xdr:colOff>
      <xdr:row>29</xdr:row>
      <xdr:rowOff>95244</xdr:rowOff>
    </xdr:from>
    <xdr:to>
      <xdr:col>22</xdr:col>
      <xdr:colOff>281609</xdr:colOff>
      <xdr:row>37</xdr:row>
      <xdr:rowOff>100356</xdr:rowOff>
    </xdr:to>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635000</xdr:colOff>
      <xdr:row>18</xdr:row>
      <xdr:rowOff>31736</xdr:rowOff>
    </xdr:from>
    <xdr:to>
      <xdr:col>15</xdr:col>
      <xdr:colOff>593931</xdr:colOff>
      <xdr:row>23</xdr:row>
      <xdr:rowOff>169848</xdr:rowOff>
    </xdr:to>
    <xdr:graphicFrame macro="">
      <xdr:nvGraphicFramePr>
        <xdr:cNvPr id="3" name="Chart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595312</xdr:colOff>
      <xdr:row>6</xdr:row>
      <xdr:rowOff>111125</xdr:rowOff>
    </xdr:from>
    <xdr:to>
      <xdr:col>15</xdr:col>
      <xdr:colOff>554243</xdr:colOff>
      <xdr:row>11</xdr:row>
      <xdr:rowOff>166688</xdr:rowOff>
    </xdr:to>
    <xdr:graphicFrame macro="">
      <xdr:nvGraphicFramePr>
        <xdr:cNvPr id="4" name="Chart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635000</xdr:colOff>
      <xdr:row>11</xdr:row>
      <xdr:rowOff>132952</xdr:rowOff>
    </xdr:from>
    <xdr:to>
      <xdr:col>15</xdr:col>
      <xdr:colOff>593931</xdr:colOff>
      <xdr:row>17</xdr:row>
      <xdr:rowOff>125014</xdr:rowOff>
    </xdr:to>
    <xdr:graphicFrame macro="">
      <xdr:nvGraphicFramePr>
        <xdr:cNvPr id="5" name="Chart 4">
          <a:extLst>
            <a:ext uri="{FF2B5EF4-FFF2-40B4-BE49-F238E27FC236}">
              <a16:creationId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14</xdr:col>
      <xdr:colOff>645699</xdr:colOff>
      <xdr:row>18</xdr:row>
      <xdr:rowOff>31736</xdr:rowOff>
    </xdr:from>
    <xdr:to>
      <xdr:col>18</xdr:col>
      <xdr:colOff>458305</xdr:colOff>
      <xdr:row>23</xdr:row>
      <xdr:rowOff>169848</xdr:rowOff>
    </xdr:to>
    <xdr:graphicFrame macro="">
      <xdr:nvGraphicFramePr>
        <xdr:cNvPr id="6" name="Chart 5">
          <a:extLst>
            <a:ext uri="{FF2B5EF4-FFF2-40B4-BE49-F238E27FC236}">
              <a16:creationId xmlns:a16="http://schemas.microsoft.com/office/drawing/2014/main"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14</xdr:col>
      <xdr:colOff>645699</xdr:colOff>
      <xdr:row>11</xdr:row>
      <xdr:rowOff>132952</xdr:rowOff>
    </xdr:from>
    <xdr:to>
      <xdr:col>18</xdr:col>
      <xdr:colOff>458305</xdr:colOff>
      <xdr:row>17</xdr:row>
      <xdr:rowOff>125014</xdr:rowOff>
    </xdr:to>
    <xdr:graphicFrame macro="">
      <xdr:nvGraphicFramePr>
        <xdr:cNvPr id="7" name="Chart 6">
          <a:extLst>
            <a:ext uri="{FF2B5EF4-FFF2-40B4-BE49-F238E27FC236}">
              <a16:creationId xmlns:a16="http://schemas.microsoft.com/office/drawing/2014/main" id="{00000000-0008-0000-2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17</xdr:col>
      <xdr:colOff>761310</xdr:colOff>
      <xdr:row>18</xdr:row>
      <xdr:rowOff>31736</xdr:rowOff>
    </xdr:from>
    <xdr:to>
      <xdr:col>22</xdr:col>
      <xdr:colOff>36236</xdr:colOff>
      <xdr:row>23</xdr:row>
      <xdr:rowOff>169848</xdr:rowOff>
    </xdr:to>
    <xdr:graphicFrame macro="">
      <xdr:nvGraphicFramePr>
        <xdr:cNvPr id="8" name="Chart 7">
          <a:extLst>
            <a:ext uri="{FF2B5EF4-FFF2-40B4-BE49-F238E27FC236}">
              <a16:creationId xmlns:a16="http://schemas.microsoft.com/office/drawing/2014/main" id="{00000000-0008-0000-2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17</xdr:col>
      <xdr:colOff>761310</xdr:colOff>
      <xdr:row>11</xdr:row>
      <xdr:rowOff>132952</xdr:rowOff>
    </xdr:from>
    <xdr:to>
      <xdr:col>22</xdr:col>
      <xdr:colOff>36236</xdr:colOff>
      <xdr:row>17</xdr:row>
      <xdr:rowOff>125014</xdr:rowOff>
    </xdr:to>
    <xdr:graphicFrame macro="">
      <xdr:nvGraphicFramePr>
        <xdr:cNvPr id="9" name="Chart 8">
          <a:extLst>
            <a:ext uri="{FF2B5EF4-FFF2-40B4-BE49-F238E27FC236}">
              <a16:creationId xmlns:a16="http://schemas.microsoft.com/office/drawing/2014/main" id="{00000000-0008-0000-2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14</xdr:col>
      <xdr:colOff>637761</xdr:colOff>
      <xdr:row>7</xdr:row>
      <xdr:rowOff>0</xdr:rowOff>
    </xdr:from>
    <xdr:to>
      <xdr:col>18</xdr:col>
      <xdr:colOff>450367</xdr:colOff>
      <xdr:row>12</xdr:row>
      <xdr:rowOff>55562</xdr:rowOff>
    </xdr:to>
    <xdr:graphicFrame macro="">
      <xdr:nvGraphicFramePr>
        <xdr:cNvPr id="10" name="Chart 9">
          <a:extLst>
            <a:ext uri="{FF2B5EF4-FFF2-40B4-BE49-F238E27FC236}">
              <a16:creationId xmlns:a16="http://schemas.microsoft.com/office/drawing/2014/main" id="{00000000-0008-0000-2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17</xdr:col>
      <xdr:colOff>761310</xdr:colOff>
      <xdr:row>7</xdr:row>
      <xdr:rowOff>0</xdr:rowOff>
    </xdr:from>
    <xdr:to>
      <xdr:col>22</xdr:col>
      <xdr:colOff>36236</xdr:colOff>
      <xdr:row>12</xdr:row>
      <xdr:rowOff>55562</xdr:rowOff>
    </xdr:to>
    <xdr:graphicFrame macro="">
      <xdr:nvGraphicFramePr>
        <xdr:cNvPr id="11" name="Chart 10">
          <a:extLst>
            <a:ext uri="{FF2B5EF4-FFF2-40B4-BE49-F238E27FC236}">
              <a16:creationId xmlns:a16="http://schemas.microsoft.com/office/drawing/2014/main" id="{00000000-0008-0000-2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14</xdr:col>
      <xdr:colOff>637761</xdr:colOff>
      <xdr:row>23</xdr:row>
      <xdr:rowOff>111110</xdr:rowOff>
    </xdr:from>
    <xdr:to>
      <xdr:col>18</xdr:col>
      <xdr:colOff>450367</xdr:colOff>
      <xdr:row>29</xdr:row>
      <xdr:rowOff>71422</xdr:rowOff>
    </xdr:to>
    <xdr:graphicFrame macro="">
      <xdr:nvGraphicFramePr>
        <xdr:cNvPr id="12" name="Chart 11">
          <a:extLst>
            <a:ext uri="{FF2B5EF4-FFF2-40B4-BE49-F238E27FC236}">
              <a16:creationId xmlns:a16="http://schemas.microsoft.com/office/drawing/2014/main" id="{00000000-0008-0000-2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17</xdr:col>
      <xdr:colOff>753372</xdr:colOff>
      <xdr:row>23</xdr:row>
      <xdr:rowOff>111110</xdr:rowOff>
    </xdr:from>
    <xdr:to>
      <xdr:col>22</xdr:col>
      <xdr:colOff>28298</xdr:colOff>
      <xdr:row>29</xdr:row>
      <xdr:rowOff>71422</xdr:rowOff>
    </xdr:to>
    <xdr:graphicFrame macro="">
      <xdr:nvGraphicFramePr>
        <xdr:cNvPr id="13" name="Chart 12">
          <a:extLst>
            <a:ext uri="{FF2B5EF4-FFF2-40B4-BE49-F238E27FC236}">
              <a16:creationId xmlns:a16="http://schemas.microsoft.com/office/drawing/2014/main" id="{00000000-0008-0000-2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14</xdr:col>
      <xdr:colOff>637761</xdr:colOff>
      <xdr:row>28</xdr:row>
      <xdr:rowOff>15859</xdr:rowOff>
    </xdr:from>
    <xdr:to>
      <xdr:col>18</xdr:col>
      <xdr:colOff>450367</xdr:colOff>
      <xdr:row>35</xdr:row>
      <xdr:rowOff>39672</xdr:rowOff>
    </xdr:to>
    <xdr:graphicFrame macro="">
      <xdr:nvGraphicFramePr>
        <xdr:cNvPr id="14" name="Chart 13">
          <a:extLst>
            <a:ext uri="{FF2B5EF4-FFF2-40B4-BE49-F238E27FC236}">
              <a16:creationId xmlns:a16="http://schemas.microsoft.com/office/drawing/2014/main" id="{00000000-0008-0000-2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17</xdr:col>
      <xdr:colOff>753372</xdr:colOff>
      <xdr:row>28</xdr:row>
      <xdr:rowOff>15859</xdr:rowOff>
    </xdr:from>
    <xdr:to>
      <xdr:col>22</xdr:col>
      <xdr:colOff>28298</xdr:colOff>
      <xdr:row>35</xdr:row>
      <xdr:rowOff>39672</xdr:rowOff>
    </xdr:to>
    <xdr:graphicFrame macro="">
      <xdr:nvGraphicFramePr>
        <xdr:cNvPr id="15" name="Chart 14">
          <a:extLst>
            <a:ext uri="{FF2B5EF4-FFF2-40B4-BE49-F238E27FC236}">
              <a16:creationId xmlns:a16="http://schemas.microsoft.com/office/drawing/2014/main" id="{00000000-0008-0000-2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12</xdr:col>
      <xdr:colOff>0</xdr:colOff>
      <xdr:row>23</xdr:row>
      <xdr:rowOff>119057</xdr:rowOff>
    </xdr:from>
    <xdr:to>
      <xdr:col>16</xdr:col>
      <xdr:colOff>3795</xdr:colOff>
      <xdr:row>29</xdr:row>
      <xdr:rowOff>79369</xdr:rowOff>
    </xdr:to>
    <xdr:graphicFrame macro="">
      <xdr:nvGraphicFramePr>
        <xdr:cNvPr id="16" name="Chart 15">
          <a:extLst>
            <a:ext uri="{FF2B5EF4-FFF2-40B4-BE49-F238E27FC236}">
              <a16:creationId xmlns:a16="http://schemas.microsoft.com/office/drawing/2014/main" id="{00000000-0008-0000-2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11</xdr:col>
      <xdr:colOff>0</xdr:colOff>
      <xdr:row>30</xdr:row>
      <xdr:rowOff>23813</xdr:rowOff>
    </xdr:from>
    <xdr:to>
      <xdr:col>21</xdr:col>
      <xdr:colOff>174625</xdr:colOff>
      <xdr:row>38</xdr:row>
      <xdr:rowOff>28924</xdr:rowOff>
    </xdr:to>
    <xdr:graphicFrame macro="">
      <xdr:nvGraphicFramePr>
        <xdr:cNvPr id="156" name="Chart 155">
          <a:extLst>
            <a:ext uri="{FF2B5EF4-FFF2-40B4-BE49-F238E27FC236}">
              <a16:creationId xmlns:a16="http://schemas.microsoft.com/office/drawing/2014/main" id="{00000000-0008-0000-2800-00009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11</xdr:col>
      <xdr:colOff>635000</xdr:colOff>
      <xdr:row>17</xdr:row>
      <xdr:rowOff>182556</xdr:rowOff>
    </xdr:from>
    <xdr:to>
      <xdr:col>16</xdr:col>
      <xdr:colOff>55562</xdr:colOff>
      <xdr:row>24</xdr:row>
      <xdr:rowOff>31744</xdr:rowOff>
    </xdr:to>
    <xdr:graphicFrame macro="">
      <xdr:nvGraphicFramePr>
        <xdr:cNvPr id="111" name="Chart 110">
          <a:extLst>
            <a:ext uri="{FF2B5EF4-FFF2-40B4-BE49-F238E27FC236}">
              <a16:creationId xmlns:a16="http://schemas.microsoft.com/office/drawing/2014/main" id="{00000000-0008-0000-2800-00006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11</xdr:col>
      <xdr:colOff>595312</xdr:colOff>
      <xdr:row>6</xdr:row>
      <xdr:rowOff>111125</xdr:rowOff>
    </xdr:from>
    <xdr:to>
      <xdr:col>16</xdr:col>
      <xdr:colOff>15874</xdr:colOff>
      <xdr:row>11</xdr:row>
      <xdr:rowOff>166688</xdr:rowOff>
    </xdr:to>
    <xdr:graphicFrame macro="">
      <xdr:nvGraphicFramePr>
        <xdr:cNvPr id="115" name="Chart 114">
          <a:extLst>
            <a:ext uri="{FF2B5EF4-FFF2-40B4-BE49-F238E27FC236}">
              <a16:creationId xmlns:a16="http://schemas.microsoft.com/office/drawing/2014/main" id="{00000000-0008-0000-28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635000</xdr:colOff>
      <xdr:row>11</xdr:row>
      <xdr:rowOff>45634</xdr:rowOff>
    </xdr:from>
    <xdr:to>
      <xdr:col>16</xdr:col>
      <xdr:colOff>55562</xdr:colOff>
      <xdr:row>17</xdr:row>
      <xdr:rowOff>101196</xdr:rowOff>
    </xdr:to>
    <xdr:graphicFrame macro="">
      <xdr:nvGraphicFramePr>
        <xdr:cNvPr id="116" name="Chart 115">
          <a:extLst>
            <a:ext uri="{FF2B5EF4-FFF2-40B4-BE49-F238E27FC236}">
              <a16:creationId xmlns:a16="http://schemas.microsoft.com/office/drawing/2014/main" id="{00000000-0008-0000-28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15</xdr:col>
      <xdr:colOff>7938</xdr:colOff>
      <xdr:row>17</xdr:row>
      <xdr:rowOff>182556</xdr:rowOff>
    </xdr:from>
    <xdr:to>
      <xdr:col>19</xdr:col>
      <xdr:colOff>111125</xdr:colOff>
      <xdr:row>24</xdr:row>
      <xdr:rowOff>31744</xdr:rowOff>
    </xdr:to>
    <xdr:graphicFrame macro="">
      <xdr:nvGraphicFramePr>
        <xdr:cNvPr id="128" name="Chart 127">
          <a:extLst>
            <a:ext uri="{FF2B5EF4-FFF2-40B4-BE49-F238E27FC236}">
              <a16:creationId xmlns:a16="http://schemas.microsoft.com/office/drawing/2014/main" id="{00000000-0008-0000-2800-00008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15</xdr:col>
      <xdr:colOff>7938</xdr:colOff>
      <xdr:row>11</xdr:row>
      <xdr:rowOff>45634</xdr:rowOff>
    </xdr:from>
    <xdr:to>
      <xdr:col>19</xdr:col>
      <xdr:colOff>111125</xdr:colOff>
      <xdr:row>17</xdr:row>
      <xdr:rowOff>101196</xdr:rowOff>
    </xdr:to>
    <xdr:graphicFrame macro="">
      <xdr:nvGraphicFramePr>
        <xdr:cNvPr id="131" name="Chart 130">
          <a:extLst>
            <a:ext uri="{FF2B5EF4-FFF2-40B4-BE49-F238E27FC236}">
              <a16:creationId xmlns:a16="http://schemas.microsoft.com/office/drawing/2014/main" id="{00000000-0008-0000-2800-00008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18</xdr:col>
      <xdr:colOff>0</xdr:colOff>
      <xdr:row>17</xdr:row>
      <xdr:rowOff>182556</xdr:rowOff>
    </xdr:from>
    <xdr:to>
      <xdr:col>22</xdr:col>
      <xdr:colOff>103187</xdr:colOff>
      <xdr:row>24</xdr:row>
      <xdr:rowOff>31744</xdr:rowOff>
    </xdr:to>
    <xdr:graphicFrame macro="">
      <xdr:nvGraphicFramePr>
        <xdr:cNvPr id="138" name="Chart 137">
          <a:extLst>
            <a:ext uri="{FF2B5EF4-FFF2-40B4-BE49-F238E27FC236}">
              <a16:creationId xmlns:a16="http://schemas.microsoft.com/office/drawing/2014/main" id="{00000000-0008-0000-28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18</xdr:col>
      <xdr:colOff>0</xdr:colOff>
      <xdr:row>11</xdr:row>
      <xdr:rowOff>45634</xdr:rowOff>
    </xdr:from>
    <xdr:to>
      <xdr:col>22</xdr:col>
      <xdr:colOff>103187</xdr:colOff>
      <xdr:row>17</xdr:row>
      <xdr:rowOff>101196</xdr:rowOff>
    </xdr:to>
    <xdr:graphicFrame macro="">
      <xdr:nvGraphicFramePr>
        <xdr:cNvPr id="141" name="Chart 140">
          <a:extLst>
            <a:ext uri="{FF2B5EF4-FFF2-40B4-BE49-F238E27FC236}">
              <a16:creationId xmlns:a16="http://schemas.microsoft.com/office/drawing/2014/main" id="{00000000-0008-0000-2800-00008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15</xdr:col>
      <xdr:colOff>0</xdr:colOff>
      <xdr:row>7</xdr:row>
      <xdr:rowOff>0</xdr:rowOff>
    </xdr:from>
    <xdr:to>
      <xdr:col>19</xdr:col>
      <xdr:colOff>103187</xdr:colOff>
      <xdr:row>12</xdr:row>
      <xdr:rowOff>55562</xdr:rowOff>
    </xdr:to>
    <xdr:graphicFrame macro="">
      <xdr:nvGraphicFramePr>
        <xdr:cNvPr id="145" name="Chart 144">
          <a:extLst>
            <a:ext uri="{FF2B5EF4-FFF2-40B4-BE49-F238E27FC236}">
              <a16:creationId xmlns:a16="http://schemas.microsoft.com/office/drawing/2014/main" id="{00000000-0008-0000-2800-00009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18</xdr:col>
      <xdr:colOff>0</xdr:colOff>
      <xdr:row>7</xdr:row>
      <xdr:rowOff>0</xdr:rowOff>
    </xdr:from>
    <xdr:to>
      <xdr:col>22</xdr:col>
      <xdr:colOff>103187</xdr:colOff>
      <xdr:row>12</xdr:row>
      <xdr:rowOff>55562</xdr:rowOff>
    </xdr:to>
    <xdr:graphicFrame macro="">
      <xdr:nvGraphicFramePr>
        <xdr:cNvPr id="146" name="Chart 145">
          <a:extLst>
            <a:ext uri="{FF2B5EF4-FFF2-40B4-BE49-F238E27FC236}">
              <a16:creationId xmlns:a16="http://schemas.microsoft.com/office/drawing/2014/main" id="{00000000-0008-0000-28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15</xdr:col>
      <xdr:colOff>0</xdr:colOff>
      <xdr:row>23</xdr:row>
      <xdr:rowOff>39678</xdr:rowOff>
    </xdr:from>
    <xdr:to>
      <xdr:col>19</xdr:col>
      <xdr:colOff>103187</xdr:colOff>
      <xdr:row>29</xdr:row>
      <xdr:rowOff>63490</xdr:rowOff>
    </xdr:to>
    <xdr:graphicFrame macro="">
      <xdr:nvGraphicFramePr>
        <xdr:cNvPr id="147" name="Chart 146">
          <a:extLst>
            <a:ext uri="{FF2B5EF4-FFF2-40B4-BE49-F238E27FC236}">
              <a16:creationId xmlns:a16="http://schemas.microsoft.com/office/drawing/2014/main" id="{00000000-0008-0000-28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17</xdr:col>
      <xdr:colOff>674687</xdr:colOff>
      <xdr:row>23</xdr:row>
      <xdr:rowOff>39678</xdr:rowOff>
    </xdr:from>
    <xdr:to>
      <xdr:col>22</xdr:col>
      <xdr:colOff>95249</xdr:colOff>
      <xdr:row>29</xdr:row>
      <xdr:rowOff>63490</xdr:rowOff>
    </xdr:to>
    <xdr:graphicFrame macro="">
      <xdr:nvGraphicFramePr>
        <xdr:cNvPr id="148" name="Chart 147">
          <a:extLst>
            <a:ext uri="{FF2B5EF4-FFF2-40B4-BE49-F238E27FC236}">
              <a16:creationId xmlns:a16="http://schemas.microsoft.com/office/drawing/2014/main" id="{00000000-0008-0000-2800-00009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15</xdr:col>
      <xdr:colOff>0</xdr:colOff>
      <xdr:row>28</xdr:row>
      <xdr:rowOff>7927</xdr:rowOff>
    </xdr:from>
    <xdr:to>
      <xdr:col>19</xdr:col>
      <xdr:colOff>103187</xdr:colOff>
      <xdr:row>35</xdr:row>
      <xdr:rowOff>31740</xdr:rowOff>
    </xdr:to>
    <xdr:graphicFrame macro="">
      <xdr:nvGraphicFramePr>
        <xdr:cNvPr id="149" name="Chart 148">
          <a:extLst>
            <a:ext uri="{FF2B5EF4-FFF2-40B4-BE49-F238E27FC236}">
              <a16:creationId xmlns:a16="http://schemas.microsoft.com/office/drawing/2014/main" id="{00000000-0008-0000-2800-00009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17</xdr:col>
      <xdr:colOff>674687</xdr:colOff>
      <xdr:row>28</xdr:row>
      <xdr:rowOff>7927</xdr:rowOff>
    </xdr:from>
    <xdr:to>
      <xdr:col>22</xdr:col>
      <xdr:colOff>95249</xdr:colOff>
      <xdr:row>35</xdr:row>
      <xdr:rowOff>31740</xdr:rowOff>
    </xdr:to>
    <xdr:graphicFrame macro="">
      <xdr:nvGraphicFramePr>
        <xdr:cNvPr id="150" name="Chart 149">
          <a:extLst>
            <a:ext uri="{FF2B5EF4-FFF2-40B4-BE49-F238E27FC236}">
              <a16:creationId xmlns:a16="http://schemas.microsoft.com/office/drawing/2014/main" id="{00000000-0008-0000-2800-00009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12</xdr:col>
      <xdr:colOff>0</xdr:colOff>
      <xdr:row>23</xdr:row>
      <xdr:rowOff>47625</xdr:rowOff>
    </xdr:from>
    <xdr:to>
      <xdr:col>16</xdr:col>
      <xdr:colOff>103187</xdr:colOff>
      <xdr:row>29</xdr:row>
      <xdr:rowOff>71437</xdr:rowOff>
    </xdr:to>
    <xdr:graphicFrame macro="">
      <xdr:nvGraphicFramePr>
        <xdr:cNvPr id="154" name="Chart 153">
          <a:extLst>
            <a:ext uri="{FF2B5EF4-FFF2-40B4-BE49-F238E27FC236}">
              <a16:creationId xmlns:a16="http://schemas.microsoft.com/office/drawing/2014/main" id="{00000000-0008-0000-28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355586</xdr:colOff>
      <xdr:row>11</xdr:row>
      <xdr:rowOff>106622</xdr:rowOff>
    </xdr:from>
    <xdr:to>
      <xdr:col>24</xdr:col>
      <xdr:colOff>383842</xdr:colOff>
      <xdr:row>36</xdr:row>
      <xdr:rowOff>156379</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50</xdr:row>
      <xdr:rowOff>42863</xdr:rowOff>
    </xdr:from>
    <xdr:to>
      <xdr:col>10</xdr:col>
      <xdr:colOff>366712</xdr:colOff>
      <xdr:row>58</xdr:row>
      <xdr:rowOff>80963</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71450" y="7981951"/>
          <a:ext cx="722947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none">
              <a:solidFill>
                <a:schemeClr val="dk1"/>
              </a:solidFill>
              <a:effectLst/>
              <a:latin typeface="+mn-lt"/>
              <a:ea typeface="+mn-ea"/>
              <a:cs typeface="+mn-cs"/>
            </a:rPr>
            <a:t>Quantitative estimates of the relevance of deadhead travel for urban bus service suggest that the share of km run empty to enable the provision of scheduled services range between 1% and 11% of the</a:t>
          </a:r>
          <a:r>
            <a:rPr lang="en-GB" sz="1100" u="none" baseline="0">
              <a:solidFill>
                <a:schemeClr val="dk1"/>
              </a:solidFill>
              <a:effectLst/>
              <a:latin typeface="+mn-lt"/>
              <a:ea typeface="+mn-ea"/>
              <a:cs typeface="+mn-cs"/>
            </a:rPr>
            <a:t> total of all km driven</a:t>
          </a:r>
          <a:r>
            <a:rPr lang="en-GB" sz="1100" u="none">
              <a:solidFill>
                <a:schemeClr val="dk1"/>
              </a:solidFill>
              <a:effectLst/>
              <a:latin typeface="+mn-lt"/>
              <a:ea typeface="+mn-ea"/>
              <a:cs typeface="+mn-cs"/>
            </a:rPr>
            <a:t>, (</a:t>
          </a:r>
          <a:r>
            <a:rPr lang="en-GB" sz="1100" u="none">
              <a:solidFill>
                <a:schemeClr val="dk1"/>
              </a:solidFill>
              <a:effectLst/>
              <a:latin typeface="+mn-lt"/>
              <a:ea typeface="+mn-ea"/>
              <a:cs typeface="+mn-cs"/>
              <a:hlinkClick xmlns:r="http://schemas.openxmlformats.org/officeDocument/2006/relationships" r:id=""/>
            </a:rPr>
            <a:t>Adra et al., 2004</a:t>
          </a:r>
          <a:r>
            <a:rPr lang="en-GB" sz="1100" u="none">
              <a:solidFill>
                <a:schemeClr val="dk1"/>
              </a:solidFill>
              <a:effectLst/>
              <a:latin typeface="+mn-lt"/>
              <a:ea typeface="+mn-ea"/>
              <a:cs typeface="+mn-cs"/>
            </a:rPr>
            <a:t>, </a:t>
          </a:r>
          <a:r>
            <a:rPr lang="en-GB" sz="1100" u="none">
              <a:solidFill>
                <a:schemeClr val="dk1"/>
              </a:solidFill>
              <a:effectLst/>
              <a:latin typeface="+mn-lt"/>
              <a:ea typeface="+mn-ea"/>
              <a:cs typeface="+mn-cs"/>
              <a:hlinkClick xmlns:r="http://schemas.openxmlformats.org/officeDocument/2006/relationships" r:id=""/>
            </a:rPr>
            <a:t>Mahadikar et al., 2015</a:t>
          </a:r>
          <a:r>
            <a:rPr lang="en-GB" sz="1100" u="none">
              <a:solidFill>
                <a:schemeClr val="dk1"/>
              </a:solidFill>
              <a:effectLst/>
              <a:latin typeface="+mn-lt"/>
              <a:ea typeface="+mn-ea"/>
              <a:cs typeface="+mn-cs"/>
            </a:rPr>
            <a:t> and </a:t>
          </a:r>
          <a:r>
            <a:rPr lang="en-GB" sz="1100" u="none">
              <a:solidFill>
                <a:schemeClr val="dk1"/>
              </a:solidFill>
              <a:effectLst/>
              <a:latin typeface="+mn-lt"/>
              <a:ea typeface="+mn-ea"/>
              <a:cs typeface="+mn-cs"/>
              <a:hlinkClick xmlns:r="http://schemas.openxmlformats.org/officeDocument/2006/relationships" r:id=""/>
            </a:rPr>
            <a:t>Nasibov, 2013</a:t>
          </a:r>
          <a:r>
            <a:rPr lang="en-GB" sz="1100" u="none">
              <a:solidFill>
                <a:schemeClr val="dk1"/>
              </a:solidFill>
              <a:effectLst/>
              <a:latin typeface="+mn-lt"/>
              <a:ea typeface="+mn-ea"/>
              <a:cs typeface="+mn-cs"/>
            </a:rPr>
            <a:t>) and reach 28% in one instance (</a:t>
          </a:r>
          <a:r>
            <a:rPr lang="en-GB" sz="1100" u="none">
              <a:solidFill>
                <a:schemeClr val="dk1"/>
              </a:solidFill>
              <a:effectLst/>
              <a:latin typeface="+mn-lt"/>
              <a:ea typeface="+mn-ea"/>
              <a:cs typeface="+mn-cs"/>
              <a:hlinkClick xmlns:r="http://schemas.openxmlformats.org/officeDocument/2006/relationships" r:id=""/>
            </a:rPr>
            <a:t>Calligeros, 2011</a:t>
          </a:r>
          <a:r>
            <a:rPr lang="en-GB" sz="1100" u="none">
              <a:solidFill>
                <a:schemeClr val="dk1"/>
              </a:solidFill>
              <a:effectLst/>
              <a:latin typeface="+mn-lt"/>
              <a:ea typeface="+mn-ea"/>
              <a:cs typeface="+mn-cs"/>
            </a:rPr>
            <a:t>). Amongst the limited amount of values found in literature, the lowest records were found in Bangalore (India) (1-3%), followed by Izmir (turkey), with estimates in the 5-6% range, Paris (France), which recorded values (6-8%) that are lower than the French average (10-11%), The highest value (28%) was registered in the case of Brisbane (Australia). In this last case, deadheading in the “light” direction of traffic movements is reported as a widespread practice.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0</xdr:row>
      <xdr:rowOff>109538</xdr:rowOff>
    </xdr:from>
    <xdr:to>
      <xdr:col>9</xdr:col>
      <xdr:colOff>366713</xdr:colOff>
      <xdr:row>8</xdr:row>
      <xdr:rowOff>147638</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733425" y="109538"/>
          <a:ext cx="5462588"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Studies with quantitative estimates of deadheading in the United States reported by </a:t>
          </a:r>
          <a:r>
            <a:rPr lang="en-GB" sz="1100" u="sng">
              <a:solidFill>
                <a:schemeClr val="dk1"/>
              </a:solidFill>
              <a:effectLst/>
              <a:latin typeface="+mn-lt"/>
              <a:ea typeface="+mn-ea"/>
              <a:cs typeface="+mn-cs"/>
              <a:hlinkClick xmlns:r="http://schemas.openxmlformats.org/officeDocument/2006/relationships" r:id=""/>
            </a:rPr>
            <a:t>Henao and Marshall (2019)</a:t>
          </a:r>
          <a:r>
            <a:rPr lang="en-GB" sz="1100">
              <a:solidFill>
                <a:schemeClr val="dk1"/>
              </a:solidFill>
              <a:effectLst/>
              <a:latin typeface="+mn-lt"/>
              <a:ea typeface="+mn-ea"/>
              <a:cs typeface="+mn-cs"/>
            </a:rPr>
            <a:t> indicate a range of 42% to 81% of deadheading travel (i.e. travel without passenger on board (crusing and overheading) divided by travel with a passenger on board). In the most conservative estimate (42%), almost 2/3 are attributed to cruising and overheading and 1/3 to commuting). </a:t>
          </a:r>
          <a:r>
            <a:rPr lang="en-GB" sz="1100" u="sng">
              <a:solidFill>
                <a:schemeClr val="dk1"/>
              </a:solidFill>
              <a:effectLst/>
              <a:latin typeface="+mn-lt"/>
              <a:ea typeface="+mn-ea"/>
              <a:cs typeface="+mn-cs"/>
              <a:hlinkClick xmlns:r="http://schemas.openxmlformats.org/officeDocument/2006/relationships" r:id=""/>
            </a:rPr>
            <a:t>Henao and Marshall (2019)</a:t>
          </a:r>
          <a:r>
            <a:rPr lang="en-GB" sz="1100">
              <a:solidFill>
                <a:schemeClr val="dk1"/>
              </a:solidFill>
              <a:effectLst/>
              <a:latin typeface="+mn-lt"/>
              <a:ea typeface="+mn-ea"/>
              <a:cs typeface="+mn-cs"/>
            </a:rPr>
            <a:t> also add 0.3 miles due to commutes to/from the driver residence on the top of the 0.42 km od deadheading per km of passenger travel, for a total of 0.69 km.</a:t>
          </a:r>
        </a:p>
      </xdr:txBody>
    </xdr:sp>
    <xdr:clientData/>
  </xdr:twoCellAnchor>
  <xdr:twoCellAnchor editAs="oneCell">
    <xdr:from>
      <xdr:col>19</xdr:col>
      <xdr:colOff>222912</xdr:colOff>
      <xdr:row>1</xdr:row>
      <xdr:rowOff>66675</xdr:rowOff>
    </xdr:from>
    <xdr:to>
      <xdr:col>27</xdr:col>
      <xdr:colOff>395288</xdr:colOff>
      <xdr:row>25</xdr:row>
      <xdr:rowOff>133350</xdr:rowOff>
    </xdr:to>
    <xdr:pic>
      <xdr:nvPicPr>
        <xdr:cNvPr id="3" name="Picture 2">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6112" y="228600"/>
          <a:ext cx="5049176"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123825</xdr:colOff>
      <xdr:row>21</xdr:row>
      <xdr:rowOff>71438</xdr:rowOff>
    </xdr:from>
    <xdr:to>
      <xdr:col>10</xdr:col>
      <xdr:colOff>633413</xdr:colOff>
      <xdr:row>30</xdr:row>
      <xdr:rowOff>23813</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771525" y="3471863"/>
          <a:ext cx="6338888"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Even if the concept of deadheading is not usually applied to personally owned and operated vehicles, it is fair to acknowledge that there these vehicles are not exempt from activities that are similar in nature to deadhead travel. Key examples include occasions when drivers makes substantial unintentional or intentional deviations from the intended route, such as driving to find a parking (estimated to amount to 8 minutes, on average, in central business districts of major cities – see </a:t>
          </a:r>
          <a:r>
            <a:rPr lang="en-GB" sz="1100" u="sng">
              <a:solidFill>
                <a:schemeClr val="dk1"/>
              </a:solidFill>
              <a:effectLst/>
              <a:latin typeface="+mn-lt"/>
              <a:ea typeface="+mn-ea"/>
              <a:cs typeface="+mn-cs"/>
              <a:hlinkClick xmlns:r="http://schemas.openxmlformats.org/officeDocument/2006/relationships" r:id=""/>
            </a:rPr>
            <a:t>Shoup, 2007</a:t>
          </a:r>
          <a:r>
            <a:rPr lang="en-GB" sz="1100">
              <a:solidFill>
                <a:schemeClr val="dk1"/>
              </a:solidFill>
              <a:effectLst/>
              <a:latin typeface="+mn-lt"/>
              <a:ea typeface="+mn-ea"/>
              <a:cs typeface="+mn-cs"/>
            </a:rPr>
            <a:t>) and/or when car owners drive to pick people up or get groceries or other goods (estimated to account for 5% of personal vehicle travel in the United States – see </a:t>
          </a:r>
          <a:r>
            <a:rPr lang="en-GB" sz="1100" u="sng">
              <a:solidFill>
                <a:schemeClr val="dk1"/>
              </a:solidFill>
              <a:effectLst/>
              <a:latin typeface="+mn-lt"/>
              <a:ea typeface="+mn-ea"/>
              <a:cs typeface="+mn-cs"/>
              <a:hlinkClick xmlns:r="http://schemas.openxmlformats.org/officeDocument/2006/relationships" r:id=""/>
            </a:rPr>
            <a:t>Williams, 2018</a:t>
          </a:r>
          <a:r>
            <a:rPr lang="en-GB" sz="1100">
              <a:solidFill>
                <a:schemeClr val="dk1"/>
              </a:solidFill>
              <a:effectLst/>
              <a:latin typeface="+mn-lt"/>
              <a:ea typeface="+mn-ea"/>
              <a:cs typeface="+mn-cs"/>
            </a:rPr>
            <a:t>).</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absoluteAnchor>
    <xdr:pos x="8019556" y="541734"/>
    <xdr:ext cx="8273428" cy="6941344"/>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8019556" y="541734"/>
    <xdr:ext cx="8273428" cy="695325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7858125" y="446485"/>
    <xdr:ext cx="8273428" cy="6941344"/>
    <xdr:graphicFrame macro="">
      <xdr:nvGraphicFramePr>
        <xdr:cNvPr id="3" name="Chart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858125" y="1833562"/>
    <xdr:ext cx="8273428" cy="5965031"/>
    <xdr:graphicFrame macro="">
      <xdr:nvGraphicFramePr>
        <xdr:cNvPr id="6" name="Chart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7858125" y="446485"/>
    <xdr:ext cx="8273428" cy="6941344"/>
    <xdr:graphicFrame macro="">
      <xdr:nvGraphicFramePr>
        <xdr:cNvPr id="4" name="Chart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858125" y="1833563"/>
    <xdr:ext cx="8273428" cy="5965031"/>
    <xdr:graphicFrame macro="">
      <xdr:nvGraphicFramePr>
        <xdr:cNvPr id="5" name="Chart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8019556" y="541733"/>
    <xdr:ext cx="10554194" cy="5286375"/>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hared\Copy%20of%20Lee\MoMo\Model\Last%20model\MoMo%20September%20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_Elecrolysis_H2_Power_From_oi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_Elecrolysis_H2_Power_From_NG.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_Elecrolysis_H2_Power_From_coa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_Elecrolysis_H2_Power_From_Nuclear.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_Elecrolysis_H2_Power_From_Re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nml3\xr0\Documents%20and%20Settings\Lew\Local%20Settings\Temp\Documents%20and%20Settings\Fulton\Local%20Settings\Temporary%20Internet%20Files\OLK45B\WINNT\Profiles\fulton\Local%20Settings\Temp\WEC97BB.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P:\Room%202\MoMo%20meeting%2026-27%20May\December%20cases\Documents%20and%20Settings\Lew\Local%20Settings\Temp\Documents%20and%20Settings\Fulton\Local%20Settings\Temporary%20Internet%20Files\OLK45B\WINNT\Profiles\fulton\Local%20Settings\Temp\WEC97BB.XLS?42E8DEAC" TargetMode="External"/><Relationship Id="rId1" Type="http://schemas.openxmlformats.org/officeDocument/2006/relationships/externalLinkPath" Target="file:///\\42E8DEAC\WEC97B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om%202\MoMo%20meeting%2026-27%20May\Documents%20and%20Settings\Lew\Local%20Settings\Temp\Documents%20and%20Settings\Fulton\Local%20Settings\Temporary%20Internet%20Files\OLK45B\WINNT\Profiles\fulton\Local%20Settings\Temp\WEC97B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2_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2_2018_SU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2_2018_Aluminium_Smelting_mostly_from_Co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2_2018_ESCOOT_Aluminium_Smelting_mostly_from_Co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CPB\Projects\2019\Project%202%20-%20Lifecycle%20Assessment%20of%20Urban%20Transport%20Business%20Models\Documentation\E-scooter\GREET\GREET1_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Control sheet"/>
      <sheetName val="Input sheet"/>
      <sheetName val="Model structure"/>
      <sheetName val="Summary outputs"/>
      <sheetName val="Main outputs"/>
      <sheetName val="Emission outputs"/>
      <sheetName val="Cost outputs"/>
      <sheetName val="Regional outputs"/>
      <sheetName val="SUV &amp; cars outputs"/>
      <sheetName val="Fuels"/>
      <sheetName val="LDVdata"/>
      <sheetName val="LDVall"/>
      <sheetName val="LDVgaso"/>
      <sheetName val="LDVg_hyb"/>
      <sheetName val="LDVdies"/>
      <sheetName val="LDVd_hyb"/>
      <sheetName val="LDVcng"/>
      <sheetName val="LDVfc"/>
      <sheetName val="LDVh2_hyb"/>
      <sheetName val="SUVall"/>
      <sheetName val="SUVgaso"/>
      <sheetName val="SUVg_hyb"/>
      <sheetName val="SUVdies"/>
      <sheetName val="SUVd_hyb"/>
      <sheetName val="SUVcng"/>
      <sheetName val="SUVfc"/>
      <sheetName val="SUVh2_hyb"/>
      <sheetName val="CARall"/>
      <sheetName val="CARgaso"/>
      <sheetName val="CARg_hyb"/>
      <sheetName val="CARdies"/>
      <sheetName val="CARd_hyb"/>
      <sheetName val="CARcng"/>
      <sheetName val="CARfc"/>
      <sheetName val="CARh2_hyb"/>
      <sheetName val="Med frt trk"/>
      <sheetName val="Hvy frt trk"/>
      <sheetName val="2 wheel"/>
      <sheetName val="3 wheel"/>
      <sheetName val="Buses"/>
      <sheetName val="Minibuses"/>
      <sheetName val="Pass Rail"/>
      <sheetName val="Frt Rail"/>
      <sheetName val="Air"/>
      <sheetName val="Water"/>
      <sheetName val="safety"/>
      <sheetName val="safety-korn"/>
      <sheetName val="Materials"/>
      <sheetName val="EF"/>
      <sheetName val="M_LDVall"/>
      <sheetName val="M_LDVgaso"/>
      <sheetName val="M_LDVg_hyb"/>
      <sheetName val="M_LDVdies"/>
      <sheetName val="M_LDVd_hyb"/>
      <sheetName val="M_LDVcng"/>
      <sheetName val="M_LDVfc"/>
      <sheetName val="M_LDVh2_hyb"/>
      <sheetName val="Polut"/>
      <sheetName val="P&amp;G"/>
      <sheetName val="Convert"/>
      <sheetName val="Carbon"/>
      <sheetName val="GM LBST"/>
      <sheetName val="IEA data 2000"/>
      <sheetName val="WEO"/>
      <sheetName val="WEC"/>
      <sheetName val="EIA"/>
      <sheetName val="MAP"/>
      <sheetName val="VehOwn"/>
      <sheetName val="ORNL TEBD"/>
      <sheetName val="GTL, H2"/>
      <sheetName val="GTL, H2 (high oil)"/>
      <sheetName val="GTL, H2 (WEO, 2005 adjusted)"/>
      <sheetName val="GTL, H2 (oil @ 50$)"/>
      <sheetName val="Biofuels"/>
      <sheetName val="Energy mix"/>
      <sheetName val="Electricity mix"/>
      <sheetName val="Taxes"/>
      <sheetName val="Vehicle costs"/>
      <sheetName val="ETP opt case"/>
      <sheetName val="ETP ref case"/>
      <sheetName val="Concawe - Vehicles"/>
      <sheetName val="Concawe - GHG"/>
      <sheetName val="Macedo"/>
      <sheetName val="Energy u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row r="256">
          <cell r="AB256">
            <v>3988580.0438515176</v>
          </cell>
          <cell r="AC256">
            <v>1599192.4773750291</v>
          </cell>
        </row>
        <row r="274">
          <cell r="AB274">
            <v>484368.98513641238</v>
          </cell>
          <cell r="AC2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row r="256">
          <cell r="AB256">
            <v>2049357.9459314989</v>
          </cell>
          <cell r="AC256">
            <v>1599192.4773750291</v>
          </cell>
        </row>
        <row r="274">
          <cell r="AB274">
            <v>237645.76586280757</v>
          </cell>
          <cell r="AC2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row r="256">
          <cell r="AB256">
            <v>3169827.193162831</v>
          </cell>
          <cell r="AC256">
            <v>1599192.4773750291</v>
          </cell>
        </row>
        <row r="274">
          <cell r="AB274">
            <v>497613.21385998558</v>
          </cell>
          <cell r="AC2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row r="256">
          <cell r="AB256">
            <v>136504.52912930143</v>
          </cell>
          <cell r="AC256">
            <v>1599192.4773750291</v>
          </cell>
        </row>
        <row r="274">
          <cell r="AB274">
            <v>3901.0248242352109</v>
          </cell>
          <cell r="AC2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row r="256">
          <cell r="AB256">
            <v>82397.929959386587</v>
          </cell>
          <cell r="AC256">
            <v>1599192.4773750291</v>
          </cell>
        </row>
        <row r="274">
          <cell r="AB274">
            <v>1221.4616769716354</v>
          </cell>
          <cell r="AC27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2"/>
      <sheetName val="#REF"/>
    </sheetNames>
    <sheetDataSet>
      <sheetData sheetId="0" refreshError="1">
        <row r="23">
          <cell r="C23">
            <v>4.6583322403045191E-2</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2"/>
      <sheetName val="P&amp;G"/>
    </sheetNames>
    <sheetDataSet>
      <sheetData sheetId="0" refreshError="1">
        <row r="23">
          <cell r="C23">
            <v>4.6583322403045191E-2</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2"/>
      <sheetName val="#REF"/>
    </sheetNames>
    <sheetDataSet>
      <sheetData sheetId="0" refreshError="1">
        <row r="23">
          <cell r="C23">
            <v>4.6583322403045191E-2</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Vehi_Inputs"/>
      <sheetName val="Mat_Inputs"/>
      <sheetName val="Car"/>
      <sheetName val="SUV"/>
      <sheetName val="PUT"/>
      <sheetName val="Steel"/>
      <sheetName val="C.Iron"/>
      <sheetName val="W.Al"/>
      <sheetName val="C.Al"/>
      <sheetName val="Lead"/>
      <sheetName val="Nickel"/>
      <sheetName val="Cobalt"/>
      <sheetName val="Copper"/>
      <sheetName val="Zinc"/>
      <sheetName val="Magnesium"/>
      <sheetName val="Glass"/>
      <sheetName val="Plastic"/>
      <sheetName val="Rubber"/>
      <sheetName val="Platinum"/>
      <sheetName val="Vanadium"/>
      <sheetName val="Zirconium"/>
      <sheetName val="Titanium"/>
      <sheetName val="Chromium"/>
      <sheetName val="Molybdenum"/>
      <sheetName val="Rare Earth"/>
      <sheetName val="Manganese"/>
      <sheetName val="FC Materials"/>
      <sheetName val="Cement_Concrete"/>
      <sheetName val="Silicon"/>
      <sheetName val="Mat_Sum"/>
      <sheetName val="Vehi_Fluids"/>
      <sheetName val="Battery Assembly"/>
      <sheetName val="Vehi_ADR"/>
      <sheetName val="Battery_Sum"/>
      <sheetName val="Battery_Materials"/>
      <sheetName val="Anode"/>
      <sheetName val="LiMn2O4"/>
      <sheetName val="Other_Cathodes"/>
      <sheetName val="Vehi_Comp_Sum"/>
      <sheetName val="Vehi_Sum"/>
      <sheetName val="TEC_Results"/>
      <sheetName val="GREET1_Import_Export"/>
      <sheetName val="GREET2_Factors_T&amp;D"/>
    </sheetNames>
    <sheetDataSet>
      <sheetData sheetId="0"/>
      <sheetData sheetId="1">
        <row r="18">
          <cell r="C18">
            <v>3183.4712800000002</v>
          </cell>
        </row>
        <row r="24">
          <cell r="E24">
            <v>89.063084250000017</v>
          </cell>
        </row>
        <row r="88">
          <cell r="D88">
            <v>15.273378000000001</v>
          </cell>
        </row>
        <row r="115">
          <cell r="N115" t="str">
            <v>LMO</v>
          </cell>
          <cell r="O115" t="str">
            <v>NMC111</v>
          </cell>
          <cell r="Q115" t="str">
            <v>NMC622</v>
          </cell>
          <cell r="R115" t="str">
            <v>NMC811</v>
          </cell>
          <cell r="S115" t="str">
            <v>LMR-NMC:Gr</v>
          </cell>
          <cell r="T115" t="str">
            <v>LMR-NMC:Gr-SI</v>
          </cell>
          <cell r="U115" t="str">
            <v>NCA</v>
          </cell>
        </row>
        <row r="116">
          <cell r="N116">
            <v>121.23932196229183</v>
          </cell>
          <cell r="O116">
            <v>142.62303541417381</v>
          </cell>
          <cell r="P116">
            <v>115.91337982671381</v>
          </cell>
          <cell r="Q116">
            <v>155.04780647427464</v>
          </cell>
          <cell r="R116">
            <v>149.22041422599696</v>
          </cell>
          <cell r="S116">
            <v>175</v>
          </cell>
          <cell r="T116">
            <v>200</v>
          </cell>
          <cell r="U116">
            <v>158.57163037285159</v>
          </cell>
        </row>
      </sheetData>
      <sheetData sheetId="2">
        <row r="171">
          <cell r="D171">
            <v>0.26400000000000001</v>
          </cell>
        </row>
        <row r="172">
          <cell r="D172">
            <v>0.10999999999999999</v>
          </cell>
        </row>
        <row r="173">
          <cell r="D173">
            <v>0.85</v>
          </cell>
        </row>
      </sheetData>
      <sheetData sheetId="3">
        <row r="188">
          <cell r="S188">
            <v>0.36099999999999999</v>
          </cell>
        </row>
        <row r="190">
          <cell r="S190">
            <v>0.36099999999999999</v>
          </cell>
        </row>
        <row r="191">
          <cell r="S191">
            <v>0.27800000000000002</v>
          </cell>
        </row>
      </sheetData>
      <sheetData sheetId="4"/>
      <sheetData sheetId="5"/>
      <sheetData sheetId="6">
        <row r="91">
          <cell r="U91" t="str">
            <v>Final Average Stamped Steel Product: Combined</v>
          </cell>
        </row>
        <row r="94">
          <cell r="I94">
            <v>22.921318559505014</v>
          </cell>
          <cell r="U94">
            <v>29.690330219303515</v>
          </cell>
        </row>
        <row r="113">
          <cell r="I113">
            <v>2302149.315761283</v>
          </cell>
          <cell r="U113">
            <v>2843566.0191643331</v>
          </cell>
        </row>
        <row r="125">
          <cell r="E125" t="str">
            <v>Final Steel Product: Combined</v>
          </cell>
        </row>
        <row r="128">
          <cell r="E128">
            <v>18.066970568335911</v>
          </cell>
        </row>
        <row r="147">
          <cell r="E147">
            <v>1287339.8874743874</v>
          </cell>
        </row>
        <row r="193">
          <cell r="E193" t="str">
            <v>Final Steel Product: Combined</v>
          </cell>
        </row>
        <row r="196">
          <cell r="E196">
            <v>24.774870430254502</v>
          </cell>
        </row>
        <row r="215">
          <cell r="E215">
            <v>1771712.6743078369</v>
          </cell>
        </row>
      </sheetData>
      <sheetData sheetId="7">
        <row r="60">
          <cell r="J60" t="str">
            <v>Final Iron Product: Combined</v>
          </cell>
        </row>
        <row r="62">
          <cell r="J62">
            <v>29.801082560676321</v>
          </cell>
        </row>
        <row r="81">
          <cell r="J81">
            <v>944238.3020538413</v>
          </cell>
        </row>
      </sheetData>
      <sheetData sheetId="8">
        <row r="120">
          <cell r="U120" t="str">
            <v>Final Average Wrought Aluminum Product: Combined</v>
          </cell>
        </row>
        <row r="125">
          <cell r="U125">
            <v>114.64715024303716</v>
          </cell>
        </row>
        <row r="146">
          <cell r="U146">
            <v>7361016.7462680712</v>
          </cell>
        </row>
        <row r="158">
          <cell r="R158" t="str">
            <v>Final Average Wrought Aluminum Product: Combined</v>
          </cell>
        </row>
        <row r="163">
          <cell r="R163">
            <v>22.998122695398337</v>
          </cell>
        </row>
        <row r="184">
          <cell r="R184">
            <v>1524940.8491944328</v>
          </cell>
        </row>
      </sheetData>
      <sheetData sheetId="9">
        <row r="112">
          <cell r="I112" t="str">
            <v>Final Shape Cast Aluminum Product: Combined</v>
          </cell>
        </row>
        <row r="115">
          <cell r="I115">
            <v>127.37058321899207</v>
          </cell>
        </row>
        <row r="136">
          <cell r="I136">
            <v>8173589.1642277045</v>
          </cell>
        </row>
        <row r="148">
          <cell r="F148" t="str">
            <v>Final Shape Cast Aluminum Product: Combined</v>
          </cell>
        </row>
        <row r="151">
          <cell r="F151">
            <v>26.374641259670774</v>
          </cell>
        </row>
        <row r="172">
          <cell r="F172">
            <v>1742315.4416051197</v>
          </cell>
        </row>
      </sheetData>
      <sheetData sheetId="10"/>
      <sheetData sheetId="11"/>
      <sheetData sheetId="12"/>
      <sheetData sheetId="13">
        <row r="61">
          <cell r="K61" t="str">
            <v>Final Copper Product: Combined</v>
          </cell>
        </row>
        <row r="63">
          <cell r="K63">
            <v>38.242223608985356</v>
          </cell>
        </row>
        <row r="82">
          <cell r="K82">
            <v>2796619.3423775146</v>
          </cell>
        </row>
      </sheetData>
      <sheetData sheetId="14"/>
      <sheetData sheetId="15"/>
      <sheetData sheetId="16">
        <row r="69">
          <cell r="J69" t="str">
            <v>Final Automotive Glass Product</v>
          </cell>
        </row>
        <row r="71">
          <cell r="J71">
            <v>19.640480727486267</v>
          </cell>
        </row>
        <row r="90">
          <cell r="J90">
            <v>1601021.7076242864</v>
          </cell>
        </row>
      </sheetData>
      <sheetData sheetId="17">
        <row r="43">
          <cell r="V43" t="str">
            <v>Polycarbonate (PC)</v>
          </cell>
        </row>
        <row r="95">
          <cell r="T95" t="str">
            <v>Carbon Fiber</v>
          </cell>
        </row>
        <row r="97">
          <cell r="L97">
            <v>84.48567359517628</v>
          </cell>
          <cell r="T97">
            <v>511.49284804975179</v>
          </cell>
        </row>
        <row r="116">
          <cell r="L116">
            <v>4063768.9986647251</v>
          </cell>
          <cell r="T116">
            <v>36239757.185398541</v>
          </cell>
        </row>
      </sheetData>
      <sheetData sheetId="18">
        <row r="63">
          <cell r="I63" t="str">
            <v>Final Average Rubber Product: Combined</v>
          </cell>
        </row>
        <row r="65">
          <cell r="I65">
            <v>47.335627321997379</v>
          </cell>
        </row>
        <row r="84">
          <cell r="I84">
            <v>3575223.188181744</v>
          </cell>
        </row>
      </sheetData>
      <sheetData sheetId="19"/>
      <sheetData sheetId="20"/>
      <sheetData sheetId="21"/>
      <sheetData sheetId="22"/>
      <sheetData sheetId="23"/>
      <sheetData sheetId="24"/>
      <sheetData sheetId="25"/>
      <sheetData sheetId="26"/>
      <sheetData sheetId="27"/>
      <sheetData sheetId="28">
        <row r="5">
          <cell r="B5">
            <v>0.21</v>
          </cell>
        </row>
        <row r="63">
          <cell r="B63">
            <v>4.796056215080819</v>
          </cell>
        </row>
        <row r="82">
          <cell r="B82">
            <v>1731866.3440531364</v>
          </cell>
        </row>
      </sheetData>
      <sheetData sheetId="29"/>
      <sheetData sheetId="30">
        <row r="15">
          <cell r="D15">
            <v>1.3310881635724033E-2</v>
          </cell>
          <cell r="I15">
            <v>5.228287860639845E-2</v>
          </cell>
          <cell r="L15">
            <v>2.0762016276784482E-2</v>
          </cell>
          <cell r="Z15">
            <v>1.9121111804492677E-2</v>
          </cell>
          <cell r="AH15">
            <v>3.4810290702326691E-2</v>
          </cell>
          <cell r="AI15">
            <v>3.3141191842256147E-2</v>
          </cell>
          <cell r="AJ15">
            <v>3.379022286889851E-2</v>
          </cell>
          <cell r="AX15">
            <v>1.1427521257957707E-2</v>
          </cell>
          <cell r="BD15">
            <v>1.6727685061662778E-2</v>
          </cell>
          <cell r="BF15">
            <v>0.10253318307706882</v>
          </cell>
          <cell r="BG15">
            <v>0.1039432506146664</v>
          </cell>
          <cell r="BH15">
            <v>0.106849024693837</v>
          </cell>
          <cell r="BJ15">
            <v>4.6883023918482113E-2</v>
          </cell>
          <cell r="BK15">
            <v>2.4713706171284849E-2</v>
          </cell>
          <cell r="BL15">
            <v>1.3745411996486946E-2</v>
          </cell>
          <cell r="BO15">
            <v>0.11633386520099262</v>
          </cell>
          <cell r="BP15">
            <v>4.3088545669179412E-2</v>
          </cell>
          <cell r="BQ15">
            <v>3.8640037970801788E-2</v>
          </cell>
          <cell r="BR15">
            <v>1.5565133779989916E-2</v>
          </cell>
          <cell r="BS15">
            <v>7.6991821296485435E-2</v>
          </cell>
          <cell r="BT15">
            <v>4.3806736254213075E-3</v>
          </cell>
          <cell r="BU15">
            <v>1.6098267524488178E-2</v>
          </cell>
          <cell r="BV15">
            <v>0.17165311480761114</v>
          </cell>
          <cell r="BW15">
            <v>8.5217470713689018E-3</v>
          </cell>
          <cell r="BY15">
            <v>0.41279157004878941</v>
          </cell>
        </row>
        <row r="34">
          <cell r="D34">
            <v>1216.3611601990938</v>
          </cell>
          <cell r="I34">
            <v>3359.5241987949853</v>
          </cell>
          <cell r="L34">
            <v>1353.5032499992537</v>
          </cell>
          <cell r="Z34">
            <v>1398.3096711887574</v>
          </cell>
          <cell r="AH34">
            <v>1330.687314698371</v>
          </cell>
          <cell r="AI34">
            <v>1534.1213757511807</v>
          </cell>
          <cell r="AJ34">
            <v>1149.6594782844063</v>
          </cell>
          <cell r="AX34">
            <v>863.66042688091795</v>
          </cell>
          <cell r="BD34">
            <v>1519.0949682379737</v>
          </cell>
          <cell r="BF34">
            <v>7527.0157017398105</v>
          </cell>
          <cell r="BG34">
            <v>7592.0528408825066</v>
          </cell>
          <cell r="BH34">
            <v>7585.2218976426057</v>
          </cell>
          <cell r="BJ34">
            <v>3827.6957167887222</v>
          </cell>
          <cell r="BK34">
            <v>1760.5215618819275</v>
          </cell>
          <cell r="BL34">
            <v>1073.4208530402168</v>
          </cell>
          <cell r="BO34">
            <v>8214.9700952090752</v>
          </cell>
          <cell r="BP34">
            <v>2327.1541282796288</v>
          </cell>
          <cell r="BQ34">
            <v>2204.9663053918443</v>
          </cell>
          <cell r="BR34">
            <v>1083.7882864405283</v>
          </cell>
          <cell r="BS34">
            <v>5511.8981330001034</v>
          </cell>
          <cell r="BT34">
            <v>211.72065259367102</v>
          </cell>
          <cell r="BU34">
            <v>781.67806538824618</v>
          </cell>
          <cell r="BV34">
            <v>12010.531316523453</v>
          </cell>
          <cell r="BW34">
            <v>793.12110050610977</v>
          </cell>
          <cell r="BY34">
            <v>21126.355923658459</v>
          </cell>
        </row>
      </sheetData>
      <sheetData sheetId="31">
        <row r="6">
          <cell r="B6">
            <v>8.5</v>
          </cell>
          <cell r="C6">
            <v>0</v>
          </cell>
          <cell r="D6">
            <v>2</v>
          </cell>
          <cell r="E6">
            <v>24.039656900000001</v>
          </cell>
          <cell r="F6">
            <v>23</v>
          </cell>
          <cell r="G6">
            <v>6</v>
          </cell>
        </row>
        <row r="8">
          <cell r="B8">
            <v>8.5</v>
          </cell>
          <cell r="C8">
            <v>0</v>
          </cell>
          <cell r="D8">
            <v>2</v>
          </cell>
          <cell r="E8">
            <v>1.8492043499999999</v>
          </cell>
          <cell r="F8">
            <v>23</v>
          </cell>
          <cell r="G8">
            <v>6</v>
          </cell>
        </row>
        <row r="9">
          <cell r="B9">
            <v>8.5</v>
          </cell>
          <cell r="C9">
            <v>0</v>
          </cell>
          <cell r="D9">
            <v>2</v>
          </cell>
          <cell r="E9">
            <v>1.8492043499999999</v>
          </cell>
          <cell r="F9">
            <v>23</v>
          </cell>
          <cell r="G9">
            <v>6</v>
          </cell>
        </row>
        <row r="10">
          <cell r="B10">
            <v>0</v>
          </cell>
          <cell r="C10">
            <v>0</v>
          </cell>
          <cell r="D10">
            <v>2</v>
          </cell>
          <cell r="E10">
            <v>1.8492043499999999</v>
          </cell>
          <cell r="F10">
            <v>15.770998518800001</v>
          </cell>
          <cell r="G10">
            <v>6</v>
          </cell>
        </row>
        <row r="12">
          <cell r="B12">
            <v>39</v>
          </cell>
          <cell r="C12">
            <v>0</v>
          </cell>
          <cell r="D12">
            <v>3</v>
          </cell>
          <cell r="E12">
            <v>1</v>
          </cell>
          <cell r="F12">
            <v>3</v>
          </cell>
          <cell r="G12">
            <v>19</v>
          </cell>
        </row>
        <row r="105">
          <cell r="B105">
            <v>11.923021808824936</v>
          </cell>
          <cell r="F105">
            <v>2.7346404670401014</v>
          </cell>
        </row>
        <row r="124">
          <cell r="B124">
            <v>819846.13429472921</v>
          </cell>
          <cell r="F124">
            <v>218756.19292206486</v>
          </cell>
        </row>
      </sheetData>
      <sheetData sheetId="32">
        <row r="56">
          <cell r="F56">
            <v>0.20493620938651846</v>
          </cell>
        </row>
        <row r="75">
          <cell r="F75">
            <v>13854.30547718205</v>
          </cell>
        </row>
      </sheetData>
      <sheetData sheetId="33">
        <row r="106">
          <cell r="B106">
            <v>0.59482229041665546</v>
          </cell>
          <cell r="C106">
            <v>3.485144381480032</v>
          </cell>
          <cell r="D106">
            <v>2.0518260192072786</v>
          </cell>
          <cell r="E106">
            <v>3.286448594241306</v>
          </cell>
          <cell r="F106">
            <v>0.4248730645833253</v>
          </cell>
          <cell r="G106">
            <v>0.56580656893291625</v>
          </cell>
          <cell r="H106">
            <v>0.84767357763209772</v>
          </cell>
          <cell r="I106">
            <v>3.1010168946873304</v>
          </cell>
        </row>
        <row r="125">
          <cell r="B125">
            <v>42475.863847792141</v>
          </cell>
          <cell r="C125">
            <v>240364.06982426511</v>
          </cell>
          <cell r="D125">
            <v>146519.53034604256</v>
          </cell>
          <cell r="E125">
            <v>217149.20492832238</v>
          </cell>
          <cell r="F125">
            <v>30339.902748422952</v>
          </cell>
          <cell r="G125">
            <v>40403.87048936326</v>
          </cell>
          <cell r="H125">
            <v>60531.805971243848</v>
          </cell>
          <cell r="I125">
            <v>221441.55242766265</v>
          </cell>
        </row>
      </sheetData>
      <sheetData sheetId="34">
        <row r="22">
          <cell r="C22">
            <v>26.914588235294119</v>
          </cell>
        </row>
        <row r="40">
          <cell r="B40">
            <v>53</v>
          </cell>
        </row>
        <row r="176">
          <cell r="H176">
            <v>104.70123020304833</v>
          </cell>
        </row>
        <row r="177">
          <cell r="H177">
            <v>65.505284367626984</v>
          </cell>
        </row>
        <row r="178">
          <cell r="H178">
            <v>0</v>
          </cell>
        </row>
        <row r="179">
          <cell r="H179">
            <v>8.9582376089829268</v>
          </cell>
        </row>
        <row r="180">
          <cell r="H180">
            <v>48.820844188243726</v>
          </cell>
        </row>
        <row r="181">
          <cell r="H181">
            <v>99.232761497351945</v>
          </cell>
        </row>
        <row r="182">
          <cell r="H182">
            <v>0</v>
          </cell>
        </row>
        <row r="183">
          <cell r="H183">
            <v>6.7093431838099935</v>
          </cell>
        </row>
        <row r="184">
          <cell r="H184">
            <v>18.729774905869856</v>
          </cell>
        </row>
        <row r="185">
          <cell r="H185">
            <v>18.729774905869856</v>
          </cell>
        </row>
        <row r="186">
          <cell r="H186">
            <v>4.5919932929641085</v>
          </cell>
        </row>
        <row r="187">
          <cell r="H187">
            <v>1.5021012468551276</v>
          </cell>
        </row>
        <row r="188">
          <cell r="H188">
            <v>0.85672328536434594</v>
          </cell>
        </row>
        <row r="189">
          <cell r="H189">
            <v>2.5742990432428328</v>
          </cell>
        </row>
        <row r="190">
          <cell r="H190">
            <v>2.0183486476236867</v>
          </cell>
        </row>
        <row r="191">
          <cell r="H191">
            <v>17.892267542593292</v>
          </cell>
        </row>
        <row r="192">
          <cell r="H192">
            <v>15.210099735093188</v>
          </cell>
        </row>
        <row r="193">
          <cell r="A193" t="str">
            <v>Energy use: mmBtu per vehicle lifetime</v>
          </cell>
        </row>
        <row r="200">
          <cell r="A200" t="str">
            <v>Total Emissions: grams per vehicle lifetime</v>
          </cell>
        </row>
      </sheetData>
      <sheetData sheetId="35"/>
      <sheetData sheetId="36"/>
      <sheetData sheetId="37">
        <row r="9">
          <cell r="E9">
            <v>7.0000000000000001E-3</v>
          </cell>
        </row>
      </sheetData>
      <sheetData sheetId="38"/>
      <sheetData sheetId="39">
        <row r="6">
          <cell r="A6">
            <v>3053.9316231000003</v>
          </cell>
          <cell r="G6">
            <v>2830.1735771311996</v>
          </cell>
        </row>
        <row r="10">
          <cell r="B10">
            <v>0.24702521828888613</v>
          </cell>
          <cell r="H10">
            <v>4.7935222516142462E-2</v>
          </cell>
        </row>
        <row r="150">
          <cell r="B150">
            <v>2002.3655301403146</v>
          </cell>
          <cell r="D150">
            <v>2183.4422894219938</v>
          </cell>
          <cell r="F150">
            <v>2281.2486615237403</v>
          </cell>
          <cell r="H150">
            <v>1933.5429905895985</v>
          </cell>
          <cell r="J150">
            <v>2125.4614964147831</v>
          </cell>
        </row>
        <row r="151">
          <cell r="B151">
            <v>0</v>
          </cell>
          <cell r="D151">
            <v>0</v>
          </cell>
          <cell r="F151">
            <v>0</v>
          </cell>
          <cell r="H151">
            <v>0</v>
          </cell>
          <cell r="J151">
            <v>114.0947666847554</v>
          </cell>
        </row>
        <row r="152">
          <cell r="B152">
            <v>314.25002125850216</v>
          </cell>
          <cell r="D152">
            <v>230.33462358040046</v>
          </cell>
          <cell r="F152">
            <v>245.15212105438079</v>
          </cell>
          <cell r="H152">
            <v>56.436491301573255</v>
          </cell>
          <cell r="J152">
            <v>59.907880087599999</v>
          </cell>
        </row>
        <row r="153">
          <cell r="B153">
            <v>57.994249761343944</v>
          </cell>
          <cell r="D153">
            <v>41.890811271524363</v>
          </cell>
          <cell r="F153">
            <v>41.545139763203707</v>
          </cell>
          <cell r="H153">
            <v>41.84138810053809</v>
          </cell>
          <cell r="J153">
            <v>79.078719879691292</v>
          </cell>
        </row>
        <row r="154">
          <cell r="B154">
            <v>136.3009760970983</v>
          </cell>
          <cell r="D154">
            <v>190.47264593421272</v>
          </cell>
          <cell r="F154">
            <v>229.68913636004069</v>
          </cell>
          <cell r="H154">
            <v>159.86260667571688</v>
          </cell>
          <cell r="J154">
            <v>121.08924476921426</v>
          </cell>
        </row>
        <row r="155">
          <cell r="B155">
            <v>57.411235669854676</v>
          </cell>
          <cell r="D155">
            <v>128.17792065885953</v>
          </cell>
          <cell r="F155">
            <v>155.45326673149938</v>
          </cell>
          <cell r="H155">
            <v>164.00762466344014</v>
          </cell>
          <cell r="J155">
            <v>115.90355017292835</v>
          </cell>
        </row>
        <row r="156">
          <cell r="B156">
            <v>0</v>
          </cell>
          <cell r="D156">
            <v>0</v>
          </cell>
          <cell r="F156">
            <v>0</v>
          </cell>
          <cell r="H156">
            <v>0</v>
          </cell>
          <cell r="J156">
            <v>0</v>
          </cell>
        </row>
        <row r="157">
          <cell r="B157">
            <v>0.56368450790676206</v>
          </cell>
          <cell r="D157">
            <v>0.54472253945473836</v>
          </cell>
          <cell r="F157">
            <v>0.52291881272638108</v>
          </cell>
          <cell r="H157">
            <v>0.53768337533953336</v>
          </cell>
          <cell r="J157">
            <v>0.65531171826066659</v>
          </cell>
        </row>
        <row r="158">
          <cell r="B158">
            <v>91.598732534848821</v>
          </cell>
          <cell r="D158">
            <v>88.517412661394985</v>
          </cell>
          <cell r="F158">
            <v>84.974307068036921</v>
          </cell>
          <cell r="H158">
            <v>87.373548492674175</v>
          </cell>
          <cell r="J158">
            <v>106.48815421735831</v>
          </cell>
        </row>
        <row r="159">
          <cell r="B159">
            <v>346.38590785192702</v>
          </cell>
          <cell r="D159">
            <v>336.44413027786391</v>
          </cell>
          <cell r="F159">
            <v>335.60267869741955</v>
          </cell>
          <cell r="H159">
            <v>338.11108200260446</v>
          </cell>
          <cell r="J159">
            <v>413.59614049673684</v>
          </cell>
        </row>
        <row r="160">
          <cell r="B160">
            <v>226.87718104790926</v>
          </cell>
          <cell r="D160">
            <v>220.13211610755923</v>
          </cell>
          <cell r="F160">
            <v>223.56082318223889</v>
          </cell>
          <cell r="H160">
            <v>208.96779831742191</v>
          </cell>
          <cell r="J160">
            <v>229.56513827444022</v>
          </cell>
        </row>
        <row r="161">
          <cell r="B161">
            <v>0</v>
          </cell>
          <cell r="D161">
            <v>0</v>
          </cell>
          <cell r="F161">
            <v>0</v>
          </cell>
          <cell r="H161">
            <v>0</v>
          </cell>
          <cell r="J161">
            <v>0</v>
          </cell>
        </row>
        <row r="162">
          <cell r="B162">
            <v>0</v>
          </cell>
          <cell r="D162">
            <v>0</v>
          </cell>
          <cell r="F162">
            <v>0</v>
          </cell>
          <cell r="H162">
            <v>0</v>
          </cell>
          <cell r="J162">
            <v>196.88412852969819</v>
          </cell>
        </row>
        <row r="163">
          <cell r="B163">
            <v>0</v>
          </cell>
          <cell r="D163">
            <v>0</v>
          </cell>
          <cell r="F163">
            <v>0</v>
          </cell>
          <cell r="H163">
            <v>0</v>
          </cell>
          <cell r="J163">
            <v>20.865454364269159</v>
          </cell>
        </row>
        <row r="164">
          <cell r="B164">
            <v>0</v>
          </cell>
          <cell r="D164">
            <v>0</v>
          </cell>
          <cell r="F164">
            <v>0</v>
          </cell>
          <cell r="H164">
            <v>0</v>
          </cell>
          <cell r="J164">
            <v>5.4819171167786694E-3</v>
          </cell>
        </row>
        <row r="165">
          <cell r="B165">
            <v>0</v>
          </cell>
          <cell r="D165">
            <v>0</v>
          </cell>
          <cell r="F165">
            <v>0</v>
          </cell>
          <cell r="H165">
            <v>0</v>
          </cell>
          <cell r="J165">
            <v>1.7765908229799692</v>
          </cell>
        </row>
        <row r="166">
          <cell r="B166">
            <v>0</v>
          </cell>
          <cell r="D166">
            <v>0</v>
          </cell>
          <cell r="F166">
            <v>0</v>
          </cell>
          <cell r="H166">
            <v>0</v>
          </cell>
          <cell r="J166">
            <v>6.1338801820645035</v>
          </cell>
        </row>
        <row r="167">
          <cell r="B167">
            <v>0</v>
          </cell>
          <cell r="D167">
            <v>0</v>
          </cell>
          <cell r="F167">
            <v>0</v>
          </cell>
          <cell r="H167">
            <v>0</v>
          </cell>
          <cell r="J167">
            <v>7.3520520964636802</v>
          </cell>
        </row>
        <row r="168">
          <cell r="B168">
            <v>0</v>
          </cell>
          <cell r="D168">
            <v>0</v>
          </cell>
          <cell r="F168">
            <v>0</v>
          </cell>
          <cell r="H168">
            <v>0</v>
          </cell>
          <cell r="J168">
            <v>0</v>
          </cell>
        </row>
        <row r="169">
          <cell r="B169">
            <v>1.5087962516712199E-2</v>
          </cell>
          <cell r="D169">
            <v>1.4620974517786435E-2</v>
          </cell>
          <cell r="F169">
            <v>1.634587173363317E-2</v>
          </cell>
          <cell r="H169">
            <v>0</v>
          </cell>
          <cell r="J169">
            <v>5.0640173596113919E-2</v>
          </cell>
        </row>
        <row r="170">
          <cell r="B170">
            <v>0</v>
          </cell>
          <cell r="D170">
            <v>0</v>
          </cell>
          <cell r="F170">
            <v>0</v>
          </cell>
          <cell r="H170">
            <v>0</v>
          </cell>
          <cell r="J170">
            <v>3.0759928076142922</v>
          </cell>
        </row>
        <row r="171">
          <cell r="B171">
            <v>0</v>
          </cell>
          <cell r="D171">
            <v>0</v>
          </cell>
          <cell r="F171">
            <v>0</v>
          </cell>
          <cell r="H171">
            <v>0</v>
          </cell>
          <cell r="J171">
            <v>0.78186600006284779</v>
          </cell>
        </row>
        <row r="172">
          <cell r="B172">
            <v>60.169016267778147</v>
          </cell>
          <cell r="D172">
            <v>66.578802222219053</v>
          </cell>
          <cell r="F172">
            <v>65.154296584979974</v>
          </cell>
          <cell r="H172">
            <v>79.492363612292777</v>
          </cell>
          <cell r="J172">
            <v>97.928407521565816</v>
          </cell>
        </row>
      </sheetData>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Vehi_Inputs"/>
      <sheetName val="Mat_Inputs"/>
      <sheetName val="Car"/>
      <sheetName val="SUV"/>
      <sheetName val="PUT"/>
      <sheetName val="Steel"/>
      <sheetName val="C.Iron"/>
      <sheetName val="W.Al"/>
      <sheetName val="C.Al"/>
      <sheetName val="Lead"/>
      <sheetName val="Nickel"/>
      <sheetName val="Cobalt"/>
      <sheetName val="Copper"/>
      <sheetName val="Zinc"/>
      <sheetName val="Magnesium"/>
      <sheetName val="Glass"/>
      <sheetName val="Plastic"/>
      <sheetName val="Rubber"/>
      <sheetName val="Platinum"/>
      <sheetName val="Vanadium"/>
      <sheetName val="Zirconium"/>
      <sheetName val="Titanium"/>
      <sheetName val="Chromium"/>
      <sheetName val="Molybdenum"/>
      <sheetName val="Rare Earth"/>
      <sheetName val="Manganese"/>
      <sheetName val="FC Materials"/>
      <sheetName val="Cement_Concrete"/>
      <sheetName val="Silicon"/>
      <sheetName val="Mat_Sum"/>
      <sheetName val="Vehi_Fluids"/>
      <sheetName val="Battery Assembly"/>
      <sheetName val="Vehi_ADR"/>
      <sheetName val="Battery_Sum"/>
      <sheetName val="Battery_Materials"/>
      <sheetName val="Anode"/>
      <sheetName val="LiMn2O4"/>
      <sheetName val="Other_Cathodes"/>
      <sheetName val="Vehi_Comp_Sum"/>
      <sheetName val="Vehi_Sum"/>
      <sheetName val="TEC_Results"/>
      <sheetName val="GREET1_Import_Export"/>
      <sheetName val="GREET2_Factors_T&amp;D"/>
    </sheetNames>
    <sheetDataSet>
      <sheetData sheetId="0"/>
      <sheetData sheetId="1">
        <row r="24">
          <cell r="E24">
            <v>125.34804450000001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6">
          <cell r="B6">
            <v>10.9</v>
          </cell>
          <cell r="C6">
            <v>0</v>
          </cell>
          <cell r="D6">
            <v>2</v>
          </cell>
          <cell r="E6">
            <v>31.5</v>
          </cell>
          <cell r="F6">
            <v>29.1</v>
          </cell>
          <cell r="G6">
            <v>10.5</v>
          </cell>
        </row>
        <row r="8">
          <cell r="B8">
            <v>10.9</v>
          </cell>
          <cell r="C8">
            <v>0</v>
          </cell>
          <cell r="D8">
            <v>2</v>
          </cell>
          <cell r="E8">
            <v>2.4</v>
          </cell>
          <cell r="F8">
            <v>29.1</v>
          </cell>
          <cell r="G8">
            <v>10.5</v>
          </cell>
        </row>
        <row r="9">
          <cell r="B9">
            <v>10.9</v>
          </cell>
          <cell r="C9">
            <v>0</v>
          </cell>
          <cell r="D9">
            <v>2</v>
          </cell>
          <cell r="E9">
            <v>2.4</v>
          </cell>
          <cell r="F9">
            <v>29.1</v>
          </cell>
          <cell r="G9">
            <v>10.5</v>
          </cell>
        </row>
        <row r="10">
          <cell r="B10">
            <v>0</v>
          </cell>
          <cell r="C10">
            <v>0</v>
          </cell>
          <cell r="D10">
            <v>2</v>
          </cell>
          <cell r="E10">
            <v>2.4</v>
          </cell>
          <cell r="F10">
            <v>20</v>
          </cell>
          <cell r="G10">
            <v>10.5</v>
          </cell>
        </row>
        <row r="12">
          <cell r="B12">
            <v>44</v>
          </cell>
          <cell r="C12">
            <v>0</v>
          </cell>
          <cell r="D12">
            <v>4</v>
          </cell>
          <cell r="E12">
            <v>1</v>
          </cell>
          <cell r="F12">
            <v>4</v>
          </cell>
          <cell r="G12">
            <v>22</v>
          </cell>
        </row>
      </sheetData>
      <sheetData sheetId="32"/>
      <sheetData sheetId="33"/>
      <sheetData sheetId="34">
        <row r="40">
          <cell r="B40">
            <v>53</v>
          </cell>
        </row>
      </sheetData>
      <sheetData sheetId="35"/>
      <sheetData sheetId="36"/>
      <sheetData sheetId="37"/>
      <sheetData sheetId="38"/>
      <sheetData sheetId="39">
        <row r="150">
          <cell r="B150">
            <v>2548.985601929221</v>
          </cell>
          <cell r="D150">
            <v>2758.5847797241231</v>
          </cell>
          <cell r="F150">
            <v>2958.7088339279521</v>
          </cell>
          <cell r="H150">
            <v>2457.5160196316219</v>
          </cell>
          <cell r="J150">
            <v>2701.0531714137715</v>
          </cell>
        </row>
        <row r="151">
          <cell r="B151">
            <v>0</v>
          </cell>
          <cell r="D151">
            <v>0</v>
          </cell>
          <cell r="F151">
            <v>0</v>
          </cell>
          <cell r="H151">
            <v>0</v>
          </cell>
          <cell r="J151">
            <v>136.74460951649939</v>
          </cell>
        </row>
        <row r="152">
          <cell r="B152">
            <v>376.55987978044169</v>
          </cell>
          <cell r="D152">
            <v>281.3804721689508</v>
          </cell>
          <cell r="F152">
            <v>333.93582997043131</v>
          </cell>
          <cell r="H152">
            <v>87.971561308799991</v>
          </cell>
          <cell r="J152">
            <v>98.873330586707539</v>
          </cell>
        </row>
        <row r="153">
          <cell r="B153">
            <v>58.033890198371694</v>
          </cell>
          <cell r="D153">
            <v>41.978603528596643</v>
          </cell>
          <cell r="F153">
            <v>38.851483488850164</v>
          </cell>
          <cell r="H153">
            <v>41.908899706802821</v>
          </cell>
          <cell r="J153">
            <v>92.289643931890353</v>
          </cell>
        </row>
        <row r="154">
          <cell r="B154">
            <v>159.26664516412981</v>
          </cell>
          <cell r="D154">
            <v>226.76374942979984</v>
          </cell>
          <cell r="F154">
            <v>278.29783865288533</v>
          </cell>
          <cell r="H154">
            <v>195.99985579477723</v>
          </cell>
          <cell r="J154">
            <v>159.29540374407466</v>
          </cell>
        </row>
        <row r="155">
          <cell r="B155">
            <v>57.049453324035696</v>
          </cell>
          <cell r="D155">
            <v>138.71885860905982</v>
          </cell>
          <cell r="F155">
            <v>167.96529989228466</v>
          </cell>
          <cell r="H155">
            <v>171.30608663878701</v>
          </cell>
          <cell r="J155">
            <v>131.16446473827509</v>
          </cell>
        </row>
        <row r="156">
          <cell r="B156">
            <v>0</v>
          </cell>
          <cell r="D156">
            <v>0</v>
          </cell>
          <cell r="F156">
            <v>0</v>
          </cell>
          <cell r="H156">
            <v>0</v>
          </cell>
          <cell r="J156">
            <v>0</v>
          </cell>
        </row>
        <row r="157">
          <cell r="B157">
            <v>0.50182024770108113</v>
          </cell>
          <cell r="D157">
            <v>0.48440818828765664</v>
          </cell>
          <cell r="F157">
            <v>0.32612799501131912</v>
          </cell>
          <cell r="H157">
            <v>0.4772287990235578</v>
          </cell>
          <cell r="J157">
            <v>0.53217494203188997</v>
          </cell>
        </row>
        <row r="158">
          <cell r="B158">
            <v>128.80053024327748</v>
          </cell>
          <cell r="D158">
            <v>124.33143499383188</v>
          </cell>
          <cell r="F158">
            <v>83.706185386238573</v>
          </cell>
          <cell r="H158">
            <v>122.48872508271317</v>
          </cell>
          <cell r="J158">
            <v>136.59156845485177</v>
          </cell>
        </row>
        <row r="159">
          <cell r="B159">
            <v>374.70855996696451</v>
          </cell>
          <cell r="D159">
            <v>360.91126871694985</v>
          </cell>
          <cell r="F159">
            <v>281.79383801707627</v>
          </cell>
          <cell r="H159">
            <v>355.99537133416646</v>
          </cell>
          <cell r="J159">
            <v>430.88925745958403</v>
          </cell>
        </row>
        <row r="160">
          <cell r="B160">
            <v>416.79481374035197</v>
          </cell>
          <cell r="D160">
            <v>409.2221736921918</v>
          </cell>
          <cell r="F160">
            <v>422.88371706165481</v>
          </cell>
          <cell r="H160">
            <v>397.10431215958977</v>
          </cell>
          <cell r="J160">
            <v>425.90820035077286</v>
          </cell>
        </row>
        <row r="161">
          <cell r="B161">
            <v>0</v>
          </cell>
          <cell r="D161">
            <v>0</v>
          </cell>
          <cell r="F161">
            <v>1.1778957041915705E-2</v>
          </cell>
          <cell r="H161">
            <v>0</v>
          </cell>
          <cell r="J161">
            <v>0</v>
          </cell>
        </row>
        <row r="162">
          <cell r="B162">
            <v>0</v>
          </cell>
          <cell r="D162">
            <v>0</v>
          </cell>
          <cell r="F162">
            <v>0</v>
          </cell>
          <cell r="H162">
            <v>0</v>
          </cell>
          <cell r="J162">
            <v>247.53444838224399</v>
          </cell>
        </row>
        <row r="163">
          <cell r="B163">
            <v>0</v>
          </cell>
          <cell r="D163">
            <v>0</v>
          </cell>
          <cell r="F163">
            <v>0</v>
          </cell>
          <cell r="H163">
            <v>0</v>
          </cell>
          <cell r="J163">
            <v>25.679196366260349</v>
          </cell>
        </row>
        <row r="164">
          <cell r="B164">
            <v>0</v>
          </cell>
          <cell r="D164">
            <v>0</v>
          </cell>
          <cell r="F164">
            <v>0</v>
          </cell>
          <cell r="H164">
            <v>0</v>
          </cell>
          <cell r="J164">
            <v>6.4832806434435581E-3</v>
          </cell>
        </row>
        <row r="165">
          <cell r="B165">
            <v>0</v>
          </cell>
          <cell r="D165">
            <v>0</v>
          </cell>
          <cell r="F165">
            <v>0</v>
          </cell>
          <cell r="H165">
            <v>0</v>
          </cell>
          <cell r="J165">
            <v>2.1011147466443054</v>
          </cell>
        </row>
        <row r="166">
          <cell r="B166">
            <v>0</v>
          </cell>
          <cell r="D166">
            <v>0</v>
          </cell>
          <cell r="F166">
            <v>0</v>
          </cell>
          <cell r="H166">
            <v>0</v>
          </cell>
          <cell r="J166">
            <v>7.2543356286549354</v>
          </cell>
        </row>
        <row r="167">
          <cell r="B167">
            <v>0</v>
          </cell>
          <cell r="D167">
            <v>0</v>
          </cell>
          <cell r="F167">
            <v>0</v>
          </cell>
          <cell r="H167">
            <v>0</v>
          </cell>
          <cell r="J167">
            <v>8.6950269460843597</v>
          </cell>
        </row>
        <row r="168">
          <cell r="B168">
            <v>0</v>
          </cell>
          <cell r="D168">
            <v>0</v>
          </cell>
          <cell r="F168">
            <v>0</v>
          </cell>
          <cell r="H168">
            <v>0</v>
          </cell>
          <cell r="J168">
            <v>0</v>
          </cell>
        </row>
        <row r="169">
          <cell r="B169">
            <v>8.5698502883522903E-3</v>
          </cell>
          <cell r="D169">
            <v>8.0892413139500314E-3</v>
          </cell>
          <cell r="F169">
            <v>1.1778957041915705E-2</v>
          </cell>
          <cell r="H169">
            <v>0</v>
          </cell>
          <cell r="J169">
            <v>5.9890445306337262E-2</v>
          </cell>
        </row>
        <row r="170">
          <cell r="B170">
            <v>0</v>
          </cell>
          <cell r="D170">
            <v>0</v>
          </cell>
          <cell r="F170">
            <v>0</v>
          </cell>
          <cell r="H170">
            <v>0</v>
          </cell>
          <cell r="J170">
            <v>3.855769596294599</v>
          </cell>
        </row>
        <row r="171">
          <cell r="B171">
            <v>0</v>
          </cell>
          <cell r="D171">
            <v>0</v>
          </cell>
          <cell r="F171">
            <v>0</v>
          </cell>
          <cell r="H171">
            <v>0</v>
          </cell>
          <cell r="J171">
            <v>0.92468685607432599</v>
          </cell>
        </row>
        <row r="172">
          <cell r="B172">
            <v>64.126055555216709</v>
          </cell>
          <cell r="D172">
            <v>72.035441706895199</v>
          </cell>
          <cell r="F172">
            <v>57.365467693531492</v>
          </cell>
          <cell r="H172">
            <v>87.77013954371823</v>
          </cell>
          <cell r="J172">
            <v>104.95324261333482</v>
          </cell>
        </row>
      </sheetData>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Vehi_Inputs"/>
      <sheetName val="Mat_Inputs"/>
      <sheetName val="Car"/>
      <sheetName val="SUV"/>
      <sheetName val="PUT"/>
      <sheetName val="Steel"/>
      <sheetName val="C.Iron"/>
      <sheetName val="W.Al"/>
      <sheetName val="C.Al"/>
      <sheetName val="Lead"/>
      <sheetName val="Nickel"/>
      <sheetName val="Cobalt"/>
      <sheetName val="Copper"/>
      <sheetName val="Zinc"/>
      <sheetName val="Magnesium"/>
      <sheetName val="Glass"/>
      <sheetName val="Plastic"/>
      <sheetName val="Rubber"/>
      <sheetName val="Platinum"/>
      <sheetName val="Vanadium"/>
      <sheetName val="Zirconium"/>
      <sheetName val="Titanium"/>
      <sheetName val="Chromium"/>
      <sheetName val="Molybdenum"/>
      <sheetName val="Rare Earth"/>
      <sheetName val="Manganese"/>
      <sheetName val="FC Materials"/>
      <sheetName val="Cement_Concrete"/>
      <sheetName val="Silicon"/>
      <sheetName val="Mat_Sum"/>
      <sheetName val="Vehi_Fluids"/>
      <sheetName val="Battery Assembly"/>
      <sheetName val="Vehi_ADR"/>
      <sheetName val="Battery_Sum"/>
      <sheetName val="Battery_Materials"/>
      <sheetName val="Anode"/>
      <sheetName val="LiMn2O4"/>
      <sheetName val="Other_Cathodes"/>
      <sheetName val="Vehi_Comp_Sum"/>
      <sheetName val="Vehi_Sum"/>
      <sheetName val="TEC_Results"/>
      <sheetName val="GREET1_Import_Export"/>
      <sheetName val="GREET2_Factors_T&amp;D"/>
    </sheetNames>
    <sheetDataSet>
      <sheetData sheetId="0"/>
      <sheetData sheetId="1">
        <row r="18">
          <cell r="C18">
            <v>3183.4712800000002</v>
          </cell>
        </row>
      </sheetData>
      <sheetData sheetId="2">
        <row r="117">
          <cell r="B117" t="str">
            <v>Others</v>
          </cell>
        </row>
      </sheetData>
      <sheetData sheetId="3"/>
      <sheetData sheetId="4"/>
      <sheetData sheetId="5"/>
      <sheetData sheetId="6">
        <row r="94">
          <cell r="U94">
            <v>29.690330219303515</v>
          </cell>
        </row>
        <row r="113">
          <cell r="U113">
            <v>2843566.0191643331</v>
          </cell>
        </row>
        <row r="128">
          <cell r="E128">
            <v>18.066970568335911</v>
          </cell>
        </row>
        <row r="147">
          <cell r="E147">
            <v>1287339.8874743874</v>
          </cell>
        </row>
        <row r="196">
          <cell r="E196">
            <v>24.774870430254502</v>
          </cell>
        </row>
        <row r="215">
          <cell r="E215">
            <v>1771712.6743078369</v>
          </cell>
        </row>
      </sheetData>
      <sheetData sheetId="7">
        <row r="62">
          <cell r="J62">
            <v>29.801082560676321</v>
          </cell>
        </row>
        <row r="81">
          <cell r="J81">
            <v>944238.3020538413</v>
          </cell>
        </row>
      </sheetData>
      <sheetData sheetId="8">
        <row r="125">
          <cell r="U125">
            <v>182.34646421760476</v>
          </cell>
        </row>
        <row r="146">
          <cell r="U146">
            <v>18370647.678120486</v>
          </cell>
        </row>
        <row r="163">
          <cell r="R163">
            <v>28.408875275981888</v>
          </cell>
        </row>
        <row r="184">
          <cell r="R184">
            <v>2404866.8850501524</v>
          </cell>
        </row>
      </sheetData>
      <sheetData sheetId="9">
        <row r="115">
          <cell r="I115">
            <v>201.97427698221571</v>
          </cell>
        </row>
        <row r="136">
          <cell r="I136">
            <v>20306047.918456588</v>
          </cell>
        </row>
        <row r="151">
          <cell r="F151">
            <v>32.337214657417029</v>
          </cell>
        </row>
        <row r="172">
          <cell r="F172">
            <v>2711981.5823569805</v>
          </cell>
        </row>
      </sheetData>
      <sheetData sheetId="10"/>
      <sheetData sheetId="11"/>
      <sheetData sheetId="12"/>
      <sheetData sheetId="13">
        <row r="63">
          <cell r="K63">
            <v>38.242223608985356</v>
          </cell>
        </row>
        <row r="82">
          <cell r="K82">
            <v>2796619.3423775146</v>
          </cell>
        </row>
      </sheetData>
      <sheetData sheetId="14"/>
      <sheetData sheetId="15"/>
      <sheetData sheetId="16">
        <row r="71">
          <cell r="J71">
            <v>19.640480727486267</v>
          </cell>
        </row>
        <row r="90">
          <cell r="J90">
            <v>1601021.7076242864</v>
          </cell>
        </row>
      </sheetData>
      <sheetData sheetId="17">
        <row r="97">
          <cell r="L97">
            <v>84.48567359517628</v>
          </cell>
          <cell r="T97">
            <v>511.49284804975179</v>
          </cell>
        </row>
        <row r="116">
          <cell r="L116">
            <v>4063768.9986647251</v>
          </cell>
          <cell r="T116">
            <v>36239757.185398541</v>
          </cell>
        </row>
      </sheetData>
      <sheetData sheetId="18">
        <row r="65">
          <cell r="I65">
            <v>47.335627321997379</v>
          </cell>
        </row>
        <row r="84">
          <cell r="I84">
            <v>3575223.188181744</v>
          </cell>
        </row>
      </sheetData>
      <sheetData sheetId="19"/>
      <sheetData sheetId="20"/>
      <sheetData sheetId="21"/>
      <sheetData sheetId="22"/>
      <sheetData sheetId="23"/>
      <sheetData sheetId="24"/>
      <sheetData sheetId="25"/>
      <sheetData sheetId="26"/>
      <sheetData sheetId="27"/>
      <sheetData sheetId="28"/>
      <sheetData sheetId="29"/>
      <sheetData sheetId="30">
        <row r="15">
          <cell r="D15">
            <v>1.3310881635724033E-2</v>
          </cell>
          <cell r="I15">
            <v>8.2706664717013129E-2</v>
          </cell>
          <cell r="L15">
            <v>2.8891387003068411E-2</v>
          </cell>
          <cell r="Z15">
            <v>1.9121111804492677E-2</v>
          </cell>
          <cell r="AH15">
            <v>3.4810290702326691E-2</v>
          </cell>
          <cell r="AI15">
            <v>3.3141191842256147E-2</v>
          </cell>
          <cell r="AJ15">
            <v>3.379022286889851E-2</v>
          </cell>
          <cell r="AX15">
            <v>1.1427521257957707E-2</v>
          </cell>
          <cell r="BD15">
            <v>1.6727685061662778E-2</v>
          </cell>
          <cell r="BF15">
            <v>0.10253318307706882</v>
          </cell>
          <cell r="BG15">
            <v>0.1039432506146664</v>
          </cell>
          <cell r="BH15">
            <v>0.106849024693837</v>
          </cell>
          <cell r="BJ15">
            <v>4.6883023918482113E-2</v>
          </cell>
          <cell r="BK15">
            <v>2.4713706171284849E-2</v>
          </cell>
          <cell r="BL15">
            <v>1.3745411996486946E-2</v>
          </cell>
          <cell r="BO15">
            <v>0.11633386520099262</v>
          </cell>
          <cell r="BP15">
            <v>4.3088545669179412E-2</v>
          </cell>
          <cell r="BQ15">
            <v>3.8640037970801788E-2</v>
          </cell>
          <cell r="BR15">
            <v>1.5565133779989916E-2</v>
          </cell>
          <cell r="BS15">
            <v>7.6991821296485435E-2</v>
          </cell>
          <cell r="BT15">
            <v>4.3806736254213075E-3</v>
          </cell>
          <cell r="BU15">
            <v>1.6098267524488178E-2</v>
          </cell>
          <cell r="BV15">
            <v>0.17165311480761114</v>
          </cell>
          <cell r="BW15">
            <v>8.5217470713689018E-3</v>
          </cell>
          <cell r="BY15">
            <v>0.41279157004878941</v>
          </cell>
        </row>
        <row r="34">
          <cell r="D34">
            <v>1216.3611601990938</v>
          </cell>
          <cell r="I34">
            <v>8307.2058954413751</v>
          </cell>
          <cell r="L34">
            <v>2675.5457663859597</v>
          </cell>
          <cell r="Z34">
            <v>1398.3096711887574</v>
          </cell>
          <cell r="AH34">
            <v>1330.687314698371</v>
          </cell>
          <cell r="AI34">
            <v>1534.1213757511807</v>
          </cell>
          <cell r="AJ34">
            <v>1149.6594782844063</v>
          </cell>
          <cell r="AX34">
            <v>863.66042688091795</v>
          </cell>
          <cell r="BD34">
            <v>1519.0949682379737</v>
          </cell>
          <cell r="BF34">
            <v>7527.0157017398105</v>
          </cell>
          <cell r="BG34">
            <v>7592.0528408825066</v>
          </cell>
          <cell r="BH34">
            <v>7585.2218976426057</v>
          </cell>
          <cell r="BJ34">
            <v>3827.6957167887222</v>
          </cell>
          <cell r="BK34">
            <v>1760.5215618819275</v>
          </cell>
          <cell r="BL34">
            <v>1073.4208530402168</v>
          </cell>
          <cell r="BO34">
            <v>8214.9700952090752</v>
          </cell>
          <cell r="BP34">
            <v>2327.1541282796288</v>
          </cell>
          <cell r="BQ34">
            <v>2204.9663053918443</v>
          </cell>
          <cell r="BR34">
            <v>1083.7882864405283</v>
          </cell>
          <cell r="BS34">
            <v>5511.8981330001034</v>
          </cell>
          <cell r="BT34">
            <v>211.72065259367102</v>
          </cell>
          <cell r="BU34">
            <v>781.67806538824618</v>
          </cell>
          <cell r="BV34">
            <v>12010.531316523453</v>
          </cell>
          <cell r="BW34">
            <v>793.12110050610977</v>
          </cell>
          <cell r="BY34">
            <v>21126.355923658459</v>
          </cell>
        </row>
      </sheetData>
      <sheetData sheetId="31"/>
      <sheetData sheetId="32">
        <row r="56">
          <cell r="F56">
            <v>0.20493620938651846</v>
          </cell>
        </row>
        <row r="75">
          <cell r="F75">
            <v>13854.30547718205</v>
          </cell>
        </row>
      </sheetData>
      <sheetData sheetId="33">
        <row r="106">
          <cell r="B106">
            <v>0.59482229041665546</v>
          </cell>
          <cell r="C106">
            <v>3.485144381480032</v>
          </cell>
          <cell r="D106">
            <v>2.0518260192072786</v>
          </cell>
          <cell r="E106">
            <v>3.286448594241306</v>
          </cell>
          <cell r="F106">
            <v>0.4248730645833253</v>
          </cell>
          <cell r="G106">
            <v>0.56580656893291625</v>
          </cell>
          <cell r="H106">
            <v>0.84767357763209772</v>
          </cell>
          <cell r="I106">
            <v>3.1010168946873304</v>
          </cell>
        </row>
        <row r="125">
          <cell r="B125">
            <v>42475.863847792141</v>
          </cell>
          <cell r="C125">
            <v>240364.06982426511</v>
          </cell>
          <cell r="D125">
            <v>146519.53034604256</v>
          </cell>
          <cell r="E125">
            <v>217149.20492832238</v>
          </cell>
          <cell r="F125">
            <v>30339.902748422952</v>
          </cell>
          <cell r="G125">
            <v>40403.87048936326</v>
          </cell>
          <cell r="H125">
            <v>60531.805971243848</v>
          </cell>
          <cell r="I125">
            <v>221441.55242766265</v>
          </cell>
        </row>
      </sheetData>
      <sheetData sheetId="34">
        <row r="176">
          <cell r="H176">
            <v>104.70123020304833</v>
          </cell>
        </row>
        <row r="177">
          <cell r="H177">
            <v>65.505284367626984</v>
          </cell>
        </row>
        <row r="178">
          <cell r="H178">
            <v>0</v>
          </cell>
        </row>
        <row r="179">
          <cell r="H179">
            <v>8.9582376089829268</v>
          </cell>
        </row>
        <row r="180">
          <cell r="H180">
            <v>48.820844188243726</v>
          </cell>
        </row>
        <row r="181">
          <cell r="H181">
            <v>99.232761497351945</v>
          </cell>
        </row>
        <row r="182">
          <cell r="H182">
            <v>0</v>
          </cell>
        </row>
        <row r="183">
          <cell r="H183">
            <v>6.7093431838099935</v>
          </cell>
        </row>
        <row r="184">
          <cell r="H184">
            <v>18.729774905869856</v>
          </cell>
        </row>
        <row r="185">
          <cell r="H185">
            <v>18.729774905869856</v>
          </cell>
        </row>
        <row r="186">
          <cell r="H186">
            <v>4.5919932929641085</v>
          </cell>
        </row>
        <row r="187">
          <cell r="H187">
            <v>1.5021012468551276</v>
          </cell>
        </row>
        <row r="188">
          <cell r="H188">
            <v>0.85672328536434594</v>
          </cell>
        </row>
        <row r="189">
          <cell r="H189">
            <v>2.5742990432428328</v>
          </cell>
        </row>
        <row r="190">
          <cell r="H190">
            <v>2.0183486476236867</v>
          </cell>
        </row>
        <row r="191">
          <cell r="H191">
            <v>17.892267542593292</v>
          </cell>
        </row>
        <row r="192">
          <cell r="H192">
            <v>15.210099735093188</v>
          </cell>
        </row>
      </sheetData>
      <sheetData sheetId="35"/>
      <sheetData sheetId="36"/>
      <sheetData sheetId="37">
        <row r="9">
          <cell r="E9">
            <v>7.0000000000000001E-3</v>
          </cell>
        </row>
      </sheetData>
      <sheetData sheetId="38"/>
      <sheetData sheetId="39"/>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Vehi_Inputs"/>
      <sheetName val="Mat_Inputs"/>
      <sheetName val="Car"/>
      <sheetName val="SUV"/>
      <sheetName val="ESCOOT"/>
      <sheetName val="Steel"/>
      <sheetName val="C.Iron"/>
      <sheetName val="W.Al"/>
      <sheetName val="C.Al"/>
      <sheetName val="Lead"/>
      <sheetName val="Nickel"/>
      <sheetName val="Cobalt"/>
      <sheetName val="Copper"/>
      <sheetName val="Zinc"/>
      <sheetName val="Magnesium"/>
      <sheetName val="Glass"/>
      <sheetName val="Plastic"/>
      <sheetName val="Rubber"/>
      <sheetName val="Platinum"/>
      <sheetName val="Vanadium"/>
      <sheetName val="Zirconium"/>
      <sheetName val="Titanium"/>
      <sheetName val="Chromium"/>
      <sheetName val="Molybdenum"/>
      <sheetName val="Rare Earth"/>
      <sheetName val="Manganese"/>
      <sheetName val="FC Materials"/>
      <sheetName val="Cement_Concrete"/>
      <sheetName val="Silicon"/>
      <sheetName val="Mat_Sum"/>
      <sheetName val="Vehi_Fluids"/>
      <sheetName val="Battery Assembly"/>
      <sheetName val="Vehi_ADR"/>
      <sheetName val="Battery_Sum"/>
      <sheetName val="Battery_Materials"/>
      <sheetName val="Anode"/>
      <sheetName val="LiMn2O4"/>
      <sheetName val="Other_Cathodes"/>
      <sheetName val="Vehi_Comp_Sum"/>
      <sheetName val="Vehi_Sum"/>
      <sheetName val="TEC_Results"/>
      <sheetName val="GREET1_Import_Export"/>
      <sheetName val="GREET2_Factors_T&amp;D"/>
    </sheetNames>
    <sheetDataSet>
      <sheetData sheetId="0"/>
      <sheetData sheetId="1">
        <row r="116">
          <cell r="O116">
            <v>142.62303541417381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s"/>
      <sheetName val="Results"/>
      <sheetName val="Petroleum"/>
      <sheetName val="NG"/>
      <sheetName val="MeOH&amp;FTD"/>
      <sheetName val="EtOH"/>
      <sheetName val="Electric"/>
      <sheetName val="Hydrogen"/>
      <sheetName val="BioOil"/>
      <sheetName val="Algae"/>
      <sheetName val="RNG"/>
      <sheetName val="Pyrolysis_IDL"/>
      <sheetName val="IBR"/>
      <sheetName val="PTF"/>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g_Inputs"/>
      <sheetName val="Enzymes_Yeast"/>
      <sheetName val="Pretreatment"/>
      <sheetName val="Catalyst"/>
      <sheetName val="Bioproducts"/>
      <sheetName val="E-D Additives"/>
      <sheetName val="OilGasCoalInfra"/>
      <sheetName val="ElecInfra"/>
      <sheetName val="Woody"/>
      <sheetName val="HDV_TS"/>
      <sheetName val="HDV_WTW"/>
      <sheetName val="JetFuel_WTP"/>
      <sheetName val="JetFuel_PTWa"/>
      <sheetName val="JetFuel_WTWa"/>
      <sheetName val="Rail_PTW"/>
      <sheetName val="Rail_WTW"/>
      <sheetName val="MarineFuel_PTH"/>
      <sheetName val="MarineFuel_WTH"/>
      <sheetName val="Dist_Spec"/>
      <sheetName val="Forecast_Specs"/>
      <sheetName val="Forecast_Deleted"/>
      <sheetName val="GREET1_2018"/>
    </sheetNames>
    <sheetDataSet>
      <sheetData sheetId="0"/>
      <sheetData sheetId="1"/>
      <sheetData sheetId="2"/>
      <sheetData sheetId="3">
        <row r="263">
          <cell r="G263">
            <v>221720.96119113636</v>
          </cell>
          <cell r="L263">
            <v>197702.97600991547</v>
          </cell>
        </row>
        <row r="281">
          <cell r="G281">
            <v>17398.174938744691</v>
          </cell>
          <cell r="L281">
            <v>14580.382076970598</v>
          </cell>
        </row>
      </sheetData>
      <sheetData sheetId="4"/>
      <sheetData sheetId="5"/>
      <sheetData sheetId="6"/>
      <sheetData sheetId="7">
        <row r="201">
          <cell r="J201" t="str">
            <v>Oil-Fired Power Plant</v>
          </cell>
          <cell r="N201" t="str">
            <v>NG-Fired Power Plant</v>
          </cell>
          <cell r="R201" t="str">
            <v>Coal-Fired Power Plant</v>
          </cell>
          <cell r="V201" t="str">
            <v>Biomass-Fired Power Plant</v>
          </cell>
          <cell r="Z201" t="str">
            <v>Nuclear Power Plant (LWR): for electrolysis to G.H2 at refueling station</v>
          </cell>
          <cell r="DV201" t="str">
            <v>Hydroelectric Power Plant</v>
          </cell>
          <cell r="DZ201" t="str">
            <v>Wind Power Plant</v>
          </cell>
          <cell r="ED201" t="str">
            <v>PV Power Plant</v>
          </cell>
          <cell r="EH201" t="str">
            <v>Geothermal-Flash Power Plant</v>
          </cell>
        </row>
        <row r="204">
          <cell r="J204">
            <v>449413.72536433139</v>
          </cell>
          <cell r="K204">
            <v>3044707.5891621807</v>
          </cell>
          <cell r="N204">
            <v>183057.03139417409</v>
          </cell>
          <cell r="O204">
            <v>2098438.4576887828</v>
          </cell>
          <cell r="R204">
            <v>63487.259384001525</v>
          </cell>
          <cell r="S204">
            <v>2918655.1268570195</v>
          </cell>
          <cell r="V204">
            <v>120502.63799563368</v>
          </cell>
          <cell r="W204">
            <v>4758149.3165089386</v>
          </cell>
          <cell r="Z204">
            <v>33833.700405299111</v>
          </cell>
          <cell r="AA204">
            <v>1051524.7108307045</v>
          </cell>
          <cell r="DV204">
            <v>0</v>
          </cell>
          <cell r="DW204">
            <v>1051524.7108307045</v>
          </cell>
          <cell r="DZ204">
            <v>0</v>
          </cell>
          <cell r="EA204">
            <v>1051524.7108307045</v>
          </cell>
          <cell r="ED204">
            <v>0</v>
          </cell>
          <cell r="EE204">
            <v>1051524.7108307045</v>
          </cell>
          <cell r="EG204"/>
          <cell r="EH204">
            <v>0</v>
          </cell>
        </row>
        <row r="222">
          <cell r="J222">
            <v>43067.810494980549</v>
          </cell>
          <cell r="K222">
            <v>259815.67100530304</v>
          </cell>
          <cell r="N222">
            <v>23804.443069771354</v>
          </cell>
          <cell r="O222">
            <v>124799.16107729643</v>
          </cell>
          <cell r="R222">
            <v>17863.295623435792</v>
          </cell>
          <cell r="S222">
            <v>293302.00867863634</v>
          </cell>
          <cell r="V222">
            <v>9669.2305546947518</v>
          </cell>
          <cell r="W222">
            <v>9439.2168694408683</v>
          </cell>
          <cell r="Z222">
            <v>2439.3716700309215</v>
          </cell>
          <cell r="AA222">
            <v>0</v>
          </cell>
          <cell r="DV222">
            <v>0</v>
          </cell>
          <cell r="DW222">
            <v>0</v>
          </cell>
          <cell r="DZ222">
            <v>0</v>
          </cell>
          <cell r="EA222">
            <v>0</v>
          </cell>
          <cell r="ED222">
            <v>0</v>
          </cell>
          <cell r="EE222">
            <v>0</v>
          </cell>
          <cell r="EG222"/>
          <cell r="EH222">
            <v>0</v>
          </cell>
        </row>
      </sheetData>
      <sheetData sheetId="8">
        <row r="256">
          <cell r="Z256">
            <v>106511.65405772217</v>
          </cell>
          <cell r="AA256">
            <v>687128.76495617686</v>
          </cell>
        </row>
        <row r="274">
          <cell r="Z274">
            <v>14191.659945221811</v>
          </cell>
          <cell r="AA274">
            <v>106505.72412547216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0">
          <cell r="A60" t="str">
            <v>Total fuel use (Btu/mile)</v>
          </cell>
          <cell r="B60">
            <v>4301.8987730061353</v>
          </cell>
          <cell r="DL60">
            <v>1190.8525948104077</v>
          </cell>
          <cell r="DM60">
            <v>2047.8910280622597</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www.itf-oecd.org/emerging-mobility-solutions-and-their-impact-practicesmarion-lagadic-6t-consultancy-france" TargetMode="External"/><Relationship Id="rId7" Type="http://schemas.openxmlformats.org/officeDocument/2006/relationships/hyperlink" Target="https://www.sfchronicle.com/business/networth/article/Electric-bike-share-rides-into-SF-jumping-ahead-11250951.php" TargetMode="External"/><Relationship Id="rId2" Type="http://schemas.openxmlformats.org/officeDocument/2006/relationships/hyperlink" Target="https://ecf.com/sites/ecf.com/files/ECF_CO2_WEB.pdf" TargetMode="External"/><Relationship Id="rId1" Type="http://schemas.openxmlformats.org/officeDocument/2006/relationships/hyperlink" Target="https://itspubs.ucdavis.edu/wp-content/themes/ucdavis/pubs/download_pdf.php?id=1289" TargetMode="External"/><Relationship Id="rId6" Type="http://schemas.openxmlformats.org/officeDocument/2006/relationships/hyperlink" Target="http://mobility-workspace.eu/wp-content/uploads/Bike-shares-impact-on-car-use-3.pdf" TargetMode="External"/><Relationship Id="rId5" Type="http://schemas.openxmlformats.org/officeDocument/2006/relationships/hyperlink" Target="https://www.sae.org/binaries/content/assets/cm/content/topics/micromobility/sae-micromobility-trend-or-fad-report.pdf" TargetMode="External"/><Relationship Id="rId10" Type="http://schemas.openxmlformats.org/officeDocument/2006/relationships/comments" Target="../comments7.xml"/><Relationship Id="rId4" Type="http://schemas.openxmlformats.org/officeDocument/2006/relationships/hyperlink" Target="https://www.sae.org/binaries/content/assets/cm/content/topics/micromobility/sae-micromobility-trend-or-fad-report.pdf" TargetMode="External"/><Relationship Id="rId9"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8" Type="http://schemas.openxmlformats.org/officeDocument/2006/relationships/hyperlink" Target="http://gogoro-website.s3-website-ap-northeast-1.amazonaws.com/battery-pack/" TargetMode="External"/><Relationship Id="rId3" Type="http://schemas.openxmlformats.org/officeDocument/2006/relationships/hyperlink" Target="https://www.motoservices.com/media/attachments/global-scootersharing-market-report-2018.pdf" TargetMode="External"/><Relationship Id="rId7" Type="http://schemas.openxmlformats.org/officeDocument/2006/relationships/hyperlink" Target="https://www.ademe.fr/sites/default/files/assets/documents/comparaison_2roues_voitures.pdf" TargetMode="External"/><Relationship Id="rId2" Type="http://schemas.openxmlformats.org/officeDocument/2006/relationships/hyperlink" Target="http://www.motorscooterguide.net/Honda/EliteSA50/EliteSA50.html" TargetMode="External"/><Relationship Id="rId1" Type="http://schemas.openxmlformats.org/officeDocument/2006/relationships/hyperlink" Target="https://itspubs.ucdavis.edu/wp-content/themes/ucdavis/pubs/download_pdf.php?id=1289" TargetMode="External"/><Relationship Id="rId6" Type="http://schemas.openxmlformats.org/officeDocument/2006/relationships/hyperlink" Target="https://www.unige.ch/mobilite/files/5214/7220/2578/Brochure_VAE_vs_scooter.pdf" TargetMode="External"/><Relationship Id="rId11" Type="http://schemas.openxmlformats.org/officeDocument/2006/relationships/comments" Target="../comments8.xml"/><Relationship Id="rId5" Type="http://schemas.openxmlformats.org/officeDocument/2006/relationships/hyperlink" Target="https://6-t.co/etudes/enquete-cityscoot/" TargetMode="External"/><Relationship Id="rId10" Type="http://schemas.openxmlformats.org/officeDocument/2006/relationships/vmlDrawing" Target="../drawings/vmlDrawing8.vml"/><Relationship Id="rId4" Type="http://schemas.openxmlformats.org/officeDocument/2006/relationships/hyperlink" Target="https://ratpgroup.com/ratpgroupe-content/uploads/2019/06/ratp_radd18.pdf"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ecodesign-company.com/download/Siemens-EPD_metro_oslo.pdf?m=1473168020" TargetMode="External"/><Relationship Id="rId13" Type="http://schemas.openxmlformats.org/officeDocument/2006/relationships/vmlDrawing" Target="../drawings/vmlDrawing9.vml"/><Relationship Id="rId3" Type="http://schemas.openxmlformats.org/officeDocument/2006/relationships/hyperlink" Target="http://www.avnir.org/documentation/bdd/epd/epd276en.pdf" TargetMode="External"/><Relationship Id="rId7" Type="http://schemas.openxmlformats.org/officeDocument/2006/relationships/hyperlink" Target="https://www.environdec.com/" TargetMode="External"/><Relationship Id="rId12" Type="http://schemas.openxmlformats.org/officeDocument/2006/relationships/printerSettings" Target="../printerSettings/printerSettings12.bin"/><Relationship Id="rId2" Type="http://schemas.openxmlformats.org/officeDocument/2006/relationships/hyperlink" Target="https://www.bombardier.com/content/dam/Websites/bombardiercom/supporting-documents/Sustainability/Reports/BT/Bombardier-Transportation-EPD-REGINA-Intercity-X55-en.pdf" TargetMode="External"/><Relationship Id="rId1" Type="http://schemas.openxmlformats.org/officeDocument/2006/relationships/hyperlink" Target="https://gryphon4.environdec.com/system/data/files/6/9710/epd193_Bombardier_Innovia_APM_300.pdf" TargetMode="External"/><Relationship Id="rId6" Type="http://schemas.openxmlformats.org/officeDocument/2006/relationships/hyperlink" Target="https://www.alstom.com/sites/alstom.com/files/2018/07/12/alstom_dt5_metro_hamburg_-_environmental_product_declaration_-_aug_2013.pdf" TargetMode="External"/><Relationship Id="rId11" Type="http://schemas.openxmlformats.org/officeDocument/2006/relationships/hyperlink" Target="https://escholarship.org/content/qt7n29n303/qt7n29n303.pdf" TargetMode="External"/><Relationship Id="rId5" Type="http://schemas.openxmlformats.org/officeDocument/2006/relationships/hyperlink" Target="https://www.bombardier.com/content/dam/Websites/bombardiercom/supporting-documents/Sustainability/Reports/BT/Bombardier-Transportation-EPD-SPACIUM-en.pdf" TargetMode="External"/><Relationship Id="rId10" Type="http://schemas.openxmlformats.org/officeDocument/2006/relationships/hyperlink" Target="https://gryphon4.environdec.com/system/data/files/6/11151/epd724%20CAF%20Metro%20Units%20M300%20for%20Helsinki%20Metro%20Transport%20v1.1.pdf" TargetMode="External"/><Relationship Id="rId4" Type="http://schemas.openxmlformats.org/officeDocument/2006/relationships/hyperlink" Target="https://www.bombardier.com/content/dam/Websites/bombardiercom/supporting-documents/Sustainability/Reports/BT/Bombardier-Transportation-EPD-AZUR-2015-en.pdf" TargetMode="External"/><Relationship Id="rId9" Type="http://schemas.openxmlformats.org/officeDocument/2006/relationships/hyperlink" Target="https://gryphon4.environdec.com/system/data/files/6/13532/epd1175en%20Caravaggio%20Train%20Hitachi%20Rail%20Italy%202018.pdf" TargetMode="External"/><Relationship Id="rId1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sustainable-bus.com/hybrid/volvo-hybrid-buses-poland-order-for-seven-7900-electric-hybrid-bus/" TargetMode="External"/><Relationship Id="rId13" Type="http://schemas.openxmlformats.org/officeDocument/2006/relationships/hyperlink" Target="https://ec.europa.eu/transport/themes/urban/cleanbus_en" TargetMode="External"/><Relationship Id="rId3" Type="http://schemas.openxmlformats.org/officeDocument/2006/relationships/hyperlink" Target="https://gryphon4.environdec.com/system/data/files/6/15713/S-P-01571%20EPD%20Irizar%20I4%20Integral%20Coach%20(English%20version).pdf" TargetMode="External"/><Relationship Id="rId7" Type="http://schemas.openxmlformats.org/officeDocument/2006/relationships/hyperlink" Target="https://www.nordicenergy.org/wp-content/uploads/2018/02/3.-Test-of-large-charged-electric-buses-in-Copenhagen-Victor-Hug.pdf" TargetMode="External"/><Relationship Id="rId12" Type="http://schemas.openxmlformats.org/officeDocument/2006/relationships/hyperlink" Target="https://www.hydrogen.energy.gov/pdfs/htac_may2012_hyundai.pdf" TargetMode="External"/><Relationship Id="rId2" Type="http://schemas.openxmlformats.org/officeDocument/2006/relationships/hyperlink" Target="https://escholarship.org/content/qt7n29n303/qt7n29n303.pdf" TargetMode="External"/><Relationship Id="rId1" Type="http://schemas.openxmlformats.org/officeDocument/2006/relationships/hyperlink" Target="https://itspubs.ucdavis.edu/wp-content/themes/ucdavis/pubs/download_pdf.php?id=1289" TargetMode="External"/><Relationship Id="rId6" Type="http://schemas.openxmlformats.org/officeDocument/2006/relationships/hyperlink" Target="https://www.neweagle.net/support/wiki/ProductDocumentation/EV_Software_and_Hardware/Electric_Motors/UQM/PowerPhase%20HD%20250%20web.pdf" TargetMode="External"/><Relationship Id="rId11" Type="http://schemas.openxmlformats.org/officeDocument/2006/relationships/hyperlink" Target="https://en.byd.com/wp-content/uploads/2019/07/4504-byd-transit-cut-sheets_k9-40_lr.pdf" TargetMode="External"/><Relationship Id="rId5" Type="http://schemas.openxmlformats.org/officeDocument/2006/relationships/hyperlink" Target="https://theicct.org/sites/default/files/BYD%20EV%20SEDEMA.pdf" TargetMode="External"/><Relationship Id="rId15" Type="http://schemas.openxmlformats.org/officeDocument/2006/relationships/drawing" Target="../drawings/drawing3.xml"/><Relationship Id="rId10" Type="http://schemas.openxmlformats.org/officeDocument/2006/relationships/hyperlink" Target="https://en.byd.com/wp-content/uploads/2019/07/4504-byd-transit-cut-sheets_k9-40_lr.pdf" TargetMode="External"/><Relationship Id="rId4" Type="http://schemas.openxmlformats.org/officeDocument/2006/relationships/hyperlink" Target="https://www.sustainable-bus.com/hybrid/solaris-unveils-the-mild-hybrid-low-entry-curb-weight-under-9-tonnes/" TargetMode="External"/><Relationship Id="rId9" Type="http://schemas.openxmlformats.org/officeDocument/2006/relationships/hyperlink" Target="https://www.vtt.fi/inf/pdf/tiedotteet/2007/T2373.pdf" TargetMode="External"/><Relationship Id="rId1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26" Type="http://schemas.openxmlformats.org/officeDocument/2006/relationships/hyperlink" Target="http://planningcommission.gov.in/sectors/NTDPC/Study%20Reports/TERI/Study_Life%20Cycle%20Analysis%20of%20Transport%20Modes_Submitted%20to%20the%20Govt%20on%20Jan%204,%202013/LCA_Final%20Report%20Vol%20I.pdf" TargetMode="External"/><Relationship Id="rId21" Type="http://schemas.openxmlformats.org/officeDocument/2006/relationships/hyperlink" Target="http://dx.doi.org/10.3141/2170-03" TargetMode="External"/><Relationship Id="rId42" Type="http://schemas.openxmlformats.org/officeDocument/2006/relationships/hyperlink" Target="https://www.sciencedirect.com/science/article/pii/S135223100901036X" TargetMode="External"/><Relationship Id="rId47" Type="http://schemas.openxmlformats.org/officeDocument/2006/relationships/hyperlink" Target="https://iopscience.iop.org/article/10.1088/1748-9326/8/1/015041/meta" TargetMode="External"/><Relationship Id="rId63" Type="http://schemas.openxmlformats.org/officeDocument/2006/relationships/hyperlink" Target="http://content.tfl.gov.uk/travel-in-london-report-11.pdf" TargetMode="External"/><Relationship Id="rId68" Type="http://schemas.openxmlformats.org/officeDocument/2006/relationships/hyperlink" Target="http://content.tfl.gov.uk/travel-in-london-report-11.pdf" TargetMode="External"/><Relationship Id="rId84" Type="http://schemas.openxmlformats.org/officeDocument/2006/relationships/comments" Target="../comments11.xml"/><Relationship Id="rId16" Type="http://schemas.openxmlformats.org/officeDocument/2006/relationships/hyperlink" Target="https://doi.org/10.1016/j.resconrec.2012.12.014" TargetMode="External"/><Relationship Id="rId11" Type="http://schemas.openxmlformats.org/officeDocument/2006/relationships/hyperlink" Target="https://doi.org/10.1016/j.resconrec.2016.03.007" TargetMode="External"/><Relationship Id="rId32" Type="http://schemas.openxmlformats.org/officeDocument/2006/relationships/hyperlink" Target="https://eapa.org/asphalt/" TargetMode="External"/><Relationship Id="rId37" Type="http://schemas.openxmlformats.org/officeDocument/2006/relationships/hyperlink" Target="https://iopscience.iop.org/article/10.1088/1748-9326/5/3/034001/meta" TargetMode="External"/><Relationship Id="rId53" Type="http://schemas.openxmlformats.org/officeDocument/2006/relationships/hyperlink" Target="https://pubs.usgs.gov/fs/2006/3127/2006-3127.pdf" TargetMode="External"/><Relationship Id="rId58" Type="http://schemas.openxmlformats.org/officeDocument/2006/relationships/hyperlink" Target="https://madeby.tfl.gov.uk/2019/07/29/tube-trivia-and-facts/" TargetMode="External"/><Relationship Id="rId74" Type="http://schemas.openxmlformats.org/officeDocument/2006/relationships/hyperlink" Target="https://roadtraffic.dft.gov.uk/regions/6" TargetMode="External"/><Relationship Id="rId79" Type="http://schemas.openxmlformats.org/officeDocument/2006/relationships/hyperlink" Target="http://documents.worldbank.org/curated/en/660861468234281955/pdf/696590ESW0P1010UBLIC00GHG0Web0final.pdf" TargetMode="External"/><Relationship Id="rId5" Type="http://schemas.openxmlformats.org/officeDocument/2006/relationships/hyperlink" Target="https://doi.org/10.1111/jiec.12053" TargetMode="External"/><Relationship Id="rId61" Type="http://schemas.openxmlformats.org/officeDocument/2006/relationships/hyperlink" Target="http://content.tfl.gov.uk/understanding-and-managing-congestion-in-london.pdf" TargetMode="External"/><Relationship Id="rId82" Type="http://schemas.openxmlformats.org/officeDocument/2006/relationships/printerSettings" Target="../printerSettings/printerSettings14.bin"/><Relationship Id="rId19" Type="http://schemas.openxmlformats.org/officeDocument/2006/relationships/hyperlink" Target="https://doi.org/10.1016/j.resconrec.2012.12.014" TargetMode="External"/><Relationship Id="rId14" Type="http://schemas.openxmlformats.org/officeDocument/2006/relationships/hyperlink" Target="http://www.athenasmi.org/wp-content/uploads/2012/01/Athena_Update_Report_LCA_PCCP_vs_HMA_Final_Document_Sept_2006.pdf" TargetMode="External"/><Relationship Id="rId22" Type="http://schemas.openxmlformats.org/officeDocument/2006/relationships/hyperlink" Target="https://escholarship.org/uc/item/7n29n303" TargetMode="External"/><Relationship Id="rId27" Type="http://schemas.openxmlformats.org/officeDocument/2006/relationships/hyperlink" Target="https://doi.org/10.1016/j.resconrec.2017.08.024" TargetMode="External"/><Relationship Id="rId30" Type="http://schemas.openxmlformats.org/officeDocument/2006/relationships/hyperlink" Target="https://doi.org/10.1016/j.resconrec.2017.08.024" TargetMode="External"/><Relationship Id="rId35" Type="http://schemas.openxmlformats.org/officeDocument/2006/relationships/hyperlink" Target="https://iopscience.iop.org/article/10.1088/1748-9326/5/3/034001/meta" TargetMode="External"/><Relationship Id="rId43" Type="http://schemas.openxmlformats.org/officeDocument/2006/relationships/hyperlink" Target="https://iopscience.iop.org/article/10.1088/1748-9326/4/2/024008/meta" TargetMode="External"/><Relationship Id="rId48" Type="http://schemas.openxmlformats.org/officeDocument/2006/relationships/hyperlink" Target="https://escholarship.org/content/qt7n29n303/qt7n29n303.pdf" TargetMode="External"/><Relationship Id="rId56" Type="http://schemas.openxmlformats.org/officeDocument/2006/relationships/hyperlink" Target="http://content.tfl.gov.uk/travel-in-london-report-11.pdf" TargetMode="External"/><Relationship Id="rId64" Type="http://schemas.openxmlformats.org/officeDocument/2006/relationships/hyperlink" Target="http://content.tfl.gov.uk/travel-in-london-report-11.pdf" TargetMode="External"/><Relationship Id="rId69" Type="http://schemas.openxmlformats.org/officeDocument/2006/relationships/hyperlink" Target="https://www.gov.uk/government/statistics/road-lengths-in-great-britain-2018" TargetMode="External"/><Relationship Id="rId77" Type="http://schemas.openxmlformats.org/officeDocument/2006/relationships/hyperlink" Target="https://www.mdpi.com/2071-1050/11/2/377/pdf" TargetMode="External"/><Relationship Id="rId8" Type="http://schemas.openxmlformats.org/officeDocument/2006/relationships/hyperlink" Target="https://escholarship.org/uc/item/7n29n303" TargetMode="External"/><Relationship Id="rId51" Type="http://schemas.openxmlformats.org/officeDocument/2006/relationships/hyperlink" Target="http://tunnel.ita-aites.org/media/k2/attachments/public/Tust_Vol_19_1_3-28.pdf" TargetMode="External"/><Relationship Id="rId72" Type="http://schemas.openxmlformats.org/officeDocument/2006/relationships/hyperlink" Target="ttps://www.london.gov.uk/sites/default/files/bus_network_report_final.pdf" TargetMode="External"/><Relationship Id="rId80" Type="http://schemas.openxmlformats.org/officeDocument/2006/relationships/hyperlink" Target="http://content.tfl.gov.uk/understanding-and-managing-congestion-in-london.pdf" TargetMode="External"/><Relationship Id="rId3" Type="http://schemas.openxmlformats.org/officeDocument/2006/relationships/hyperlink" Target="http://www.athenasmi.org/wp-content/uploads/2012/01/Athena_Update_Report_LCA_PCCP_vs_HMA_Final_Document_Sept_2006.pdf" TargetMode="External"/><Relationship Id="rId12" Type="http://schemas.openxmlformats.org/officeDocument/2006/relationships/hyperlink" Target="http://planningcommission.gov.in/sectors/NTDPC/Study%20Reports/TERI/Study_Life%20Cycle%20Analysis%20of%20Transport%20Modes_Submitted%20to%20the%20Govt%20on%20Jan%204,%202013/LCA_Final%20Report%20Vol%20I.pdf" TargetMode="External"/><Relationship Id="rId17" Type="http://schemas.openxmlformats.org/officeDocument/2006/relationships/hyperlink" Target="http://www.athenasmi.org/wp-content/uploads/2012/01/Athena_Update_Report_LCA_PCCP_vs_HMA_Final_Document_Sept_2006.pdf" TargetMode="External"/><Relationship Id="rId25" Type="http://schemas.openxmlformats.org/officeDocument/2006/relationships/hyperlink" Target="https://doi.org/10.1016/j.resconrec.2016.03.007" TargetMode="External"/><Relationship Id="rId33" Type="http://schemas.openxmlformats.org/officeDocument/2006/relationships/hyperlink" Target="https://doi.org/10.1016/j.landusepol.2009.03.002" TargetMode="External"/><Relationship Id="rId38" Type="http://schemas.openxmlformats.org/officeDocument/2006/relationships/hyperlink" Target="https://www.sciencedirect.com/science/article/pii/S135223100901036X" TargetMode="External"/><Relationship Id="rId46" Type="http://schemas.openxmlformats.org/officeDocument/2006/relationships/hyperlink" Target="https://iopscience.iop.org/article/10.1088/1748-9326/5/1/014003/meta" TargetMode="External"/><Relationship Id="rId59" Type="http://schemas.openxmlformats.org/officeDocument/2006/relationships/hyperlink" Target="https://madeby.tfl.gov.uk/2019/07/29/tube-trivia-and-facts/" TargetMode="External"/><Relationship Id="rId67" Type="http://schemas.openxmlformats.org/officeDocument/2006/relationships/hyperlink" Target="https://madeby.tfl.gov.uk/2019/07/29/tube-trivia-and-facts/" TargetMode="External"/><Relationship Id="rId20" Type="http://schemas.openxmlformats.org/officeDocument/2006/relationships/hyperlink" Target="http://www.athenasmi.org/wp-content/uploads/2012/01/Athena_Update_Report_LCA_PCCP_vs_HMA_Final_Document_Sept_2006.pdf" TargetMode="External"/><Relationship Id="rId41" Type="http://schemas.openxmlformats.org/officeDocument/2006/relationships/hyperlink" Target="https://www.sciencedirect.com/science/article/pii/S135223100901036X" TargetMode="External"/><Relationship Id="rId54" Type="http://schemas.openxmlformats.org/officeDocument/2006/relationships/hyperlink" Target="http://content.tfl.gov.uk/travel-in-london-report-11.pdf" TargetMode="External"/><Relationship Id="rId62" Type="http://schemas.openxmlformats.org/officeDocument/2006/relationships/hyperlink" Target="http://content.tfl.gov.uk/travel-in-london-report-11.pdf" TargetMode="External"/><Relationship Id="rId70" Type="http://schemas.openxmlformats.org/officeDocument/2006/relationships/hyperlink" Target="https://www.gov.uk/government/statistics/road-lengths-in-great-britain-2018" TargetMode="External"/><Relationship Id="rId75" Type="http://schemas.openxmlformats.org/officeDocument/2006/relationships/hyperlink" Target="http://content.tfl.gov.uk/travel-in-london-report-11.pdf" TargetMode="External"/><Relationship Id="rId83" Type="http://schemas.openxmlformats.org/officeDocument/2006/relationships/vmlDrawing" Target="../drawings/vmlDrawing11.vml"/><Relationship Id="rId1" Type="http://schemas.openxmlformats.org/officeDocument/2006/relationships/hyperlink" Target="https://doi.org/10.1016/j.resconrec.2012.12.014" TargetMode="External"/><Relationship Id="rId6" Type="http://schemas.openxmlformats.org/officeDocument/2006/relationships/hyperlink" Target="https://doi.org/10.1111/jiec.12053" TargetMode="External"/><Relationship Id="rId15" Type="http://schemas.openxmlformats.org/officeDocument/2006/relationships/hyperlink" Target="https://doi.org/10.1016/j.resconrec.2012.12.014" TargetMode="External"/><Relationship Id="rId23" Type="http://schemas.openxmlformats.org/officeDocument/2006/relationships/hyperlink" Target="https://escholarship.org/uc/item/7n29n303" TargetMode="External"/><Relationship Id="rId28" Type="http://schemas.openxmlformats.org/officeDocument/2006/relationships/hyperlink" Target="https://doi.org/10.1016/j.resconrec.2017.08.024" TargetMode="External"/><Relationship Id="rId36" Type="http://schemas.openxmlformats.org/officeDocument/2006/relationships/hyperlink" Target="https://iopscience.iop.org/article/10.1088/1748-9326/5/3/034001/meta" TargetMode="External"/><Relationship Id="rId49" Type="http://schemas.openxmlformats.org/officeDocument/2006/relationships/hyperlink" Target="https://iopscience.iop.org/article/10.1088/1748-9326/5/3/034001/meta" TargetMode="External"/><Relationship Id="rId57" Type="http://schemas.openxmlformats.org/officeDocument/2006/relationships/hyperlink" Target="https://madeby.tfl.gov.uk/2019/07/29/tube-trivia-and-facts/" TargetMode="External"/><Relationship Id="rId10" Type="http://schemas.openxmlformats.org/officeDocument/2006/relationships/hyperlink" Target="https://doi.org/10.1016/j.trd.2017.01.007" TargetMode="External"/><Relationship Id="rId31" Type="http://schemas.openxmlformats.org/officeDocument/2006/relationships/hyperlink" Target="http://www.asphaltpavement.org/index.php?option=com_content&amp;view=article&amp;id=891&amp;Itemid=1068" TargetMode="External"/><Relationship Id="rId44" Type="http://schemas.openxmlformats.org/officeDocument/2006/relationships/hyperlink" Target="https://iopscience.iop.org/article/10.1088/1748-9326/4/2/024008/meta" TargetMode="External"/><Relationship Id="rId52" Type="http://schemas.openxmlformats.org/officeDocument/2006/relationships/hyperlink" Target="https://www.sciencedirect.com/science/article/pii/S0886779803001044" TargetMode="External"/><Relationship Id="rId60" Type="http://schemas.openxmlformats.org/officeDocument/2006/relationships/hyperlink" Target="https://madeby.tfl.gov.uk/2019/07/29/tube-trivia-and-facts/" TargetMode="External"/><Relationship Id="rId65" Type="http://schemas.openxmlformats.org/officeDocument/2006/relationships/hyperlink" Target="https://madeby.tfl.gov.uk/2019/07/29/tube-trivia-and-facts/" TargetMode="External"/><Relationship Id="rId73" Type="http://schemas.openxmlformats.org/officeDocument/2006/relationships/hyperlink" Target="https://roadtraffic.dft.gov.uk/regions/6" TargetMode="External"/><Relationship Id="rId78" Type="http://schemas.openxmlformats.org/officeDocument/2006/relationships/hyperlink" Target="https://orbit.dtu.dk/fedora/objects/orbit:86909/datastreams/file_5771535/content" TargetMode="External"/><Relationship Id="rId81" Type="http://schemas.openxmlformats.org/officeDocument/2006/relationships/hyperlink" Target="https://www.itf-oecd.org/sites/default/files/docs/gwp-assessment-road-construction-maintenance-lessons.pdf" TargetMode="External"/><Relationship Id="rId4" Type="http://schemas.openxmlformats.org/officeDocument/2006/relationships/hyperlink" Target="http://www.athenasmi.org/wp-content/uploads/2012/01/Athena_Update_Report_LCA_PCCP_vs_HMA_Final_Document_Sept_2006.pdf" TargetMode="External"/><Relationship Id="rId9" Type="http://schemas.openxmlformats.org/officeDocument/2006/relationships/hyperlink" Target="https://escholarship.org/uc/item/7n29n303" TargetMode="External"/><Relationship Id="rId13" Type="http://schemas.openxmlformats.org/officeDocument/2006/relationships/hyperlink" Target="http://planningcommission.gov.in/sectors/NTDPC/Study%20Reports/TERI/Study_Life%20Cycle%20Analysis%20of%20Transport%20Modes_Submitted%20to%20the%20Govt%20on%20Jan%204,%202013/LCA_Final%20Report%20Vol%20I.pdf" TargetMode="External"/><Relationship Id="rId18" Type="http://schemas.openxmlformats.org/officeDocument/2006/relationships/hyperlink" Target="http://planningcommission.gov.in/sectors/NTDPC/Study%20Reports/TERI/Study_Life%20Cycle%20Analysis%20of%20Transport%20Modes_Submitted%20to%20the%20Govt%20on%20Jan%204,%202013/LCA_Final%20Report%20Vol%20I.pdf" TargetMode="External"/><Relationship Id="rId39" Type="http://schemas.openxmlformats.org/officeDocument/2006/relationships/hyperlink" Target="https://www.sciencedirect.com/science/article/pii/S135223100901036X" TargetMode="External"/><Relationship Id="rId34" Type="http://schemas.openxmlformats.org/officeDocument/2006/relationships/hyperlink" Target="https://doi.org/10.1016/S0965-8564(99)00007-5" TargetMode="External"/><Relationship Id="rId50" Type="http://schemas.openxmlformats.org/officeDocument/2006/relationships/hyperlink" Target="https://iopscience.iop.org/article/10.1088/1748-9326/5/3/034001/meta" TargetMode="External"/><Relationship Id="rId55" Type="http://schemas.openxmlformats.org/officeDocument/2006/relationships/hyperlink" Target="http://content.tfl.gov.uk/travel-in-london-report-11.pdf" TargetMode="External"/><Relationship Id="rId76" Type="http://schemas.openxmlformats.org/officeDocument/2006/relationships/hyperlink" Target="https://doi.org/10.1016/j.trd.2017.01.007" TargetMode="External"/><Relationship Id="rId7" Type="http://schemas.openxmlformats.org/officeDocument/2006/relationships/hyperlink" Target="http://www.athenasmi.org/wp-content/uploads/2012/01/Athena_Update_Report_LCA_PCCP_vs_HMA_Final_Document_Sept_2006.pdf" TargetMode="External"/><Relationship Id="rId71" Type="http://schemas.openxmlformats.org/officeDocument/2006/relationships/hyperlink" Target="https://www.gov.uk/government/statistics/road-lengths-in-great-britain-2018" TargetMode="External"/><Relationship Id="rId2" Type="http://schemas.openxmlformats.org/officeDocument/2006/relationships/hyperlink" Target="https://doi.org/10.1111/jiec.12053" TargetMode="External"/><Relationship Id="rId29" Type="http://schemas.openxmlformats.org/officeDocument/2006/relationships/hyperlink" Target="https://doi.org/10.1016/j.resconrec.2017.08.024" TargetMode="External"/><Relationship Id="rId24" Type="http://schemas.openxmlformats.org/officeDocument/2006/relationships/hyperlink" Target="https://doi.org/10.1016/j.trd.2017.01.007" TargetMode="External"/><Relationship Id="rId40" Type="http://schemas.openxmlformats.org/officeDocument/2006/relationships/hyperlink" Target="https://www.sciencedirect.com/science/article/pii/S135223100901036X" TargetMode="External"/><Relationship Id="rId45" Type="http://schemas.openxmlformats.org/officeDocument/2006/relationships/hyperlink" Target="https://iopscience.iop.org/article/10.1088/1748-9326/4/2/024008/meta" TargetMode="External"/><Relationship Id="rId66" Type="http://schemas.openxmlformats.org/officeDocument/2006/relationships/hyperlink" Target="http://content.tfl.gov.uk/travel-in-london-report-11.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tf-oecd.org/sites/default/files/docs/app-based-mobility.pdf" TargetMode="External"/><Relationship Id="rId13" Type="http://schemas.openxmlformats.org/officeDocument/2006/relationships/hyperlink" Target="https://www.ugpti.org/resources/reports/downloads/mpc19-379.pdf" TargetMode="External"/><Relationship Id="rId18" Type="http://schemas.openxmlformats.org/officeDocument/2006/relationships/comments" Target="../comments12.xml"/><Relationship Id="rId3" Type="http://schemas.openxmlformats.org/officeDocument/2006/relationships/hyperlink" Target="https://drive.google.com/file/d/1FIUskVkj9lsAnWJQ6kLhAhNoVLjfFdx3/view" TargetMode="External"/><Relationship Id="rId7" Type="http://schemas.openxmlformats.org/officeDocument/2006/relationships/hyperlink" Target="https://www.nber.org/papers/w22083.pdf" TargetMode="External"/><Relationship Id="rId12" Type="http://schemas.openxmlformats.org/officeDocument/2006/relationships/hyperlink" Target="https://www.mercedes-benz-mena.com/vans/en/vito/tourer/technical-data" TargetMode="External"/><Relationship Id="rId17" Type="http://schemas.openxmlformats.org/officeDocument/2006/relationships/vmlDrawing" Target="../drawings/vmlDrawing12.vml"/><Relationship Id="rId2" Type="http://schemas.openxmlformats.org/officeDocument/2006/relationships/hyperlink" Target="https://www.nber.org/papers/w22083.pdf" TargetMode="External"/><Relationship Id="rId16" Type="http://schemas.openxmlformats.org/officeDocument/2006/relationships/drawing" Target="../drawings/drawing4.xml"/><Relationship Id="rId1" Type="http://schemas.openxmlformats.org/officeDocument/2006/relationships/hyperlink" Target="https://www.ugpti.org/resources/reports/downloads/mpc19-379.pdf" TargetMode="External"/><Relationship Id="rId6" Type="http://schemas.openxmlformats.org/officeDocument/2006/relationships/hyperlink" Target="https://ww2.arb.ca.gov/sites/default/files/2019-12/SB%201014%20-%20Base%20year%20Emissions%20Inventory_December_2019.pdf" TargetMode="External"/><Relationship Id="rId11" Type="http://schemas.openxmlformats.org/officeDocument/2006/relationships/hyperlink" Target="https://travel.zeelo.co/great-value-coach-hire/" TargetMode="External"/><Relationship Id="rId5" Type="http://schemas.openxmlformats.org/officeDocument/2006/relationships/hyperlink" Target="https://medium.com/uber-under-the-hood/three-early-takeaways-from-the-2017-national-household-travel-survey-b23506efe8ad" TargetMode="External"/><Relationship Id="rId15" Type="http://schemas.openxmlformats.org/officeDocument/2006/relationships/printerSettings" Target="../printerSettings/printerSettings15.bin"/><Relationship Id="rId10" Type="http://schemas.openxmlformats.org/officeDocument/2006/relationships/hyperlink" Target="https://support.ridewithvia.com/hc/en-us/articles/360003374231-How-many-people-will-I-share-a-ride-with-" TargetMode="External"/><Relationship Id="rId4" Type="http://schemas.openxmlformats.org/officeDocument/2006/relationships/hyperlink" Target="http://shoup.luskin.ucla.edu/wp-content/uploads/sites/2/2015/02/CruisingForParkingAccess.pdf" TargetMode="External"/><Relationship Id="rId9" Type="http://schemas.openxmlformats.org/officeDocument/2006/relationships/hyperlink" Target="https://static1.squarespace.com/static/53ee4f0be4b015b9c3690d84/t/5b3a3aaa0e2e72ca74079142/1530542764109/Parrott-Reich+NYC+App+Drivers+TLC+Jul+2018jul1.pdf" TargetMode="External"/><Relationship Id="rId14" Type="http://schemas.openxmlformats.org/officeDocument/2006/relationships/hyperlink" Target="https://ww2.arb.ca.gov/sites/default/files/2019-12/SB%201014%20-%20Base%20year%20Emissions%20Inventory_December_2019.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ebstore.iea.org/global-ev-outlook-2019" TargetMode="External"/><Relationship Id="rId2" Type="http://schemas.openxmlformats.org/officeDocument/2006/relationships/hyperlink" Target="https://www.iea.org/geco/emissions/" TargetMode="External"/><Relationship Id="rId1" Type="http://schemas.openxmlformats.org/officeDocument/2006/relationships/hyperlink" Target="https://www.ipcc-nggip.iges.or.jp/public/gp/bgp/2_1_CO2_Stationary_Combustion.pdf"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hyperlink" Target="https://www.iea.org/statistics/?country=WORLD&amp;year=2016&amp;category=Electricity&amp;indicator=ElecGenByFuel&amp;mode=chart&amp;dataTable=ELECTRICITYANDHEAT"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ea.org/tcep/transport/aviation/" TargetMode="External"/><Relationship Id="rId2" Type="http://schemas.openxmlformats.org/officeDocument/2006/relationships/hyperlink" Target="https://itspubs.ucdavis.edu/wp-content/themes/ucdavis/pubs/download_pdf.php?id=1289" TargetMode="External"/><Relationship Id="rId1" Type="http://schemas.openxmlformats.org/officeDocument/2006/relationships/hyperlink" Target="https://iopscience.iop.org/article/10.1088/1748-9326/ab2da8" TargetMode="External"/><Relationship Id="rId4"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sphaltpavement.org/PDFs/EPD_Program/LCA_final.pdf" TargetMode="External"/><Relationship Id="rId1" Type="http://schemas.openxmlformats.org/officeDocument/2006/relationships/hyperlink" Target="https://www.asphaltpavement.org/PDFs/EPD_Program/LCA_final.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8" Type="http://schemas.openxmlformats.org/officeDocument/2006/relationships/hyperlink" Target="https://www.theverge.com/2020/1/21/21072785/skip-electric-scooter-life-cycle-maintenance-costs" TargetMode="External"/><Relationship Id="rId13" Type="http://schemas.openxmlformats.org/officeDocument/2006/relationships/hyperlink" Target="https://www.theverge.com/2020/1/21/21072785/skip-electric-scooter-life-cycle-maintenance-costs" TargetMode="External"/><Relationship Id="rId18" Type="http://schemas.openxmlformats.org/officeDocument/2006/relationships/hyperlink" Target="https://www.npr.org/2019/03/13/701130673/who-charges-all-those-electric-scooters-follow-a-nocturnal-juicer?t=1583502215112" TargetMode="External"/><Relationship Id="rId3" Type="http://schemas.openxmlformats.org/officeDocument/2006/relationships/hyperlink" Target="http://chesterenergyandpolicy.com/2018/06/11/the-electric-scooter-fallacy-just-because-theyre-electric-doesnt-mean-theyre-green/" TargetMode="External"/><Relationship Id="rId21" Type="http://schemas.openxmlformats.org/officeDocument/2006/relationships/hyperlink" Target="https://ieeexplore.ieee.org/abstract/document/9111817" TargetMode="External"/><Relationship Id="rId7" Type="http://schemas.openxmlformats.org/officeDocument/2006/relationships/hyperlink" Target="https://www.theverge.com/2020/1/21/21072785/skip-electric-scooter-life-cycle-maintenance-costs" TargetMode="External"/><Relationship Id="rId12" Type="http://schemas.openxmlformats.org/officeDocument/2006/relationships/hyperlink" Target="http://www.carbone4.com/wp-content/uploads/2019/09/Carbone-4-for-Bird-E-Scooter-and-Cities-decarbonization.pdf" TargetMode="External"/><Relationship Id="rId17" Type="http://schemas.openxmlformats.org/officeDocument/2006/relationships/hyperlink" Target="https://www.perchmobility.com/" TargetMode="External"/><Relationship Id="rId2" Type="http://schemas.openxmlformats.org/officeDocument/2006/relationships/hyperlink" Target="https://www.mi.com/global/mi-electric-scooter-pro/specs/" TargetMode="External"/><Relationship Id="rId16" Type="http://schemas.openxmlformats.org/officeDocument/2006/relationships/hyperlink" Target="https://techcrunch.com/2020/01/17/how-scooter-charging-startups-want-to-make-the-industry-more-profitable/" TargetMode="External"/><Relationship Id="rId20" Type="http://schemas.openxmlformats.org/officeDocument/2006/relationships/hyperlink" Target="https://www.itf-oecd.org/emerging-mobility-solutions-and-their-impact-practicesmarion-lagadic-6t-consultancy-france" TargetMode="External"/><Relationship Id="rId1" Type="http://schemas.openxmlformats.org/officeDocument/2006/relationships/hyperlink" Target="http://chesterenergyandpolicy.com/2018/06/11/the-electric-scooter-fallacy-just-because-theyre-electric-doesnt-mean-theyre-green/" TargetMode="External"/><Relationship Id="rId6" Type="http://schemas.openxmlformats.org/officeDocument/2006/relationships/hyperlink" Target="https://www.theverge.com/2020/1/21/21072785/skip-electric-scooter-life-cycle-maintenance-costs" TargetMode="External"/><Relationship Id="rId11" Type="http://schemas.openxmlformats.org/officeDocument/2006/relationships/hyperlink" Target="https://www.smartcitiesdive.com/news/reduce-reuse-rescoot-a-look-at-e-scooters-long-term-sustainability/558691/" TargetMode="External"/><Relationship Id="rId24" Type="http://schemas.openxmlformats.org/officeDocument/2006/relationships/comments" Target="../comments5.xml"/><Relationship Id="rId5" Type="http://schemas.openxmlformats.org/officeDocument/2006/relationships/hyperlink" Target="https://go.redirectingat.com/?id=66960X1514734&amp;xs=1&amp;url=https%3A%2F%2Fstore.segway.com%2Fsegway-ninebot-kickscooter-es4%3Fgclid%3DEAIaIQobChMIn6Tc8PWP5wIVjJOzCh3tzQFaEAAYASAAEgKBiPD_BwE&amp;referrer=theverge.com&amp;sref=https%3A%2F%2Fwww.theverge.com%2F2020%2F1%25" TargetMode="External"/><Relationship Id="rId15" Type="http://schemas.openxmlformats.org/officeDocument/2006/relationships/hyperlink" Target="https://6-t.co/etudes/usages-usagers-trottinettes-ff/" TargetMode="External"/><Relationship Id="rId23" Type="http://schemas.openxmlformats.org/officeDocument/2006/relationships/vmlDrawing" Target="../drawings/vmlDrawing5.vml"/><Relationship Id="rId10" Type="http://schemas.openxmlformats.org/officeDocument/2006/relationships/hyperlink" Target="https://www.smartcitiesdive.com/news/reduce-reuse-rescoot-a-look-at-e-scooters-long-term-sustainability/558691/" TargetMode="External"/><Relationship Id="rId19" Type="http://schemas.openxmlformats.org/officeDocument/2006/relationships/hyperlink" Target="https://www.sae.org/binaries/content/assets/cm/content/topics/micromobility/sae-micromobility-trend-or-fad-report.pdf" TargetMode="External"/><Relationship Id="rId4" Type="http://schemas.openxmlformats.org/officeDocument/2006/relationships/hyperlink" Target="https://iopscience.iop.org/article/10.1088/1748-9326/ab2da8" TargetMode="External"/><Relationship Id="rId9" Type="http://schemas.openxmlformats.org/officeDocument/2006/relationships/hyperlink" Target="https://www.bcg.com/publications/2019/promise-pitfalls-e-scooter-sharing.aspx" TargetMode="External"/><Relationship Id="rId14" Type="http://schemas.openxmlformats.org/officeDocument/2006/relationships/hyperlink" Target="https://www.mi.com/global/mi-electric-scooter/specs/" TargetMode="External"/><Relationship Id="rId22"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5:B17"/>
  <sheetViews>
    <sheetView showGridLines="0" zoomScaleNormal="100" workbookViewId="0">
      <selection activeCell="B1" sqref="B1"/>
    </sheetView>
  </sheetViews>
  <sheetFormatPr defaultRowHeight="13.2" x14ac:dyDescent="0.25"/>
  <cols>
    <col min="1" max="1" width="2.5546875" customWidth="1"/>
    <col min="2" max="2" width="78.5546875" customWidth="1"/>
    <col min="3" max="3" width="4" customWidth="1"/>
  </cols>
  <sheetData>
    <row r="5" spans="2:2" ht="66" x14ac:dyDescent="0.25">
      <c r="B5" s="620" t="s">
        <v>1414</v>
      </c>
    </row>
    <row r="6" spans="2:2" ht="39.6" x14ac:dyDescent="0.25">
      <c r="B6" s="620" t="s">
        <v>1453</v>
      </c>
    </row>
    <row r="7" spans="2:2" ht="26.4" x14ac:dyDescent="0.25">
      <c r="B7" s="620" t="s">
        <v>1454</v>
      </c>
    </row>
    <row r="8" spans="2:2" ht="26.4" x14ac:dyDescent="0.25">
      <c r="B8" s="620" t="s">
        <v>1455</v>
      </c>
    </row>
    <row r="9" spans="2:2" ht="52.8" x14ac:dyDescent="0.25">
      <c r="B9" s="620" t="s">
        <v>1456</v>
      </c>
    </row>
    <row r="10" spans="2:2" ht="39.6" x14ac:dyDescent="0.25">
      <c r="B10" s="620" t="s">
        <v>1460</v>
      </c>
    </row>
    <row r="11" spans="2:2" ht="52.8" x14ac:dyDescent="0.25">
      <c r="B11" s="620" t="s">
        <v>1457</v>
      </c>
    </row>
    <row r="12" spans="2:2" ht="52.8" x14ac:dyDescent="0.25">
      <c r="B12" s="620" t="s">
        <v>1461</v>
      </c>
    </row>
    <row r="13" spans="2:2" ht="52.8" x14ac:dyDescent="0.25">
      <c r="B13" s="620" t="s">
        <v>1417</v>
      </c>
    </row>
    <row r="14" spans="2:2" ht="52.8" x14ac:dyDescent="0.25">
      <c r="B14" s="620" t="s">
        <v>1418</v>
      </c>
    </row>
    <row r="15" spans="2:2" ht="39.6" x14ac:dyDescent="0.25">
      <c r="B15" s="620" t="s">
        <v>1458</v>
      </c>
    </row>
    <row r="16" spans="2:2" ht="26.4" x14ac:dyDescent="0.25">
      <c r="B16" s="620" t="s">
        <v>1459</v>
      </c>
    </row>
    <row r="17" spans="2:2" x14ac:dyDescent="0.25">
      <c r="B17" s="620" t="s">
        <v>1462</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34998626667073579"/>
  </sheetPr>
  <dimension ref="A4:X60"/>
  <sheetViews>
    <sheetView workbookViewId="0">
      <selection activeCell="P34" sqref="P34"/>
    </sheetView>
  </sheetViews>
  <sheetFormatPr defaultRowHeight="13.2" x14ac:dyDescent="0.25"/>
  <cols>
    <col min="1" max="1" width="21.44140625" bestFit="1" customWidth="1"/>
    <col min="2" max="2" width="18" customWidth="1"/>
  </cols>
  <sheetData>
    <row r="4" spans="1:24" x14ac:dyDescent="0.25">
      <c r="A4" t="s">
        <v>177</v>
      </c>
      <c r="H4" t="str">
        <f>A4&amp;" (including replaced parts)"</f>
        <v>Weight of materials (including replaced parts)</v>
      </c>
    </row>
    <row r="6" spans="1:24" x14ac:dyDescent="0.25">
      <c r="H6" t="str">
        <f>C7</f>
        <v>Bicycle</v>
      </c>
      <c r="L6" t="str">
        <f>E7</f>
        <v>E-bicycle</v>
      </c>
    </row>
    <row r="7" spans="1:24" x14ac:dyDescent="0.25">
      <c r="C7" t="s">
        <v>66</v>
      </c>
      <c r="E7" t="s">
        <v>147</v>
      </c>
      <c r="H7" t="s">
        <v>197</v>
      </c>
      <c r="J7" t="s">
        <v>198</v>
      </c>
      <c r="L7" t="str">
        <f>H7</f>
        <v>Commuter</v>
      </c>
      <c r="N7" t="str">
        <f>J7</f>
        <v>Shared</v>
      </c>
    </row>
    <row r="8" spans="1:24" x14ac:dyDescent="0.25">
      <c r="C8" t="s">
        <v>16</v>
      </c>
      <c r="D8" t="s">
        <v>191</v>
      </c>
      <c r="E8" t="str">
        <f t="shared" ref="E8:F10" si="0">C8</f>
        <v>Steel</v>
      </c>
      <c r="F8" t="str">
        <f t="shared" si="0"/>
        <v>Al</v>
      </c>
      <c r="H8" t="str">
        <f>C8</f>
        <v>Steel</v>
      </c>
      <c r="I8" t="str">
        <f>D8</f>
        <v>Al</v>
      </c>
      <c r="J8" t="str">
        <f>E8</f>
        <v>Steel</v>
      </c>
      <c r="K8" t="str">
        <f>F8</f>
        <v>Al</v>
      </c>
      <c r="L8" t="str">
        <f>H8</f>
        <v>Steel</v>
      </c>
      <c r="M8" t="str">
        <f>I8</f>
        <v>Al</v>
      </c>
      <c r="N8" t="str">
        <f>J8</f>
        <v>Steel</v>
      </c>
      <c r="O8" t="str">
        <f>K8</f>
        <v>Al</v>
      </c>
      <c r="Q8" t="s">
        <v>1389</v>
      </c>
    </row>
    <row r="9" spans="1:24" x14ac:dyDescent="0.25">
      <c r="A9" t="s">
        <v>16</v>
      </c>
      <c r="B9" t="s">
        <v>17</v>
      </c>
      <c r="C9" s="78">
        <v>13</v>
      </c>
      <c r="D9" s="10">
        <v>3.7</v>
      </c>
      <c r="E9">
        <f t="shared" si="0"/>
        <v>13</v>
      </c>
      <c r="F9">
        <f t="shared" si="0"/>
        <v>3.7</v>
      </c>
      <c r="H9">
        <f>C9-$V$9+$V$9*C47</f>
        <v>13.343999999999999</v>
      </c>
      <c r="I9">
        <f>D9-$V$9+$V$9*C47</f>
        <v>4.0440000000000005</v>
      </c>
      <c r="J9">
        <f>H9-$V$9+$V$9*D47</f>
        <v>15.032</v>
      </c>
      <c r="K9">
        <f>I9-$V$9+$V$9*D47</f>
        <v>5.7320000000000011</v>
      </c>
      <c r="L9">
        <f>E9-$V$9+$V$9*E47</f>
        <v>13.343999999999999</v>
      </c>
      <c r="M9">
        <f>F9-$V$9+$V$9*E47</f>
        <v>4.0440000000000005</v>
      </c>
      <c r="N9">
        <f>L9-$V$9+$V$9*F47+Q9</f>
        <v>18.032</v>
      </c>
      <c r="O9">
        <f>M9-$V$9+$V$9*F47</f>
        <v>5.7320000000000011</v>
      </c>
      <c r="Q9" s="170">
        <v>3</v>
      </c>
      <c r="S9" s="86" t="s">
        <v>186</v>
      </c>
      <c r="V9">
        <v>0.5</v>
      </c>
      <c r="W9" t="s">
        <v>17</v>
      </c>
      <c r="X9" t="s">
        <v>1361</v>
      </c>
    </row>
    <row r="10" spans="1:24" x14ac:dyDescent="0.25">
      <c r="A10" t="s">
        <v>178</v>
      </c>
      <c r="B10" t="s">
        <v>17</v>
      </c>
      <c r="C10" s="78">
        <v>2</v>
      </c>
      <c r="D10">
        <f>C10</f>
        <v>2</v>
      </c>
      <c r="E10">
        <f t="shared" si="0"/>
        <v>2</v>
      </c>
      <c r="F10">
        <f t="shared" si="0"/>
        <v>2</v>
      </c>
      <c r="H10">
        <f>C10</f>
        <v>2</v>
      </c>
      <c r="I10">
        <f>D10</f>
        <v>2</v>
      </c>
      <c r="J10">
        <f>H10</f>
        <v>2</v>
      </c>
      <c r="K10">
        <f>I10</f>
        <v>2</v>
      </c>
      <c r="L10">
        <f>E10</f>
        <v>2</v>
      </c>
      <c r="M10">
        <f>F10</f>
        <v>2</v>
      </c>
      <c r="N10">
        <f>L10</f>
        <v>2</v>
      </c>
      <c r="O10">
        <f>M10</f>
        <v>2</v>
      </c>
      <c r="S10" s="76" t="s">
        <v>189</v>
      </c>
    </row>
    <row r="11" spans="1:24" x14ac:dyDescent="0.25">
      <c r="A11" t="s">
        <v>179</v>
      </c>
      <c r="B11" t="s">
        <v>17</v>
      </c>
      <c r="S11" s="503" t="s">
        <v>208</v>
      </c>
    </row>
    <row r="12" spans="1:24" x14ac:dyDescent="0.25">
      <c r="A12" t="s">
        <v>180</v>
      </c>
      <c r="B12" t="s">
        <v>17</v>
      </c>
      <c r="S12" s="601" t="s">
        <v>1388</v>
      </c>
    </row>
    <row r="13" spans="1:24" x14ac:dyDescent="0.25">
      <c r="A13" t="s">
        <v>181</v>
      </c>
      <c r="B13" t="s">
        <v>17</v>
      </c>
    </row>
    <row r="14" spans="1:24" x14ac:dyDescent="0.25">
      <c r="A14" t="s">
        <v>22</v>
      </c>
      <c r="B14" t="s">
        <v>17</v>
      </c>
    </row>
    <row r="15" spans="1:24" x14ac:dyDescent="0.25">
      <c r="A15" t="s">
        <v>182</v>
      </c>
      <c r="B15" t="s">
        <v>17</v>
      </c>
      <c r="C15">
        <f>D15</f>
        <v>1.6</v>
      </c>
      <c r="D15" s="10">
        <v>1.6</v>
      </c>
      <c r="E15">
        <f>C15</f>
        <v>1.6</v>
      </c>
      <c r="F15">
        <f>D15</f>
        <v>1.6</v>
      </c>
      <c r="H15" s="3">
        <f>$C15-$D15+$D15*(1+C$47)</f>
        <v>4.3007999999999997</v>
      </c>
      <c r="I15" s="3">
        <f>$C15-$D15+$D15*(1+C$47)</f>
        <v>4.3007999999999997</v>
      </c>
      <c r="J15" s="3">
        <f>$C15-$D15+$D15*(1+D$47)</f>
        <v>8.601600000000003</v>
      </c>
      <c r="K15" s="3">
        <f>$C15-$D15+$D15*(1+D$47)</f>
        <v>8.601600000000003</v>
      </c>
      <c r="L15" s="3">
        <f>$C15-$D15+$D15*(1+E$47)</f>
        <v>4.3007999999999997</v>
      </c>
      <c r="M15" s="3">
        <f>$D15*(1+E$47)</f>
        <v>4.3007999999999997</v>
      </c>
      <c r="N15" s="3">
        <f>$C15-$D15+$D15*(1+F$47)</f>
        <v>8.601600000000003</v>
      </c>
      <c r="O15" s="3">
        <f>$D15*(1+F$47)</f>
        <v>8.601600000000003</v>
      </c>
    </row>
    <row r="16" spans="1:24" x14ac:dyDescent="0.25">
      <c r="A16" t="s">
        <v>15</v>
      </c>
      <c r="B16" t="s">
        <v>17</v>
      </c>
      <c r="C16" s="78">
        <v>1</v>
      </c>
      <c r="D16" s="10">
        <v>14.6</v>
      </c>
      <c r="E16">
        <f>C16</f>
        <v>1</v>
      </c>
      <c r="F16">
        <f>D16</f>
        <v>14.6</v>
      </c>
      <c r="H16">
        <f>C16</f>
        <v>1</v>
      </c>
      <c r="I16">
        <f>D16</f>
        <v>14.6</v>
      </c>
      <c r="J16">
        <f>H16</f>
        <v>1</v>
      </c>
      <c r="K16">
        <f>I16</f>
        <v>14.6</v>
      </c>
      <c r="L16">
        <f>E16</f>
        <v>1</v>
      </c>
      <c r="M16">
        <f>F16</f>
        <v>14.6</v>
      </c>
      <c r="N16">
        <f>L16</f>
        <v>1</v>
      </c>
      <c r="O16">
        <f>M16</f>
        <v>14.6</v>
      </c>
    </row>
    <row r="17" spans="1:22" x14ac:dyDescent="0.25">
      <c r="A17" t="s">
        <v>183</v>
      </c>
      <c r="B17" t="s">
        <v>17</v>
      </c>
    </row>
    <row r="18" spans="1:22" x14ac:dyDescent="0.25">
      <c r="A18" t="s">
        <v>184</v>
      </c>
      <c r="B18" t="s">
        <v>17</v>
      </c>
    </row>
    <row r="19" spans="1:22" x14ac:dyDescent="0.25">
      <c r="A19" t="s">
        <v>185</v>
      </c>
      <c r="B19" t="s">
        <v>17</v>
      </c>
    </row>
    <row r="20" spans="1:22" x14ac:dyDescent="0.25">
      <c r="A20" t="s">
        <v>20</v>
      </c>
      <c r="B20" t="s">
        <v>17</v>
      </c>
      <c r="E20" s="3">
        <f>Tech_Spec_Escoot!C12</f>
        <v>1.4514798768725901</v>
      </c>
      <c r="F20" s="3">
        <f>E20</f>
        <v>1.4514798768725901</v>
      </c>
      <c r="G20" t="s">
        <v>219</v>
      </c>
      <c r="L20" s="3">
        <f>E20</f>
        <v>1.4514798768725901</v>
      </c>
      <c r="M20" s="3">
        <f>F20</f>
        <v>1.4514798768725901</v>
      </c>
    </row>
    <row r="22" spans="1:22" x14ac:dyDescent="0.25">
      <c r="A22" t="s">
        <v>200</v>
      </c>
      <c r="B22" t="s">
        <v>17</v>
      </c>
      <c r="C22">
        <f>SUM(C9:C20)</f>
        <v>17.600000000000001</v>
      </c>
      <c r="D22">
        <f t="shared" ref="D22:O22" si="1">SUM(D9:D20)</f>
        <v>21.9</v>
      </c>
      <c r="E22">
        <f t="shared" si="1"/>
        <v>19.051479876872591</v>
      </c>
      <c r="F22">
        <f t="shared" si="1"/>
        <v>23.351479876872588</v>
      </c>
      <c r="H22" s="3">
        <f>SUM(H9:H20)</f>
        <v>20.6448</v>
      </c>
      <c r="I22">
        <f t="shared" si="1"/>
        <v>24.944800000000001</v>
      </c>
      <c r="J22">
        <f t="shared" si="1"/>
        <v>26.633600000000001</v>
      </c>
      <c r="K22">
        <f t="shared" si="1"/>
        <v>30.933600000000006</v>
      </c>
      <c r="L22">
        <f>SUM(L9:L20)</f>
        <v>22.09627987687259</v>
      </c>
      <c r="M22">
        <f t="shared" si="1"/>
        <v>26.39627987687259</v>
      </c>
      <c r="N22">
        <f t="shared" si="1"/>
        <v>29.633600000000001</v>
      </c>
      <c r="O22">
        <f t="shared" si="1"/>
        <v>30.933600000000006</v>
      </c>
      <c r="S22" t="s">
        <v>21</v>
      </c>
    </row>
    <row r="23" spans="1:22" x14ac:dyDescent="0.25">
      <c r="T23" t="s">
        <v>3</v>
      </c>
    </row>
    <row r="24" spans="1:22" x14ac:dyDescent="0.25">
      <c r="A24" t="s">
        <v>187</v>
      </c>
      <c r="B24" t="s">
        <v>17</v>
      </c>
      <c r="E24" s="3">
        <f>AVERAGE(D54:E54)</f>
        <v>3.3885667194602971</v>
      </c>
      <c r="F24" s="3">
        <f>E24</f>
        <v>3.3885667194602971</v>
      </c>
      <c r="L24" s="3">
        <f>$E24*(1+E$60)</f>
        <v>3.3885667194602971</v>
      </c>
      <c r="M24" s="3">
        <f>$E24*(1+E$60)</f>
        <v>3.3885667194602971</v>
      </c>
      <c r="N24" s="3">
        <f>$F24*(1+E$60)</f>
        <v>3.3885667194602971</v>
      </c>
      <c r="O24" s="3">
        <f>$F24*(1+E$60)</f>
        <v>3.3885667194602971</v>
      </c>
      <c r="S24" t="s">
        <v>16</v>
      </c>
      <c r="T24" s="63">
        <f>[5]Car!$S$188</f>
        <v>0.36099999999999999</v>
      </c>
      <c r="V24" s="64" t="s">
        <v>148</v>
      </c>
    </row>
    <row r="25" spans="1:22" x14ac:dyDescent="0.25">
      <c r="A25" t="s">
        <v>188</v>
      </c>
      <c r="B25" t="s">
        <v>17</v>
      </c>
      <c r="E25">
        <f>Tech_Spec_Escoot!C10</f>
        <v>1.2</v>
      </c>
      <c r="F25" s="3">
        <f>E25</f>
        <v>1.2</v>
      </c>
      <c r="L25" s="3">
        <f>E25</f>
        <v>1.2</v>
      </c>
      <c r="M25" s="3">
        <f>F25</f>
        <v>1.2</v>
      </c>
      <c r="N25" s="3">
        <f>E25</f>
        <v>1.2</v>
      </c>
      <c r="O25" s="3">
        <f>F25</f>
        <v>1.2</v>
      </c>
      <c r="S25" t="s">
        <v>22</v>
      </c>
      <c r="T25" s="63">
        <f>[5]Car!$S$191</f>
        <v>0.27800000000000002</v>
      </c>
    </row>
    <row r="26" spans="1:22" x14ac:dyDescent="0.25">
      <c r="S26" t="s">
        <v>149</v>
      </c>
      <c r="T26" s="63">
        <f>[5]Car!$S$190</f>
        <v>0.36099999999999999</v>
      </c>
    </row>
    <row r="27" spans="1:22" x14ac:dyDescent="0.25">
      <c r="A27" t="s">
        <v>14</v>
      </c>
      <c r="C27">
        <f>SUM(C22:C25)</f>
        <v>17.600000000000001</v>
      </c>
      <c r="D27">
        <f t="shared" ref="D27:O27" si="2">SUM(D22:D25)</f>
        <v>21.9</v>
      </c>
      <c r="E27">
        <f t="shared" si="2"/>
        <v>23.640046596332887</v>
      </c>
      <c r="F27">
        <f t="shared" si="2"/>
        <v>27.940046596332884</v>
      </c>
      <c r="H27">
        <f t="shared" si="2"/>
        <v>20.6448</v>
      </c>
      <c r="I27">
        <f t="shared" si="2"/>
        <v>24.944800000000001</v>
      </c>
      <c r="J27">
        <f t="shared" si="2"/>
        <v>26.633600000000001</v>
      </c>
      <c r="K27">
        <f t="shared" si="2"/>
        <v>30.933600000000006</v>
      </c>
      <c r="L27">
        <f t="shared" si="2"/>
        <v>26.684846596332886</v>
      </c>
      <c r="M27">
        <f t="shared" si="2"/>
        <v>30.984846596332886</v>
      </c>
      <c r="N27">
        <f t="shared" si="2"/>
        <v>34.222166719460304</v>
      </c>
      <c r="O27">
        <f t="shared" si="2"/>
        <v>35.522166719460309</v>
      </c>
    </row>
    <row r="29" spans="1:22" x14ac:dyDescent="0.25">
      <c r="A29" s="8" t="s">
        <v>201</v>
      </c>
    </row>
    <row r="31" spans="1:22" x14ac:dyDescent="0.25">
      <c r="A31" t="s">
        <v>202</v>
      </c>
      <c r="B31" t="s">
        <v>2</v>
      </c>
      <c r="E31" s="78">
        <f>2.1/100</f>
        <v>2.1000000000000001E-2</v>
      </c>
    </row>
    <row r="33" spans="1:18" x14ac:dyDescent="0.25">
      <c r="A33" s="8" t="s">
        <v>195</v>
      </c>
    </row>
    <row r="34" spans="1:18" x14ac:dyDescent="0.25">
      <c r="C34" t="s">
        <v>196</v>
      </c>
      <c r="E34" t="s">
        <v>199</v>
      </c>
    </row>
    <row r="35" spans="1:18" x14ac:dyDescent="0.25">
      <c r="C35" t="s">
        <v>197</v>
      </c>
      <c r="D35" t="s">
        <v>198</v>
      </c>
      <c r="E35" t="s">
        <v>197</v>
      </c>
      <c r="F35" t="s">
        <v>198</v>
      </c>
      <c r="H35" t="s">
        <v>506</v>
      </c>
      <c r="M35" t="str">
        <f>D35</f>
        <v>Shared</v>
      </c>
    </row>
    <row r="36" spans="1:18" x14ac:dyDescent="0.25">
      <c r="A36" t="s">
        <v>12</v>
      </c>
      <c r="B36" t="s">
        <v>13</v>
      </c>
      <c r="C36" s="10">
        <f>8*H36</f>
        <v>5.6</v>
      </c>
      <c r="D36" s="83">
        <f>D38/D37/365*M36</f>
        <v>1.8629859756245475</v>
      </c>
      <c r="E36" s="80">
        <f>C36</f>
        <v>5.6</v>
      </c>
      <c r="F36" s="81">
        <f t="shared" ref="E36:F38" si="3">D36</f>
        <v>1.8629859756245475</v>
      </c>
      <c r="H36" s="591">
        <v>0.7</v>
      </c>
      <c r="I36" t="s">
        <v>1379</v>
      </c>
      <c r="M36" s="9">
        <v>0.4</v>
      </c>
      <c r="N36" t="s">
        <v>1024</v>
      </c>
    </row>
    <row r="37" spans="1:18" x14ac:dyDescent="0.25">
      <c r="A37" t="s">
        <v>4</v>
      </c>
      <c r="B37" t="s">
        <v>190</v>
      </c>
      <c r="C37" s="11">
        <f>2400/365</f>
        <v>6.5753424657534243</v>
      </c>
      <c r="D37" s="3">
        <f>D40*D41</f>
        <v>7.9059999999999997</v>
      </c>
      <c r="E37" s="81">
        <f t="shared" si="3"/>
        <v>6.5753424657534243</v>
      </c>
      <c r="F37" s="81">
        <f t="shared" si="3"/>
        <v>7.9059999999999997</v>
      </c>
    </row>
    <row r="38" spans="1:18" x14ac:dyDescent="0.25">
      <c r="A38" t="s">
        <v>215</v>
      </c>
      <c r="B38" t="s">
        <v>0</v>
      </c>
      <c r="C38" s="19">
        <f>C37*365*C36</f>
        <v>13440</v>
      </c>
      <c r="D38" s="82">
        <f>C38</f>
        <v>13440</v>
      </c>
      <c r="E38" s="19">
        <f t="shared" si="3"/>
        <v>13440</v>
      </c>
      <c r="F38" s="19">
        <f t="shared" si="3"/>
        <v>13440</v>
      </c>
      <c r="N38" s="341" t="s">
        <v>1053</v>
      </c>
      <c r="P38" s="341" t="s">
        <v>1055</v>
      </c>
      <c r="R38" s="14" t="s">
        <v>917</v>
      </c>
    </row>
    <row r="39" spans="1:18" x14ac:dyDescent="0.25">
      <c r="C39" s="3"/>
      <c r="E39" s="3"/>
      <c r="H39" s="4" t="s">
        <v>210</v>
      </c>
      <c r="I39" s="4" t="s">
        <v>211</v>
      </c>
      <c r="J39" s="4" t="s">
        <v>212</v>
      </c>
      <c r="K39" s="4" t="s">
        <v>213</v>
      </c>
      <c r="L39" s="4" t="s">
        <v>214</v>
      </c>
      <c r="N39" s="218" t="s">
        <v>1054</v>
      </c>
      <c r="P39" s="218" t="s">
        <v>1056</v>
      </c>
      <c r="R39" s="15" t="s">
        <v>221</v>
      </c>
    </row>
    <row r="40" spans="1:18" x14ac:dyDescent="0.25">
      <c r="A40" t="s">
        <v>207</v>
      </c>
      <c r="B40" t="s">
        <v>0</v>
      </c>
      <c r="C40" s="3"/>
      <c r="D40" s="79">
        <f>AVERAGE(H40:L40)</f>
        <v>3.5400000000000005</v>
      </c>
      <c r="E40" s="3"/>
      <c r="H40" s="4">
        <v>4.4000000000000004</v>
      </c>
      <c r="I40" s="4">
        <v>3.2</v>
      </c>
      <c r="J40" s="4">
        <v>3.1</v>
      </c>
      <c r="K40" s="4">
        <v>3.5</v>
      </c>
      <c r="L40" s="4">
        <v>3.5</v>
      </c>
      <c r="N40" s="218">
        <f>2.3*Tech_Spec_Escoot!F6</f>
        <v>3.7014912</v>
      </c>
      <c r="P40" s="218" t="s">
        <v>1057</v>
      </c>
      <c r="R40" s="15">
        <v>5.2</v>
      </c>
    </row>
    <row r="41" spans="1:18" x14ac:dyDescent="0.25">
      <c r="A41" t="s">
        <v>216</v>
      </c>
      <c r="B41" t="s">
        <v>209</v>
      </c>
      <c r="C41" s="3"/>
      <c r="D41" s="79">
        <f>AVERAGE(J41,L41,AVERAGE(H41,I41,K41))</f>
        <v>2.2333333333333329</v>
      </c>
      <c r="E41" s="3"/>
      <c r="H41" s="4">
        <v>0.6</v>
      </c>
      <c r="I41" s="4">
        <v>0.3</v>
      </c>
      <c r="J41" s="4">
        <v>3</v>
      </c>
      <c r="K41" s="4">
        <v>0.9</v>
      </c>
      <c r="L41" s="4">
        <v>3.1</v>
      </c>
      <c r="N41" s="218"/>
      <c r="P41" s="218"/>
      <c r="R41" s="15"/>
    </row>
    <row r="43" spans="1:18" x14ac:dyDescent="0.25">
      <c r="A43" t="s">
        <v>192</v>
      </c>
    </row>
    <row r="45" spans="1:18" x14ac:dyDescent="0.25">
      <c r="A45" t="s">
        <v>193</v>
      </c>
      <c r="B45" t="s">
        <v>0</v>
      </c>
      <c r="C45" s="10">
        <v>5000</v>
      </c>
      <c r="D45">
        <f>C45</f>
        <v>5000</v>
      </c>
      <c r="E45">
        <f>C45</f>
        <v>5000</v>
      </c>
      <c r="F45">
        <f>C45</f>
        <v>5000</v>
      </c>
    </row>
    <row r="46" spans="1:18" x14ac:dyDescent="0.25">
      <c r="A46" t="s">
        <v>194</v>
      </c>
      <c r="B46" t="s">
        <v>13</v>
      </c>
      <c r="C46" s="3">
        <f>C45/(C37*365)</f>
        <v>2.0833333333333335</v>
      </c>
      <c r="D46" s="3">
        <f>D45/(D37*365)</f>
        <v>1.7326878493531876</v>
      </c>
      <c r="E46" s="3">
        <f>E45/(E37*365)</f>
        <v>2.0833333333333335</v>
      </c>
      <c r="F46" s="3">
        <f>F45/(F37*365)</f>
        <v>1.7326878493531876</v>
      </c>
    </row>
    <row r="47" spans="1:18" x14ac:dyDescent="0.25">
      <c r="A47" t="s">
        <v>194</v>
      </c>
      <c r="B47" t="s">
        <v>218</v>
      </c>
      <c r="C47" s="3">
        <f>C36/C46-1</f>
        <v>1.6879999999999997</v>
      </c>
      <c r="D47" s="3">
        <f>(D36/D46)*$H$47-1</f>
        <v>4.3760000000000012</v>
      </c>
      <c r="E47" s="3">
        <f>E36/E46-1</f>
        <v>1.6879999999999997</v>
      </c>
      <c r="F47" s="3">
        <f>(F36/F46)*$H$47-1</f>
        <v>4.3760000000000012</v>
      </c>
      <c r="H47" s="9">
        <v>5</v>
      </c>
      <c r="I47" t="s">
        <v>1024</v>
      </c>
    </row>
    <row r="49" spans="1:6" x14ac:dyDescent="0.25">
      <c r="A49" s="8" t="s">
        <v>27</v>
      </c>
    </row>
    <row r="51" spans="1:6" x14ac:dyDescent="0.25">
      <c r="A51" t="s">
        <v>203</v>
      </c>
      <c r="C51">
        <v>2</v>
      </c>
      <c r="D51">
        <v>3</v>
      </c>
      <c r="E51">
        <v>4</v>
      </c>
      <c r="F51">
        <v>5</v>
      </c>
    </row>
    <row r="52" spans="1:6" x14ac:dyDescent="0.25">
      <c r="A52" t="s">
        <v>28</v>
      </c>
      <c r="B52" t="s">
        <v>30</v>
      </c>
      <c r="C52">
        <f>$E$31*$E$37*C51</f>
        <v>0.27616438356164386</v>
      </c>
      <c r="D52">
        <f>$E$31*$C$37*D51</f>
        <v>0.41424657534246578</v>
      </c>
      <c r="E52">
        <f>$E$31*$C$37*E51</f>
        <v>0.55232876712328771</v>
      </c>
      <c r="F52">
        <f>$E$31*$C$37*F51</f>
        <v>0.69041095890410964</v>
      </c>
    </row>
    <row r="53" spans="1:6" x14ac:dyDescent="0.25">
      <c r="A53" t="s">
        <v>204</v>
      </c>
      <c r="B53" t="s">
        <v>26</v>
      </c>
      <c r="C53">
        <f>'1_Manufacturing'!EJ29</f>
        <v>0.14262303541417382</v>
      </c>
      <c r="D53" t="s">
        <v>205</v>
      </c>
    </row>
    <row r="54" spans="1:6" x14ac:dyDescent="0.25">
      <c r="A54" t="s">
        <v>206</v>
      </c>
      <c r="B54" t="s">
        <v>17</v>
      </c>
      <c r="C54">
        <f>C52/$C$53</f>
        <v>1.9363238396915983</v>
      </c>
      <c r="D54">
        <f>D52/$C$53</f>
        <v>2.9044857595373976</v>
      </c>
      <c r="E54">
        <f>E52/$C$53</f>
        <v>3.8726476793831965</v>
      </c>
      <c r="F54">
        <f>F52/$C$53</f>
        <v>4.8408095992289963</v>
      </c>
    </row>
    <row r="56" spans="1:6" x14ac:dyDescent="0.25">
      <c r="A56" s="8" t="s">
        <v>217</v>
      </c>
    </row>
    <row r="58" spans="1:6" x14ac:dyDescent="0.25">
      <c r="A58" t="s">
        <v>193</v>
      </c>
      <c r="B58" t="s">
        <v>0</v>
      </c>
      <c r="C58" s="9"/>
      <c r="E58" s="9">
        <v>20000</v>
      </c>
      <c r="F58">
        <f>E58</f>
        <v>20000</v>
      </c>
    </row>
    <row r="59" spans="1:6" x14ac:dyDescent="0.25">
      <c r="A59" t="s">
        <v>194</v>
      </c>
      <c r="B59" t="s">
        <v>13</v>
      </c>
      <c r="C59" s="83"/>
      <c r="E59" s="83">
        <v>8</v>
      </c>
      <c r="F59">
        <f>E59</f>
        <v>8</v>
      </c>
    </row>
    <row r="60" spans="1:6" x14ac:dyDescent="0.25">
      <c r="A60" t="s">
        <v>194</v>
      </c>
      <c r="B60" t="s">
        <v>218</v>
      </c>
      <c r="E60">
        <f>MIN(1,E58/E38,E59/E36)-1</f>
        <v>0</v>
      </c>
      <c r="F60">
        <f>MIN(1,F58/F38,F59/F36)-1</f>
        <v>0</v>
      </c>
    </row>
  </sheetData>
  <hyperlinks>
    <hyperlink ref="S9" r:id="rId1" xr:uid="{00000000-0004-0000-0900-000000000000}"/>
    <hyperlink ref="S10" r:id="rId2" xr:uid="{00000000-0004-0000-0900-000001000000}"/>
    <hyperlink ref="R38" r:id="rId3" display="&lt;&lt; On average, 4.7 km. 59% of trips between 1 and 4 kms and 10% above 10 km" xr:uid="{00000000-0004-0000-0900-000002000000}"/>
    <hyperlink ref="N38" r:id="rId4" xr:uid="{00000000-0004-0000-0900-000003000000}"/>
    <hyperlink ref="P38" r:id="rId5" display="Oakland" xr:uid="{00000000-0004-0000-0900-000004000000}"/>
    <hyperlink ref="S11" r:id="rId6" xr:uid="{00000000-0004-0000-0900-000005000000}"/>
    <hyperlink ref="S12" r:id="rId7" xr:uid="{00000000-0004-0000-0900-000006000000}"/>
  </hyperlinks>
  <pageMargins left="0.7" right="0.7" top="0.75" bottom="0.75" header="0.3" footer="0.3"/>
  <pageSetup paperSize="9" orientation="portrait" r:id="rId8"/>
  <legacyDrawing r:id="rId9"/>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4:S61"/>
  <sheetViews>
    <sheetView topLeftCell="A42" workbookViewId="0">
      <selection activeCell="F58" sqref="F58"/>
    </sheetView>
  </sheetViews>
  <sheetFormatPr defaultRowHeight="13.2" x14ac:dyDescent="0.25"/>
  <cols>
    <col min="1" max="1" width="17.21875" bestFit="1" customWidth="1"/>
  </cols>
  <sheetData>
    <row r="4" spans="1:11" x14ac:dyDescent="0.25">
      <c r="A4" t="s">
        <v>177</v>
      </c>
    </row>
    <row r="8" spans="1:11" x14ac:dyDescent="0.25">
      <c r="C8" t="s">
        <v>239</v>
      </c>
      <c r="D8" t="s">
        <v>240</v>
      </c>
      <c r="F8" t="s">
        <v>317</v>
      </c>
      <c r="G8" t="s">
        <v>318</v>
      </c>
    </row>
    <row r="9" spans="1:11" x14ac:dyDescent="0.25">
      <c r="A9" t="s">
        <v>16</v>
      </c>
      <c r="B9" t="s">
        <v>17</v>
      </c>
      <c r="C9" s="97">
        <v>26.2</v>
      </c>
      <c r="D9" s="97">
        <v>76.400000000000006</v>
      </c>
      <c r="F9">
        <f>D9</f>
        <v>76.400000000000006</v>
      </c>
      <c r="G9" s="19">
        <f>F9-D9*C26</f>
        <v>62.268208092485551</v>
      </c>
      <c r="K9" s="86" t="s">
        <v>186</v>
      </c>
    </row>
    <row r="10" spans="1:11" x14ac:dyDescent="0.25">
      <c r="A10" t="s">
        <v>178</v>
      </c>
      <c r="B10" t="s">
        <v>17</v>
      </c>
      <c r="C10" s="97">
        <v>15.2</v>
      </c>
      <c r="D10" s="97">
        <v>9.1</v>
      </c>
      <c r="F10">
        <f>D10</f>
        <v>9.1</v>
      </c>
      <c r="G10">
        <f>D10+D25*B38</f>
        <v>10.183</v>
      </c>
      <c r="K10" s="120" t="s">
        <v>320</v>
      </c>
    </row>
    <row r="11" spans="1:11" x14ac:dyDescent="0.25">
      <c r="A11" t="s">
        <v>179</v>
      </c>
      <c r="B11" t="s">
        <v>17</v>
      </c>
      <c r="C11" s="97"/>
      <c r="D11" s="97">
        <v>1.7</v>
      </c>
      <c r="K11" s="7" t="s">
        <v>895</v>
      </c>
    </row>
    <row r="12" spans="1:11" x14ac:dyDescent="0.25">
      <c r="A12" t="s">
        <v>180</v>
      </c>
      <c r="B12" t="s">
        <v>17</v>
      </c>
      <c r="C12" s="97"/>
      <c r="D12" s="97">
        <v>0.3</v>
      </c>
      <c r="K12" s="291" t="s">
        <v>325</v>
      </c>
    </row>
    <row r="13" spans="1:11" x14ac:dyDescent="0.25">
      <c r="A13" t="s">
        <v>181</v>
      </c>
      <c r="B13" t="s">
        <v>17</v>
      </c>
      <c r="C13" s="97"/>
      <c r="D13" s="97"/>
    </row>
    <row r="14" spans="1:11" x14ac:dyDescent="0.25">
      <c r="A14" t="s">
        <v>22</v>
      </c>
      <c r="B14" t="s">
        <v>17</v>
      </c>
      <c r="C14" s="97">
        <v>3.5</v>
      </c>
      <c r="D14" s="97">
        <v>1</v>
      </c>
      <c r="F14">
        <f>D14</f>
        <v>1</v>
      </c>
      <c r="G14">
        <f>D14+D25*B39</f>
        <v>1.8340000000000001</v>
      </c>
    </row>
    <row r="15" spans="1:11" x14ac:dyDescent="0.25">
      <c r="A15" t="s">
        <v>182</v>
      </c>
      <c r="B15" t="s">
        <v>17</v>
      </c>
      <c r="C15" s="97">
        <v>1.2</v>
      </c>
      <c r="D15" s="97">
        <v>3.2</v>
      </c>
      <c r="F15">
        <f>D15</f>
        <v>3.2</v>
      </c>
      <c r="G15">
        <f>D15</f>
        <v>3.2</v>
      </c>
    </row>
    <row r="16" spans="1:11" x14ac:dyDescent="0.25">
      <c r="A16" t="s">
        <v>15</v>
      </c>
      <c r="B16" t="s">
        <v>17</v>
      </c>
      <c r="C16" s="97">
        <v>0.6</v>
      </c>
      <c r="D16" s="97">
        <v>1.5</v>
      </c>
      <c r="F16">
        <f>D16</f>
        <v>1.5</v>
      </c>
      <c r="G16">
        <f>D16+D25*B40</f>
        <v>2.5830000000000002</v>
      </c>
    </row>
    <row r="17" spans="1:7" x14ac:dyDescent="0.25">
      <c r="A17" t="s">
        <v>183</v>
      </c>
      <c r="B17" t="s">
        <v>17</v>
      </c>
      <c r="C17" s="97"/>
      <c r="D17" s="97">
        <v>0.8</v>
      </c>
    </row>
    <row r="18" spans="1:7" x14ac:dyDescent="0.25">
      <c r="A18" t="s">
        <v>184</v>
      </c>
      <c r="B18" t="s">
        <v>17</v>
      </c>
      <c r="C18" s="97">
        <v>0.2</v>
      </c>
      <c r="D18" s="97"/>
    </row>
    <row r="19" spans="1:7" x14ac:dyDescent="0.25">
      <c r="A19" t="s">
        <v>185</v>
      </c>
      <c r="B19" t="s">
        <v>17</v>
      </c>
      <c r="C19" s="97"/>
      <c r="D19" s="97"/>
    </row>
    <row r="20" spans="1:7" x14ac:dyDescent="0.25">
      <c r="A20" t="s">
        <v>20</v>
      </c>
      <c r="B20" t="s">
        <v>17</v>
      </c>
      <c r="C20" s="97"/>
      <c r="D20" s="97"/>
      <c r="F20">
        <f>SUM(D11,D12,D17)</f>
        <v>2.8</v>
      </c>
      <c r="G20">
        <f>SUM(D11,D12,D17)</f>
        <v>2.8</v>
      </c>
    </row>
    <row r="22" spans="1:7" x14ac:dyDescent="0.25">
      <c r="A22" t="s">
        <v>200</v>
      </c>
      <c r="B22" t="s">
        <v>17</v>
      </c>
      <c r="C22">
        <f>SUM(C9:C20)</f>
        <v>46.900000000000006</v>
      </c>
      <c r="D22">
        <f>SUM(D9:D20)</f>
        <v>94</v>
      </c>
      <c r="F22" s="19">
        <f>SUM(F9:F20)</f>
        <v>94</v>
      </c>
      <c r="G22" s="19">
        <f>SUM(G9:G20)</f>
        <v>82.86820809248556</v>
      </c>
    </row>
    <row r="24" spans="1:7" x14ac:dyDescent="0.25">
      <c r="A24" t="s">
        <v>29</v>
      </c>
      <c r="B24" t="s">
        <v>17</v>
      </c>
      <c r="C24" s="119">
        <f>173*Tech_Spec_Escoot!F5</f>
        <v>78.471416000000005</v>
      </c>
    </row>
    <row r="25" spans="1:7" x14ac:dyDescent="0.25">
      <c r="A25" t="s">
        <v>321</v>
      </c>
      <c r="B25" t="s">
        <v>17</v>
      </c>
      <c r="C25" s="121">
        <f>32*Tech_Spec_Escoot!F5</f>
        <v>14.514944</v>
      </c>
      <c r="D25" s="3">
        <f>ROUND(C25/([5]Vehi_Comp_Sum!$A$6*[5]Vehi_Comp_Sum!$B$10)*([5]Vehi_Comp_Sum!$G$6*[5]Vehi_Comp_Sum!$H$10),-4=1)</f>
        <v>3</v>
      </c>
    </row>
    <row r="26" spans="1:7" x14ac:dyDescent="0.25">
      <c r="C26" s="1">
        <f>C25/C24</f>
        <v>0.18497109826589594</v>
      </c>
      <c r="D26" s="1"/>
    </row>
    <row r="28" spans="1:7" x14ac:dyDescent="0.25">
      <c r="A28" t="s">
        <v>319</v>
      </c>
      <c r="B28" t="s">
        <v>276</v>
      </c>
      <c r="C28" s="122">
        <f>C29/1000/Convert!$F$17*100</f>
        <v>1.9390547340857902</v>
      </c>
    </row>
    <row r="29" spans="1:7" x14ac:dyDescent="0.25">
      <c r="B29" t="s">
        <v>322</v>
      </c>
      <c r="C29" s="122">
        <v>45</v>
      </c>
      <c r="D29" t="s">
        <v>323</v>
      </c>
    </row>
    <row r="30" spans="1:7" x14ac:dyDescent="0.25">
      <c r="B30" t="s">
        <v>2</v>
      </c>
      <c r="C30" s="18">
        <f>C28*Convert!$C$17/Convert!$B$12/100</f>
        <v>0.18037518037518041</v>
      </c>
      <c r="D30" s="2">
        <f>C30*C31/D31</f>
        <v>3.5014005602240911E-2</v>
      </c>
    </row>
    <row r="31" spans="1:7" x14ac:dyDescent="0.25">
      <c r="A31" t="s">
        <v>324</v>
      </c>
      <c r="B31" t="s">
        <v>3</v>
      </c>
      <c r="C31" s="18">
        <v>0.16500000000000001</v>
      </c>
      <c r="D31" s="18">
        <v>0.85</v>
      </c>
    </row>
    <row r="32" spans="1:7" x14ac:dyDescent="0.25">
      <c r="C32" s="18"/>
      <c r="D32" s="18"/>
    </row>
    <row r="33" spans="1:19" x14ac:dyDescent="0.25">
      <c r="A33" t="s">
        <v>27</v>
      </c>
      <c r="C33" s="18"/>
      <c r="D33" s="18"/>
    </row>
    <row r="34" spans="1:19" x14ac:dyDescent="0.25">
      <c r="A34" t="s">
        <v>28</v>
      </c>
      <c r="B34" t="s">
        <v>30</v>
      </c>
      <c r="C34" s="18"/>
      <c r="D34" s="123">
        <v>1.3</v>
      </c>
    </row>
    <row r="36" spans="1:19" x14ac:dyDescent="0.25">
      <c r="A36" t="s">
        <v>21</v>
      </c>
    </row>
    <row r="37" spans="1:19" x14ac:dyDescent="0.25">
      <c r="B37" t="s">
        <v>3</v>
      </c>
    </row>
    <row r="38" spans="1:19" x14ac:dyDescent="0.25">
      <c r="A38" t="s">
        <v>16</v>
      </c>
      <c r="B38" s="63">
        <f>[5]Car!$S$188</f>
        <v>0.36099999999999999</v>
      </c>
      <c r="D38" s="64" t="s">
        <v>148</v>
      </c>
    </row>
    <row r="39" spans="1:19" x14ac:dyDescent="0.25">
      <c r="A39" t="s">
        <v>22</v>
      </c>
      <c r="B39" s="63">
        <f>[5]Car!$S$191</f>
        <v>0.27800000000000002</v>
      </c>
    </row>
    <row r="40" spans="1:19" x14ac:dyDescent="0.25">
      <c r="A40" t="s">
        <v>149</v>
      </c>
      <c r="B40" s="63">
        <f>[5]Car!$S$190</f>
        <v>0.36099999999999999</v>
      </c>
    </row>
    <row r="43" spans="1:19" x14ac:dyDescent="0.25">
      <c r="A43" s="8" t="s">
        <v>1013</v>
      </c>
      <c r="K43" s="14" t="s">
        <v>411</v>
      </c>
      <c r="L43" s="15"/>
      <c r="M43" s="15"/>
      <c r="N43" s="15"/>
      <c r="O43" s="15"/>
      <c r="P43" s="15"/>
      <c r="Q43" s="15"/>
      <c r="R43" s="15"/>
      <c r="S43" s="15"/>
    </row>
    <row r="45" spans="1:19" x14ac:dyDescent="0.25">
      <c r="A45" t="s">
        <v>1021</v>
      </c>
      <c r="B45" s="15">
        <v>6</v>
      </c>
      <c r="C45" t="s">
        <v>410</v>
      </c>
    </row>
    <row r="46" spans="1:19" x14ac:dyDescent="0.25">
      <c r="A46" t="s">
        <v>23</v>
      </c>
      <c r="B46" s="15">
        <v>4.5</v>
      </c>
      <c r="C46" t="s">
        <v>442</v>
      </c>
      <c r="E46" t="s">
        <v>7</v>
      </c>
      <c r="F46" s="15">
        <v>4</v>
      </c>
      <c r="G46" t="s">
        <v>8</v>
      </c>
      <c r="H46" s="15">
        <v>5</v>
      </c>
    </row>
    <row r="47" spans="1:19" x14ac:dyDescent="0.25">
      <c r="A47" t="s">
        <v>23</v>
      </c>
      <c r="B47">
        <f>B45*B46</f>
        <v>27</v>
      </c>
      <c r="C47" t="s">
        <v>190</v>
      </c>
      <c r="F47" s="15"/>
      <c r="H47" s="15"/>
    </row>
    <row r="48" spans="1:19" x14ac:dyDescent="0.25">
      <c r="A48" t="s">
        <v>412</v>
      </c>
      <c r="B48">
        <f>B47*365</f>
        <v>9855</v>
      </c>
      <c r="C48" t="s">
        <v>115</v>
      </c>
      <c r="D48" t="s">
        <v>1025</v>
      </c>
    </row>
    <row r="50" spans="1:14" x14ac:dyDescent="0.25">
      <c r="A50" t="s">
        <v>1014</v>
      </c>
    </row>
    <row r="52" spans="1:14" x14ac:dyDescent="0.25">
      <c r="A52" t="s">
        <v>1016</v>
      </c>
      <c r="B52" s="10">
        <v>10000</v>
      </c>
      <c r="C52" t="s">
        <v>1009</v>
      </c>
      <c r="F52" s="76" t="s">
        <v>1011</v>
      </c>
      <c r="G52" s="10"/>
      <c r="H52" s="10"/>
      <c r="I52" s="10"/>
      <c r="J52" s="10"/>
      <c r="K52" s="10"/>
      <c r="L52" s="10"/>
    </row>
    <row r="53" spans="1:14" x14ac:dyDescent="0.25">
      <c r="A53" t="s">
        <v>1015</v>
      </c>
      <c r="B53" s="10">
        <v>3500</v>
      </c>
      <c r="C53" t="s">
        <v>1010</v>
      </c>
    </row>
    <row r="54" spans="1:14" x14ac:dyDescent="0.25">
      <c r="A54" t="str">
        <f>A45</f>
        <v>Frequency of use</v>
      </c>
      <c r="B54" s="11">
        <f>B52/B53</f>
        <v>2.8571428571428572</v>
      </c>
      <c r="C54" t="str">
        <f>C45</f>
        <v>rentals/day</v>
      </c>
    </row>
    <row r="55" spans="1:14" x14ac:dyDescent="0.25">
      <c r="A55" t="s">
        <v>1017</v>
      </c>
      <c r="B55" s="218">
        <f>15/60</f>
        <v>0.25</v>
      </c>
      <c r="C55" t="s">
        <v>1018</v>
      </c>
      <c r="F55" s="341" t="s">
        <v>1012</v>
      </c>
    </row>
    <row r="56" spans="1:14" x14ac:dyDescent="0.25">
      <c r="A56" t="s">
        <v>1017</v>
      </c>
      <c r="B56" s="218">
        <f>18/60</f>
        <v>0.3</v>
      </c>
      <c r="C56" t="s">
        <v>1019</v>
      </c>
    </row>
    <row r="57" spans="1:14" x14ac:dyDescent="0.25">
      <c r="A57" t="s">
        <v>1022</v>
      </c>
      <c r="B57" s="199">
        <v>18</v>
      </c>
      <c r="C57" t="s">
        <v>724</v>
      </c>
      <c r="F57" s="120" t="s">
        <v>1020</v>
      </c>
      <c r="G57" s="199"/>
      <c r="H57" s="199"/>
      <c r="I57" s="199"/>
      <c r="J57" s="199"/>
      <c r="K57" s="199"/>
      <c r="L57" s="199"/>
      <c r="M57" s="199"/>
      <c r="N57" s="199"/>
    </row>
    <row r="58" spans="1:14" x14ac:dyDescent="0.25">
      <c r="B58" s="100">
        <v>19</v>
      </c>
      <c r="C58" t="s">
        <v>724</v>
      </c>
      <c r="F58" s="101" t="s">
        <v>1023</v>
      </c>
      <c r="G58" s="100"/>
      <c r="H58" s="100"/>
      <c r="I58" s="100"/>
      <c r="J58" s="100"/>
      <c r="K58" s="100"/>
      <c r="L58" s="100"/>
      <c r="M58" s="100"/>
      <c r="N58" s="100"/>
    </row>
    <row r="59" spans="1:14" x14ac:dyDescent="0.25">
      <c r="A59" t="str">
        <f>A46</f>
        <v>Distance</v>
      </c>
      <c r="B59" s="3">
        <f>AVERAGE(B55:B56)*AVERAGE(B57:B58)</f>
        <v>5.0875000000000004</v>
      </c>
      <c r="C59" t="s">
        <v>442</v>
      </c>
    </row>
    <row r="60" spans="1:14" x14ac:dyDescent="0.25">
      <c r="B60" s="3">
        <f>B59*B54</f>
        <v>14.535714285714286</v>
      </c>
      <c r="C60" t="s">
        <v>190</v>
      </c>
    </row>
    <row r="61" spans="1:14" x14ac:dyDescent="0.25">
      <c r="B61" s="19">
        <f>B60*365</f>
        <v>5305.5357142857147</v>
      </c>
      <c r="C61" t="s">
        <v>115</v>
      </c>
    </row>
  </sheetData>
  <hyperlinks>
    <hyperlink ref="K9" r:id="rId1" xr:uid="{00000000-0004-0000-0A00-000000000000}"/>
    <hyperlink ref="K10" r:id="rId2" display="Honda scooter" xr:uid="{00000000-0004-0000-0A00-000001000000}"/>
    <hyperlink ref="K43" r:id="rId3" xr:uid="{00000000-0004-0000-0A00-000002000000}"/>
    <hyperlink ref="F52" r:id="rId4" xr:uid="{00000000-0004-0000-0A00-000003000000}"/>
    <hyperlink ref="F55" r:id="rId5" display="https://6-t.co/etudes/enquete-cityscoot/" xr:uid="{00000000-0004-0000-0A00-000004000000}"/>
    <hyperlink ref="F57" r:id="rId6" xr:uid="{00000000-0004-0000-0A00-000005000000}"/>
    <hyperlink ref="F58" r:id="rId7" xr:uid="{00000000-0004-0000-0A00-000006000000}"/>
    <hyperlink ref="K12" r:id="rId8" xr:uid="{00000000-0004-0000-0A00-000007000000}"/>
  </hyperlinks>
  <pageMargins left="0.7" right="0.7" top="0.75" bottom="0.75" header="0.3" footer="0.3"/>
  <pageSetup paperSize="9" orientation="portrait" r:id="rId9"/>
  <legacyDrawing r:id="rId1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tint="0.34998626667073579"/>
  </sheetPr>
  <dimension ref="A3:AA97"/>
  <sheetViews>
    <sheetView topLeftCell="A3" workbookViewId="0">
      <selection activeCell="E51" sqref="E51"/>
    </sheetView>
  </sheetViews>
  <sheetFormatPr defaultRowHeight="13.2" x14ac:dyDescent="0.25"/>
  <cols>
    <col min="1" max="1" width="27.77734375" bestFit="1" customWidth="1"/>
    <col min="23" max="24" width="9.109375" customWidth="1"/>
  </cols>
  <sheetData>
    <row r="3" spans="1:9" x14ac:dyDescent="0.25">
      <c r="A3" s="8" t="s">
        <v>56</v>
      </c>
    </row>
    <row r="4" spans="1:9" x14ac:dyDescent="0.25">
      <c r="A4" s="8"/>
    </row>
    <row r="5" spans="1:9" x14ac:dyDescent="0.25">
      <c r="B5" t="s">
        <v>49</v>
      </c>
      <c r="C5" t="s">
        <v>47</v>
      </c>
      <c r="D5" t="s">
        <v>48</v>
      </c>
      <c r="E5" t="s">
        <v>28</v>
      </c>
      <c r="F5" t="s">
        <v>12</v>
      </c>
    </row>
    <row r="6" spans="1:9" x14ac:dyDescent="0.25">
      <c r="C6" t="s">
        <v>57</v>
      </c>
      <c r="D6" t="s">
        <v>17</v>
      </c>
      <c r="E6" t="s">
        <v>53</v>
      </c>
      <c r="F6" t="s">
        <v>242</v>
      </c>
      <c r="I6" s="98" t="s">
        <v>243</v>
      </c>
    </row>
    <row r="7" spans="1:9" x14ac:dyDescent="0.25">
      <c r="A7" s="17" t="s">
        <v>39</v>
      </c>
      <c r="B7" s="18" t="str">
        <f>B11</f>
        <v>Urban/suburban train</v>
      </c>
      <c r="C7">
        <v>2.5499999999999998</v>
      </c>
      <c r="D7">
        <v>15500</v>
      </c>
      <c r="E7">
        <v>103</v>
      </c>
      <c r="F7">
        <v>30</v>
      </c>
    </row>
    <row r="8" spans="1:9" x14ac:dyDescent="0.25">
      <c r="A8" s="17" t="s">
        <v>44</v>
      </c>
      <c r="B8" t="s">
        <v>50</v>
      </c>
      <c r="C8">
        <f>8.04/4</f>
        <v>2.0099999999999998</v>
      </c>
      <c r="D8">
        <f>227/4*1000</f>
        <v>56750</v>
      </c>
      <c r="E8" s="19">
        <f>245/4</f>
        <v>61.25</v>
      </c>
      <c r="F8">
        <v>25</v>
      </c>
    </row>
    <row r="9" spans="1:9" x14ac:dyDescent="0.25">
      <c r="A9" s="17" t="s">
        <v>45</v>
      </c>
      <c r="B9" s="18" t="s">
        <v>52</v>
      </c>
      <c r="C9" s="18">
        <f>17.83/6</f>
        <v>2.9716666666666662</v>
      </c>
      <c r="D9" s="19">
        <f>193/6*1000</f>
        <v>32166.666666666664</v>
      </c>
      <c r="E9" s="19">
        <f>1204/6</f>
        <v>200.66666666666666</v>
      </c>
    </row>
    <row r="10" spans="1:9" x14ac:dyDescent="0.25">
      <c r="A10" s="17" t="s">
        <v>286</v>
      </c>
      <c r="B10" s="18" t="s">
        <v>51</v>
      </c>
      <c r="C10" s="18">
        <f>26/9</f>
        <v>2.8888888888888888</v>
      </c>
      <c r="D10" s="19">
        <f>238/9*1000</f>
        <v>26444.444444444442</v>
      </c>
      <c r="E10">
        <f>1539/9</f>
        <v>171</v>
      </c>
      <c r="F10">
        <v>40</v>
      </c>
    </row>
    <row r="11" spans="1:9" x14ac:dyDescent="0.25">
      <c r="A11" s="17" t="s">
        <v>46</v>
      </c>
      <c r="B11" s="18" t="s">
        <v>51</v>
      </c>
      <c r="C11" s="18">
        <f>(16.1+2)/8</f>
        <v>2.2625000000000002</v>
      </c>
      <c r="D11">
        <f>240/8*1000</f>
        <v>30000</v>
      </c>
      <c r="E11">
        <f>900/8</f>
        <v>112.5</v>
      </c>
      <c r="F11">
        <v>40</v>
      </c>
    </row>
    <row r="12" spans="1:9" x14ac:dyDescent="0.25">
      <c r="A12" s="17" t="s">
        <v>54</v>
      </c>
      <c r="B12" s="18" t="str">
        <f>B9</f>
        <v>Metro/Urbanm train</v>
      </c>
      <c r="C12">
        <v>2.6</v>
      </c>
      <c r="D12" s="19">
        <f>54700/3</f>
        <v>18233.333333333332</v>
      </c>
      <c r="E12" s="3">
        <f>256/3</f>
        <v>85.333333333333329</v>
      </c>
      <c r="F12">
        <v>30</v>
      </c>
    </row>
    <row r="13" spans="1:9" x14ac:dyDescent="0.25">
      <c r="A13" s="17" t="s">
        <v>58</v>
      </c>
      <c r="B13" s="18" t="str">
        <f>B12</f>
        <v>Metro/Urbanm train</v>
      </c>
      <c r="C13" s="3">
        <f>0.09*100/3</f>
        <v>3</v>
      </c>
      <c r="D13" s="19">
        <f>100/3*1000</f>
        <v>33333.333333333336</v>
      </c>
      <c r="E13">
        <f>678/3</f>
        <v>226</v>
      </c>
    </row>
    <row r="14" spans="1:9" x14ac:dyDescent="0.25">
      <c r="A14" s="17" t="s">
        <v>308</v>
      </c>
      <c r="B14" s="18" t="str">
        <f>B10</f>
        <v>Urban/suburban train</v>
      </c>
      <c r="C14" s="3">
        <f>8.15/4</f>
        <v>2.0375000000000001</v>
      </c>
      <c r="D14" s="19">
        <f>204620/4</f>
        <v>51155</v>
      </c>
      <c r="E14">
        <f>920/4</f>
        <v>230</v>
      </c>
    </row>
    <row r="15" spans="1:9" x14ac:dyDescent="0.25">
      <c r="A15" s="17" t="s">
        <v>309</v>
      </c>
      <c r="B15" s="18" t="str">
        <f>B13</f>
        <v>Metro/Urbanm train</v>
      </c>
      <c r="C15" s="3">
        <f>0.021*564/4</f>
        <v>2.9610000000000003</v>
      </c>
      <c r="D15" s="19"/>
      <c r="E15">
        <f>564/4</f>
        <v>141</v>
      </c>
    </row>
    <row r="16" spans="1:9" x14ac:dyDescent="0.25">
      <c r="A16" s="5" t="s">
        <v>310</v>
      </c>
      <c r="B16" s="18" t="str">
        <f>B11</f>
        <v>Urban/suburban train</v>
      </c>
      <c r="C16" s="3"/>
      <c r="D16" s="19">
        <f>63000*Tech_Specs_Bus!U7</f>
        <v>28576.295999999998</v>
      </c>
      <c r="F16">
        <v>26</v>
      </c>
    </row>
    <row r="17" spans="1:27" x14ac:dyDescent="0.25">
      <c r="C17" s="3"/>
    </row>
    <row r="18" spans="1:27" x14ac:dyDescent="0.25">
      <c r="A18" s="20" t="s">
        <v>55</v>
      </c>
    </row>
    <row r="19" spans="1:27" x14ac:dyDescent="0.25">
      <c r="A19" t="s">
        <v>40</v>
      </c>
      <c r="B19" t="s">
        <v>41</v>
      </c>
    </row>
    <row r="20" spans="1:27" x14ac:dyDescent="0.25">
      <c r="A20" t="s">
        <v>42</v>
      </c>
      <c r="B20" s="17" t="s">
        <v>43</v>
      </c>
    </row>
    <row r="24" spans="1:27" x14ac:dyDescent="0.25">
      <c r="A24" t="s">
        <v>38</v>
      </c>
      <c r="B24" s="18">
        <f>AVERAGE(C9,C10,C13)</f>
        <v>2.9535185185185182</v>
      </c>
      <c r="C24" t="s">
        <v>57</v>
      </c>
      <c r="E24">
        <f>B24*3.6</f>
        <v>10.632666666666665</v>
      </c>
      <c r="F24" t="s">
        <v>59</v>
      </c>
      <c r="H24">
        <v>6</v>
      </c>
      <c r="I24" t="s">
        <v>60</v>
      </c>
      <c r="K24">
        <f>H24*E24</f>
        <v>63.795999999999992</v>
      </c>
      <c r="L24" t="s">
        <v>1201</v>
      </c>
      <c r="N24">
        <f>K24/Convert!B12</f>
        <v>17.72111111111111</v>
      </c>
      <c r="O24" t="s">
        <v>1202</v>
      </c>
    </row>
    <row r="26" spans="1:27" x14ac:dyDescent="0.25">
      <c r="A26" s="8" t="s">
        <v>295</v>
      </c>
      <c r="W26" t="s">
        <v>293</v>
      </c>
      <c r="X26" t="s">
        <v>294</v>
      </c>
      <c r="Y26" t="s">
        <v>14</v>
      </c>
      <c r="Z26" t="s">
        <v>312</v>
      </c>
      <c r="AA26" t="s">
        <v>316</v>
      </c>
    </row>
    <row r="27" spans="1:27" x14ac:dyDescent="0.25">
      <c r="V27" t="s">
        <v>17</v>
      </c>
      <c r="W27">
        <f>ROUND(AVERAGE(Tech_Spec_Rail!D9,Tech_Spec_Rail!D10,Tech_Spec_Rail!D116,Tech_Spec_Rail!D13),-3)*Tech_Spec_Rail!H24</f>
        <v>186000</v>
      </c>
      <c r="X27" s="19">
        <f>(1-AVERAGE(T46:U46))*W27</f>
        <v>113914.8482938995</v>
      </c>
      <c r="Y27" s="19">
        <f>W27+X27</f>
        <v>299914.8482938995</v>
      </c>
    </row>
    <row r="28" spans="1:27" x14ac:dyDescent="0.25">
      <c r="A28" t="s">
        <v>79</v>
      </c>
      <c r="B28" t="str">
        <f>A10</f>
        <v>EPD (Bombardier Azur)</v>
      </c>
      <c r="C28" t="str">
        <f>A7</f>
        <v>EPD (INNOVIA APM 300)</v>
      </c>
      <c r="D28" t="str">
        <f>A11</f>
        <v>EPD (SPACIUM)</v>
      </c>
      <c r="E28" t="str">
        <f>A8</f>
        <v>EPD (Regina Intercity X55 train)</v>
      </c>
      <c r="F28" t="str">
        <f>A13</f>
        <v>Metro Oslo</v>
      </c>
      <c r="G28" t="str">
        <f>A9</f>
        <v>EPD (Metro Rome Line C)</v>
      </c>
      <c r="H28" t="str">
        <f>A69</f>
        <v>Hitachi Caravaggio Train</v>
      </c>
      <c r="J28" t="str">
        <f>B28</f>
        <v>EPD (Bombardier Azur)</v>
      </c>
      <c r="K28" t="str">
        <f>C28</f>
        <v>EPD (INNOVIA APM 300)</v>
      </c>
      <c r="L28" t="str">
        <f>D28</f>
        <v>EPD (SPACIUM)</v>
      </c>
      <c r="N28" t="str">
        <f>F28</f>
        <v>Metro Oslo</v>
      </c>
      <c r="O28" t="str">
        <f>G28</f>
        <v>EPD (Metro Rome Line C)</v>
      </c>
      <c r="P28" t="str">
        <f>H28</f>
        <v>Hitachi Caravaggio Train</v>
      </c>
      <c r="Q28" t="str">
        <f>A90</f>
        <v>CAF Metro Helsinki</v>
      </c>
    </row>
    <row r="29" spans="1:27" x14ac:dyDescent="0.25">
      <c r="A29" s="109" t="s">
        <v>293</v>
      </c>
      <c r="V29" t="s">
        <v>16</v>
      </c>
      <c r="W29" s="1">
        <f>AVERAGE(J30:Q30)*C81</f>
        <v>0.64959647327963088</v>
      </c>
      <c r="X29" s="110">
        <f>AVERAGE(L39:M39)</f>
        <v>0.76198134536039031</v>
      </c>
      <c r="Y29" s="19">
        <f>W$27*W29+X$27*X29</f>
        <v>207625.93338952167</v>
      </c>
      <c r="Z29" s="1">
        <f>Y29/Y$27</f>
        <v>0.69228294154366132</v>
      </c>
      <c r="AA29" s="1">
        <f>Y29/(Y$37-Y$34)</f>
        <v>0.69730277707685717</v>
      </c>
    </row>
    <row r="30" spans="1:27" x14ac:dyDescent="0.25">
      <c r="A30" t="s">
        <v>287</v>
      </c>
      <c r="B30">
        <v>207725</v>
      </c>
      <c r="C30">
        <v>11594.4</v>
      </c>
      <c r="D30">
        <v>209083</v>
      </c>
      <c r="E30">
        <v>179981.3</v>
      </c>
      <c r="F30">
        <f>B81+B82</f>
        <v>153926</v>
      </c>
      <c r="G30">
        <f t="shared" ref="G30:G36" si="0">G60</f>
        <v>168822</v>
      </c>
      <c r="H30">
        <f>G71</f>
        <v>178339</v>
      </c>
      <c r="J30" s="1">
        <f t="shared" ref="J30:M37" si="1">B30/B$37</f>
        <v>0.87202468410226275</v>
      </c>
      <c r="K30" s="1">
        <f t="shared" si="1"/>
        <v>0.78643957430356293</v>
      </c>
      <c r="L30" s="1">
        <f t="shared" si="1"/>
        <v>0.86272446689113358</v>
      </c>
      <c r="M30" s="1">
        <f t="shared" si="1"/>
        <v>0.79316441582879982</v>
      </c>
      <c r="N30" s="1">
        <f t="shared" ref="N30:N37" si="2">F30/F$37</f>
        <v>0.68820809972190178</v>
      </c>
      <c r="O30" s="1">
        <f t="shared" ref="O30:O37" si="3">G30/G$37</f>
        <v>0.87522875850877968</v>
      </c>
      <c r="P30" s="1">
        <f t="shared" ref="P30:P37" si="4">H30/H$37</f>
        <v>0.87156617909382805</v>
      </c>
      <c r="Q30" s="1">
        <f>83.84%</f>
        <v>0.83840000000000003</v>
      </c>
      <c r="V30" t="s">
        <v>15</v>
      </c>
      <c r="W30" s="1">
        <f>AVERAGE(J30:Q30)*C82</f>
        <v>0.17387304902665257</v>
      </c>
      <c r="Y30" s="19">
        <f>W$27*W30+X$27*X30</f>
        <v>32340.387118957377</v>
      </c>
      <c r="Z30" s="1">
        <f t="shared" ref="Z30:Z36" si="5">Y30/Y$27</f>
        <v>0.10783189729661412</v>
      </c>
      <c r="AA30" s="1">
        <f t="shared" ref="AA30:AA36" si="6">Y30/(Y$37-Y$34)</f>
        <v>0.10861380070225703</v>
      </c>
    </row>
    <row r="31" spans="1:27" x14ac:dyDescent="0.25">
      <c r="A31" t="s">
        <v>288</v>
      </c>
      <c r="B31">
        <v>5003</v>
      </c>
      <c r="C31">
        <v>1287.0999999999999</v>
      </c>
      <c r="D31">
        <v>13117</v>
      </c>
      <c r="E31">
        <v>9157.7999999999993</v>
      </c>
      <c r="F31">
        <f>B84</f>
        <v>41565</v>
      </c>
      <c r="G31">
        <f t="shared" si="0"/>
        <v>3369</v>
      </c>
      <c r="H31">
        <f t="shared" ref="H31:H37" si="7">G72</f>
        <v>7582</v>
      </c>
      <c r="J31" s="1">
        <f t="shared" si="1"/>
        <v>2.1002476806179421E-2</v>
      </c>
      <c r="K31" s="1">
        <f t="shared" si="1"/>
        <v>8.7303040785734129E-2</v>
      </c>
      <c r="L31" s="1">
        <f t="shared" si="1"/>
        <v>5.4123753878655839E-2</v>
      </c>
      <c r="M31" s="1">
        <f t="shared" si="1"/>
        <v>4.0357754318237411E-2</v>
      </c>
      <c r="N31" s="1">
        <f t="shared" si="2"/>
        <v>0.18583845266518229</v>
      </c>
      <c r="O31" s="1">
        <f t="shared" si="3"/>
        <v>1.7466003763822718E-2</v>
      </c>
      <c r="P31" s="1">
        <f t="shared" si="4"/>
        <v>3.7054232500403191E-2</v>
      </c>
      <c r="Q31" s="1">
        <f>5.65%</f>
        <v>5.6500000000000002E-2</v>
      </c>
      <c r="V31" t="str">
        <f t="shared" ref="V31:V36" si="8">A31</f>
        <v>Polymers</v>
      </c>
      <c r="W31" s="110">
        <f t="shared" ref="W31:W36" si="9">AVERAGE(J31:Q31)</f>
        <v>6.2455714339776876E-2</v>
      </c>
      <c r="X31" s="110">
        <f t="shared" ref="X31:X36" si="10">AVERAGE(L40:M40)</f>
        <v>3.4363264051000118E-2</v>
      </c>
      <c r="Y31" s="19">
        <f t="shared" ref="Y31:Y36" si="11">W$27*W31+X$27*X31</f>
        <v>15531.248878451388</v>
      </c>
      <c r="Z31" s="1">
        <f t="shared" si="5"/>
        <v>5.1785528348471922E-2</v>
      </c>
      <c r="AA31" s="1">
        <f t="shared" si="6"/>
        <v>5.2161032090813644E-2</v>
      </c>
    </row>
    <row r="32" spans="1:27" x14ac:dyDescent="0.25">
      <c r="A32" t="s">
        <v>289</v>
      </c>
      <c r="B32">
        <v>7429</v>
      </c>
      <c r="C32">
        <v>598.4</v>
      </c>
      <c r="D32">
        <v>6504</v>
      </c>
      <c r="E32">
        <v>7416.4</v>
      </c>
      <c r="G32">
        <f t="shared" si="0"/>
        <v>8052</v>
      </c>
      <c r="H32">
        <f t="shared" si="7"/>
        <v>6695</v>
      </c>
      <c r="J32" s="1">
        <f t="shared" si="1"/>
        <v>3.1186767977834685E-2</v>
      </c>
      <c r="K32" s="1">
        <f t="shared" si="1"/>
        <v>4.058902929545747E-2</v>
      </c>
      <c r="L32" s="1">
        <f t="shared" si="1"/>
        <v>2.6836997425232718E-2</v>
      </c>
      <c r="M32" s="1">
        <f t="shared" si="1"/>
        <v>3.2683531975559191E-2</v>
      </c>
      <c r="N32" s="1">
        <f t="shared" si="2"/>
        <v>0</v>
      </c>
      <c r="O32" s="1">
        <f t="shared" si="3"/>
        <v>4.1744215585129273E-2</v>
      </c>
      <c r="P32" s="1">
        <f t="shared" si="4"/>
        <v>3.2719346688235208E-2</v>
      </c>
      <c r="Q32" s="1">
        <f>3.3%</f>
        <v>3.3000000000000002E-2</v>
      </c>
      <c r="V32" t="str">
        <f t="shared" si="8"/>
        <v>Elastomers</v>
      </c>
      <c r="W32" s="110">
        <f t="shared" si="9"/>
        <v>2.9844986118431071E-2</v>
      </c>
      <c r="X32" s="110">
        <f t="shared" si="10"/>
        <v>3.3410440817545947E-2</v>
      </c>
      <c r="Y32" s="19">
        <f t="shared" si="11"/>
        <v>9357.1127151912333</v>
      </c>
      <c r="Z32" s="1">
        <f t="shared" si="5"/>
        <v>3.119923127654485E-2</v>
      </c>
      <c r="AA32" s="1">
        <f t="shared" si="6"/>
        <v>3.1425461045288212E-2</v>
      </c>
    </row>
    <row r="33" spans="1:27" x14ac:dyDescent="0.25">
      <c r="A33" t="s">
        <v>184</v>
      </c>
      <c r="B33">
        <v>6815</v>
      </c>
      <c r="C33">
        <v>37.200000000000003</v>
      </c>
      <c r="D33">
        <v>5479</v>
      </c>
      <c r="E33">
        <v>7051.5</v>
      </c>
      <c r="G33">
        <f t="shared" si="0"/>
        <v>3824</v>
      </c>
      <c r="H33">
        <f t="shared" si="7"/>
        <v>4516</v>
      </c>
      <c r="J33" s="1">
        <f t="shared" si="1"/>
        <v>2.8609210360606187E-2</v>
      </c>
      <c r="K33" s="1">
        <f t="shared" si="1"/>
        <v>2.5232484789288402E-3</v>
      </c>
      <c r="L33" s="1">
        <f t="shared" si="1"/>
        <v>2.2607612068396381E-2</v>
      </c>
      <c r="M33" s="1">
        <f t="shared" si="1"/>
        <v>3.1075444383481966E-2</v>
      </c>
      <c r="N33" s="1">
        <f t="shared" si="2"/>
        <v>0</v>
      </c>
      <c r="O33" s="1">
        <f t="shared" si="3"/>
        <v>1.9824873372768795E-2</v>
      </c>
      <c r="P33" s="1">
        <f t="shared" si="4"/>
        <v>2.2070286728016461E-2</v>
      </c>
      <c r="Q33" s="1">
        <v>3.04E-2</v>
      </c>
      <c r="V33" t="str">
        <f t="shared" si="8"/>
        <v>Glass</v>
      </c>
      <c r="W33" s="110">
        <f t="shared" si="9"/>
        <v>1.963883442402483E-2</v>
      </c>
      <c r="X33" s="110">
        <f t="shared" si="10"/>
        <v>1.1943573249175997E-2</v>
      </c>
      <c r="Y33" s="19">
        <f t="shared" si="11"/>
        <v>5013.373537635578</v>
      </c>
      <c r="Z33" s="1">
        <f t="shared" si="5"/>
        <v>1.6715989775613768E-2</v>
      </c>
      <c r="AA33" s="1">
        <f t="shared" si="6"/>
        <v>1.6837199637091876E-2</v>
      </c>
    </row>
    <row r="34" spans="1:27" x14ac:dyDescent="0.25">
      <c r="A34" t="s">
        <v>290</v>
      </c>
      <c r="B34">
        <v>1019</v>
      </c>
      <c r="C34">
        <v>211.1</v>
      </c>
      <c r="D34">
        <v>1800</v>
      </c>
      <c r="E34">
        <v>1849.8</v>
      </c>
      <c r="G34">
        <f t="shared" si="0"/>
        <v>1650</v>
      </c>
      <c r="H34">
        <f t="shared" si="7"/>
        <v>160</v>
      </c>
      <c r="J34" s="1">
        <f t="shared" si="1"/>
        <v>4.2777381302212336E-3</v>
      </c>
      <c r="K34" s="1">
        <f t="shared" si="1"/>
        <v>1.4318756825319304E-2</v>
      </c>
      <c r="L34" s="1">
        <f t="shared" si="1"/>
        <v>7.4272133095662505E-3</v>
      </c>
      <c r="M34" s="1">
        <f t="shared" si="1"/>
        <v>8.1519332086173058E-3</v>
      </c>
      <c r="N34" s="1">
        <f t="shared" si="2"/>
        <v>0</v>
      </c>
      <c r="O34" s="1">
        <f t="shared" si="3"/>
        <v>8.5541425379363264E-3</v>
      </c>
      <c r="P34" s="1">
        <f t="shared" si="4"/>
        <v>7.8194107096603933E-4</v>
      </c>
      <c r="Q34" s="1">
        <v>3.0000000000000001E-3</v>
      </c>
      <c r="V34" t="str">
        <f t="shared" si="8"/>
        <v>Fluids</v>
      </c>
      <c r="W34" s="110">
        <f t="shared" si="9"/>
        <v>5.8139656353283081E-3</v>
      </c>
      <c r="X34" s="110">
        <f t="shared" si="10"/>
        <v>9.4603040554105365E-3</v>
      </c>
      <c r="Y34" s="19">
        <f t="shared" si="11"/>
        <v>2159.0667094573187</v>
      </c>
      <c r="Z34" s="1">
        <f t="shared" si="5"/>
        <v>7.198932369435594E-3</v>
      </c>
      <c r="AA34" s="1"/>
    </row>
    <row r="35" spans="1:27" x14ac:dyDescent="0.25">
      <c r="A35" t="s">
        <v>291</v>
      </c>
      <c r="B35">
        <v>123</v>
      </c>
      <c r="C35">
        <v>548.6</v>
      </c>
      <c r="D35">
        <v>1690</v>
      </c>
      <c r="E35">
        <v>6217.4</v>
      </c>
      <c r="F35">
        <f>B86</f>
        <v>12141</v>
      </c>
      <c r="G35">
        <f t="shared" si="0"/>
        <v>2623</v>
      </c>
      <c r="H35">
        <f t="shared" si="7"/>
        <v>5007</v>
      </c>
      <c r="J35" s="1">
        <f t="shared" si="1"/>
        <v>5.1635111876075727E-4</v>
      </c>
      <c r="K35" s="1">
        <f t="shared" si="1"/>
        <v>3.7211132138181766E-2</v>
      </c>
      <c r="L35" s="1">
        <f t="shared" si="1"/>
        <v>6.973328051759424E-3</v>
      </c>
      <c r="M35" s="1">
        <f t="shared" si="1"/>
        <v>2.7399626733299407E-2</v>
      </c>
      <c r="N35" s="1">
        <f t="shared" si="2"/>
        <v>5.4282801727606834E-2</v>
      </c>
      <c r="O35" s="1">
        <f t="shared" si="3"/>
        <v>1.3598494470913323E-2</v>
      </c>
      <c r="P35" s="1">
        <f t="shared" si="4"/>
        <v>2.4469868389543493E-2</v>
      </c>
      <c r="Q35" s="1">
        <v>1.8E-3</v>
      </c>
      <c r="V35" t="str">
        <f t="shared" si="8"/>
        <v>Modified organic natural materials</v>
      </c>
      <c r="W35" s="110">
        <f t="shared" si="9"/>
        <v>2.0781450328758125E-2</v>
      </c>
      <c r="X35" s="110">
        <f t="shared" si="10"/>
        <v>1.0266811452215901E-2</v>
      </c>
      <c r="Y35" s="19">
        <f t="shared" si="11"/>
        <v>5034.8920301902554</v>
      </c>
      <c r="Z35" s="1">
        <f t="shared" si="5"/>
        <v>1.6787738449202581E-2</v>
      </c>
      <c r="AA35" s="1">
        <f t="shared" si="6"/>
        <v>1.6909468569839953E-2</v>
      </c>
    </row>
    <row r="36" spans="1:27" x14ac:dyDescent="0.25">
      <c r="A36" t="s">
        <v>292</v>
      </c>
      <c r="B36">
        <v>10096</v>
      </c>
      <c r="C36">
        <v>466.1</v>
      </c>
      <c r="D36">
        <v>4679</v>
      </c>
      <c r="E36">
        <v>15241.3</v>
      </c>
      <c r="F36">
        <f>B87+B85+B83</f>
        <v>16030</v>
      </c>
      <c r="G36">
        <f t="shared" si="0"/>
        <v>4549</v>
      </c>
      <c r="H36">
        <f t="shared" si="7"/>
        <v>2320</v>
      </c>
      <c r="J36" s="1">
        <f t="shared" si="1"/>
        <v>4.2382771504135004E-2</v>
      </c>
      <c r="K36" s="1">
        <f t="shared" si="1"/>
        <v>3.1615218172815387E-2</v>
      </c>
      <c r="L36" s="1">
        <f t="shared" si="1"/>
        <v>1.9306628375255826E-2</v>
      </c>
      <c r="M36" s="1">
        <f t="shared" si="1"/>
        <v>6.7167293552005056E-2</v>
      </c>
      <c r="N36" s="1">
        <f t="shared" si="2"/>
        <v>7.1670645885309081E-2</v>
      </c>
      <c r="O36" s="1">
        <f t="shared" si="3"/>
        <v>2.3583511760649909E-2</v>
      </c>
      <c r="P36" s="1">
        <f t="shared" si="4"/>
        <v>1.133814552900757E-2</v>
      </c>
      <c r="Q36" s="1">
        <v>3.6900000000000002E-2</v>
      </c>
      <c r="V36" t="str">
        <f t="shared" si="8"/>
        <v>Others</v>
      </c>
      <c r="W36" s="110">
        <f t="shared" si="9"/>
        <v>3.799552684739723E-2</v>
      </c>
      <c r="X36" s="110">
        <f t="shared" si="10"/>
        <v>0.13857426101426118</v>
      </c>
      <c r="Y36" s="19">
        <f t="shared" si="11"/>
        <v>22852.83391449468</v>
      </c>
      <c r="Z36" s="1">
        <f t="shared" si="5"/>
        <v>7.619774094045588E-2</v>
      </c>
      <c r="AA36" s="1">
        <f t="shared" si="6"/>
        <v>7.675026087785207E-2</v>
      </c>
    </row>
    <row r="37" spans="1:27" x14ac:dyDescent="0.25">
      <c r="A37" t="s">
        <v>14</v>
      </c>
      <c r="B37">
        <f t="shared" ref="B37:G37" si="12">SUM(B30:B36)</f>
        <v>238210</v>
      </c>
      <c r="C37">
        <f t="shared" si="12"/>
        <v>14742.900000000001</v>
      </c>
      <c r="D37">
        <f t="shared" si="12"/>
        <v>242352</v>
      </c>
      <c r="E37">
        <f t="shared" si="12"/>
        <v>226915.49999999994</v>
      </c>
      <c r="F37">
        <f t="shared" si="12"/>
        <v>223662</v>
      </c>
      <c r="G37">
        <f t="shared" si="12"/>
        <v>192889</v>
      </c>
      <c r="H37">
        <f t="shared" si="7"/>
        <v>204619</v>
      </c>
      <c r="J37" s="1">
        <f t="shared" si="1"/>
        <v>1</v>
      </c>
      <c r="K37" s="1">
        <f t="shared" si="1"/>
        <v>1</v>
      </c>
      <c r="L37" s="1">
        <f t="shared" si="1"/>
        <v>1</v>
      </c>
      <c r="M37" s="1">
        <f t="shared" si="1"/>
        <v>1</v>
      </c>
      <c r="N37" s="1">
        <f t="shared" si="2"/>
        <v>1</v>
      </c>
      <c r="O37" s="1">
        <f t="shared" si="3"/>
        <v>1</v>
      </c>
      <c r="P37" s="1">
        <f t="shared" si="4"/>
        <v>1</v>
      </c>
      <c r="Q37" s="1">
        <f>SUM(Q30:Q36)</f>
        <v>1</v>
      </c>
      <c r="V37" t="s">
        <v>14</v>
      </c>
      <c r="W37" s="1">
        <f>SUM(W29:W36)</f>
        <v>1</v>
      </c>
      <c r="X37" s="1">
        <f>SUM(X29:X36)</f>
        <v>0.99999999999999989</v>
      </c>
      <c r="Y37" s="19">
        <f>SUM(Y29:Y36)</f>
        <v>299914.8482938995</v>
      </c>
      <c r="Z37" s="110">
        <f>SUM(Z29:Z36)</f>
        <v>1</v>
      </c>
      <c r="AA37" s="110">
        <f>SUM(AA29:AA36)</f>
        <v>1</v>
      </c>
    </row>
    <row r="38" spans="1:27" x14ac:dyDescent="0.25">
      <c r="A38" s="109" t="s">
        <v>294</v>
      </c>
    </row>
    <row r="39" spans="1:27" x14ac:dyDescent="0.25">
      <c r="A39" t="s">
        <v>287</v>
      </c>
      <c r="B39">
        <v>11942</v>
      </c>
      <c r="C39">
        <v>215.8</v>
      </c>
      <c r="D39">
        <v>131387</v>
      </c>
      <c r="E39">
        <v>94101.3</v>
      </c>
      <c r="J39" s="1">
        <f t="shared" ref="J39:J45" si="13">B39/B$46</f>
        <v>9.045667669047637E-2</v>
      </c>
      <c r="K39" s="1">
        <f t="shared" ref="K39:K46" si="14">C39/C$46</f>
        <v>1.8135063363474407E-2</v>
      </c>
      <c r="L39" s="1">
        <f t="shared" ref="L39:L46" si="15">D39/D$46</f>
        <v>0.66156263060105436</v>
      </c>
      <c r="M39" s="1">
        <f t="shared" ref="M39:M46" si="16">E39/E$46</f>
        <v>0.86240006011972625</v>
      </c>
      <c r="R39" s="112">
        <f t="shared" ref="R39:R45" si="17">B39/B$55</f>
        <v>3.2255712005272413E-2</v>
      </c>
      <c r="S39" s="112">
        <f t="shared" ref="S39:S46" si="18">C39/C$55</f>
        <v>8.0998404804353968E-3</v>
      </c>
      <c r="T39" s="112">
        <f t="shared" ref="T39:T46" si="19">D39/D$55</f>
        <v>0.29796146074524948</v>
      </c>
      <c r="U39" s="112">
        <f t="shared" ref="U39:U46" si="20">E39/E$55</f>
        <v>0.28003747272201895</v>
      </c>
    </row>
    <row r="40" spans="1:27" x14ac:dyDescent="0.25">
      <c r="A40" t="s">
        <v>288</v>
      </c>
      <c r="B40">
        <v>1806</v>
      </c>
      <c r="C40">
        <v>748.1</v>
      </c>
      <c r="D40">
        <v>13327</v>
      </c>
      <c r="E40">
        <v>177</v>
      </c>
      <c r="J40" s="1">
        <f t="shared" si="13"/>
        <v>1.3679849112627727E-2</v>
      </c>
      <c r="K40" s="1">
        <f t="shared" si="14"/>
        <v>6.2867659417123273E-2</v>
      </c>
      <c r="L40" s="1">
        <f t="shared" si="15"/>
        <v>6.7104395244736936E-2</v>
      </c>
      <c r="M40" s="1">
        <f t="shared" si="16"/>
        <v>1.622132857263306E-3</v>
      </c>
      <c r="R40" s="112">
        <f t="shared" si="17"/>
        <v>4.8780619562487004E-3</v>
      </c>
      <c r="S40" s="112">
        <f t="shared" si="18"/>
        <v>2.8079196772074697E-2</v>
      </c>
      <c r="T40" s="112">
        <f t="shared" si="19"/>
        <v>3.022317571260429E-2</v>
      </c>
      <c r="U40" s="112">
        <f t="shared" si="20"/>
        <v>5.2673695976354585E-4</v>
      </c>
    </row>
    <row r="41" spans="1:27" x14ac:dyDescent="0.25">
      <c r="A41" t="s">
        <v>289</v>
      </c>
      <c r="B41">
        <v>80668</v>
      </c>
      <c r="C41">
        <v>9612</v>
      </c>
      <c r="D41">
        <v>7169</v>
      </c>
      <c r="E41">
        <v>3352.4</v>
      </c>
      <c r="J41" s="1">
        <f t="shared" si="13"/>
        <v>0.61103326036403849</v>
      </c>
      <c r="K41" s="1">
        <f t="shared" si="14"/>
        <v>0.80775824397458751</v>
      </c>
      <c r="L41" s="1">
        <f t="shared" si="15"/>
        <v>3.6097502026676602E-2</v>
      </c>
      <c r="M41" s="1">
        <f t="shared" si="16"/>
        <v>3.0723379608415296E-2</v>
      </c>
      <c r="R41" s="112">
        <f t="shared" si="17"/>
        <v>0.21788676737910861</v>
      </c>
      <c r="S41" s="112">
        <f t="shared" si="18"/>
        <v>0.36077695411466648</v>
      </c>
      <c r="T41" s="112">
        <f t="shared" si="19"/>
        <v>1.625796853632927E-2</v>
      </c>
      <c r="U41" s="112">
        <f t="shared" si="20"/>
        <v>9.9764575362220956E-3</v>
      </c>
    </row>
    <row r="42" spans="1:27" x14ac:dyDescent="0.25">
      <c r="A42" t="s">
        <v>184</v>
      </c>
      <c r="D42">
        <v>4647</v>
      </c>
      <c r="E42">
        <v>53.3</v>
      </c>
      <c r="J42" s="1">
        <f t="shared" si="13"/>
        <v>0</v>
      </c>
      <c r="K42" s="1">
        <f t="shared" si="14"/>
        <v>0</v>
      </c>
      <c r="L42" s="1">
        <f t="shared" si="15"/>
        <v>2.3398673722690218E-2</v>
      </c>
      <c r="M42" s="1">
        <f t="shared" si="16"/>
        <v>4.8847277566177515E-4</v>
      </c>
      <c r="R42" s="112">
        <f t="shared" si="17"/>
        <v>0</v>
      </c>
      <c r="S42" s="112">
        <f t="shared" si="18"/>
        <v>0</v>
      </c>
      <c r="T42" s="112">
        <f t="shared" si="19"/>
        <v>1.0538538120842812E-2</v>
      </c>
      <c r="U42" s="112">
        <f t="shared" si="20"/>
        <v>1.5861627093444628E-4</v>
      </c>
    </row>
    <row r="43" spans="1:27" x14ac:dyDescent="0.25">
      <c r="A43" t="s">
        <v>290</v>
      </c>
      <c r="B43">
        <v>17207</v>
      </c>
      <c r="C43">
        <v>1320.9</v>
      </c>
      <c r="D43">
        <v>3052</v>
      </c>
      <c r="E43">
        <v>387.7</v>
      </c>
      <c r="J43" s="1">
        <f t="shared" si="13"/>
        <v>0.1303372999341004</v>
      </c>
      <c r="K43" s="1">
        <f t="shared" si="14"/>
        <v>0.11100373121785609</v>
      </c>
      <c r="L43" s="1">
        <f t="shared" si="15"/>
        <v>1.5367495631945458E-2</v>
      </c>
      <c r="M43" s="1">
        <f t="shared" si="16"/>
        <v>3.5531124788756143E-3</v>
      </c>
      <c r="R43" s="112">
        <f t="shared" si="17"/>
        <v>4.6476640133538971E-2</v>
      </c>
      <c r="S43" s="112">
        <f t="shared" si="18"/>
        <v>4.9578680679365689E-2</v>
      </c>
      <c r="T43" s="112">
        <f t="shared" si="19"/>
        <v>6.9213725725871013E-3</v>
      </c>
      <c r="U43" s="112">
        <f t="shared" si="20"/>
        <v>1.1537622559340491E-3</v>
      </c>
    </row>
    <row r="44" spans="1:27" x14ac:dyDescent="0.25">
      <c r="A44" t="s">
        <v>291</v>
      </c>
      <c r="B44">
        <v>6564</v>
      </c>
      <c r="D44">
        <v>3216</v>
      </c>
      <c r="E44">
        <v>473.6</v>
      </c>
      <c r="J44" s="1">
        <f t="shared" si="13"/>
        <v>4.9720116043902772E-2</v>
      </c>
      <c r="K44" s="1">
        <f t="shared" si="14"/>
        <v>0</v>
      </c>
      <c r="L44" s="1">
        <f t="shared" si="15"/>
        <v>1.6193271937200718E-2</v>
      </c>
      <c r="M44" s="1">
        <f t="shared" si="16"/>
        <v>4.3403509672310832E-3</v>
      </c>
      <c r="R44" s="112">
        <f t="shared" si="17"/>
        <v>1.772956737586737E-2</v>
      </c>
      <c r="S44" s="112">
        <f t="shared" si="18"/>
        <v>0</v>
      </c>
      <c r="T44" s="112">
        <f t="shared" si="19"/>
        <v>7.2932942966710736E-3</v>
      </c>
      <c r="U44" s="112">
        <f t="shared" si="20"/>
        <v>1.4093933567458493E-3</v>
      </c>
    </row>
    <row r="45" spans="1:27" x14ac:dyDescent="0.25">
      <c r="A45" t="s">
        <v>292</v>
      </c>
      <c r="B45">
        <v>13832</v>
      </c>
      <c r="C45">
        <v>2.8</v>
      </c>
      <c r="D45">
        <v>35803</v>
      </c>
      <c r="E45">
        <v>10570.3</v>
      </c>
      <c r="J45" s="1">
        <f t="shared" si="13"/>
        <v>0.10477279785485423</v>
      </c>
      <c r="K45" s="1">
        <f t="shared" si="14"/>
        <v>2.3530202695888939E-4</v>
      </c>
      <c r="L45" s="1">
        <f t="shared" si="15"/>
        <v>0.18027603083569568</v>
      </c>
      <c r="M45" s="1">
        <f t="shared" si="16"/>
        <v>9.6872491192826676E-2</v>
      </c>
      <c r="R45" s="112">
        <f t="shared" si="17"/>
        <v>3.7360660564137331E-2</v>
      </c>
      <c r="S45" s="112">
        <f t="shared" si="18"/>
        <v>1.0509524256357324E-4</v>
      </c>
      <c r="T45" s="112">
        <f t="shared" si="19"/>
        <v>8.1194594435234593E-2</v>
      </c>
      <c r="U45" s="112">
        <f t="shared" si="20"/>
        <v>3.1456314608975189E-2</v>
      </c>
    </row>
    <row r="46" spans="1:27" x14ac:dyDescent="0.25">
      <c r="A46" t="s">
        <v>14</v>
      </c>
      <c r="B46">
        <f>SUM(B39:B45)</f>
        <v>132019</v>
      </c>
      <c r="C46">
        <f>SUM(C39:C45)</f>
        <v>11899.599999999999</v>
      </c>
      <c r="D46">
        <f>SUM(D39:D45)</f>
        <v>198601</v>
      </c>
      <c r="E46">
        <f>SUM(E39:E45)</f>
        <v>109115.6</v>
      </c>
      <c r="J46" s="1">
        <f>B46/B$46</f>
        <v>1</v>
      </c>
      <c r="K46" s="1">
        <f t="shared" si="14"/>
        <v>1</v>
      </c>
      <c r="L46" s="1">
        <f t="shared" si="15"/>
        <v>1</v>
      </c>
      <c r="M46" s="1">
        <f t="shared" si="16"/>
        <v>1</v>
      </c>
      <c r="R46" s="112">
        <f>B46/B$55</f>
        <v>0.35658740941417338</v>
      </c>
      <c r="S46" s="112">
        <f t="shared" si="18"/>
        <v>0.44663976728910576</v>
      </c>
      <c r="T46" s="112">
        <f t="shared" si="19"/>
        <v>0.45039040441951861</v>
      </c>
      <c r="U46" s="112">
        <f t="shared" si="20"/>
        <v>0.32471875371059417</v>
      </c>
    </row>
    <row r="47" spans="1:27" x14ac:dyDescent="0.25">
      <c r="A47" s="109" t="s">
        <v>14</v>
      </c>
    </row>
    <row r="48" spans="1:27" x14ac:dyDescent="0.25">
      <c r="A48" t="s">
        <v>287</v>
      </c>
      <c r="B48">
        <f t="shared" ref="B48:B54" si="21">B30+B39</f>
        <v>219667</v>
      </c>
      <c r="C48">
        <f t="shared" ref="C48:C54" si="22">C30+C39</f>
        <v>11810.199999999999</v>
      </c>
      <c r="D48">
        <f t="shared" ref="D48:E54" si="23">D30+D39</f>
        <v>340470</v>
      </c>
      <c r="E48">
        <f t="shared" si="23"/>
        <v>274082.59999999998</v>
      </c>
    </row>
    <row r="49" spans="1:7" x14ac:dyDescent="0.25">
      <c r="A49" t="s">
        <v>288</v>
      </c>
      <c r="B49">
        <f t="shared" si="21"/>
        <v>6809</v>
      </c>
      <c r="C49">
        <f t="shared" si="22"/>
        <v>2035.1999999999998</v>
      </c>
      <c r="D49">
        <f t="shared" si="23"/>
        <v>26444</v>
      </c>
      <c r="E49">
        <f t="shared" si="23"/>
        <v>9334.7999999999993</v>
      </c>
    </row>
    <row r="50" spans="1:7" x14ac:dyDescent="0.25">
      <c r="A50" t="s">
        <v>289</v>
      </c>
      <c r="B50">
        <f t="shared" si="21"/>
        <v>88097</v>
      </c>
      <c r="C50">
        <f t="shared" si="22"/>
        <v>10210.4</v>
      </c>
      <c r="D50">
        <f t="shared" si="23"/>
        <v>13673</v>
      </c>
      <c r="E50">
        <f t="shared" si="23"/>
        <v>10768.8</v>
      </c>
    </row>
    <row r="51" spans="1:7" x14ac:dyDescent="0.25">
      <c r="A51" t="s">
        <v>184</v>
      </c>
      <c r="B51">
        <f t="shared" si="21"/>
        <v>6815</v>
      </c>
      <c r="C51">
        <f t="shared" si="22"/>
        <v>37.200000000000003</v>
      </c>
      <c r="D51">
        <f t="shared" si="23"/>
        <v>10126</v>
      </c>
      <c r="E51">
        <f t="shared" si="23"/>
        <v>7104.8</v>
      </c>
    </row>
    <row r="52" spans="1:7" x14ac:dyDescent="0.25">
      <c r="A52" t="s">
        <v>290</v>
      </c>
      <c r="B52">
        <f t="shared" si="21"/>
        <v>18226</v>
      </c>
      <c r="C52">
        <f t="shared" si="22"/>
        <v>1532</v>
      </c>
      <c r="D52">
        <f t="shared" si="23"/>
        <v>4852</v>
      </c>
      <c r="E52">
        <f t="shared" si="23"/>
        <v>2237.5</v>
      </c>
    </row>
    <row r="53" spans="1:7" x14ac:dyDescent="0.25">
      <c r="A53" t="s">
        <v>291</v>
      </c>
      <c r="B53">
        <f t="shared" si="21"/>
        <v>6687</v>
      </c>
      <c r="C53">
        <f t="shared" si="22"/>
        <v>548.6</v>
      </c>
      <c r="D53">
        <f t="shared" si="23"/>
        <v>4906</v>
      </c>
      <c r="E53">
        <f t="shared" si="23"/>
        <v>6691</v>
      </c>
    </row>
    <row r="54" spans="1:7" x14ac:dyDescent="0.25">
      <c r="A54" t="s">
        <v>292</v>
      </c>
      <c r="B54">
        <f t="shared" si="21"/>
        <v>23928</v>
      </c>
      <c r="C54">
        <f t="shared" si="22"/>
        <v>468.90000000000003</v>
      </c>
      <c r="D54">
        <f t="shared" si="23"/>
        <v>40482</v>
      </c>
      <c r="E54">
        <f t="shared" si="23"/>
        <v>25811.599999999999</v>
      </c>
    </row>
    <row r="55" spans="1:7" x14ac:dyDescent="0.25">
      <c r="A55" t="s">
        <v>14</v>
      </c>
      <c r="B55">
        <f>SUM(B48:B54)</f>
        <v>370229</v>
      </c>
      <c r="C55">
        <f>SUM(C48:C54)</f>
        <v>26642.499999999996</v>
      </c>
      <c r="D55">
        <f>SUM(D48:D54)</f>
        <v>440953</v>
      </c>
      <c r="E55">
        <f>SUM(E48:E54)</f>
        <v>336031.09999999992</v>
      </c>
    </row>
    <row r="58" spans="1:7" x14ac:dyDescent="0.25">
      <c r="A58" t="str">
        <f>G28</f>
        <v>EPD (Metro Rome Line C)</v>
      </c>
    </row>
    <row r="59" spans="1:7" x14ac:dyDescent="0.25">
      <c r="B59" t="s">
        <v>303</v>
      </c>
      <c r="C59" t="s">
        <v>304</v>
      </c>
      <c r="D59" t="s">
        <v>305</v>
      </c>
      <c r="E59" t="s">
        <v>306</v>
      </c>
      <c r="F59" t="s">
        <v>307</v>
      </c>
      <c r="G59" t="s">
        <v>14</v>
      </c>
    </row>
    <row r="60" spans="1:7" x14ac:dyDescent="0.25">
      <c r="A60" t="str">
        <f t="shared" ref="A60:A66" si="24">A30</f>
        <v>Metals</v>
      </c>
      <c r="B60">
        <v>36944</v>
      </c>
      <c r="C60">
        <v>21048</v>
      </c>
      <c r="D60">
        <v>81484</v>
      </c>
      <c r="E60">
        <v>24594</v>
      </c>
      <c r="F60">
        <v>4752</v>
      </c>
      <c r="G60">
        <f t="shared" ref="G60:G66" si="25">SUM(B60:F60)</f>
        <v>168822</v>
      </c>
    </row>
    <row r="61" spans="1:7" x14ac:dyDescent="0.25">
      <c r="A61" t="str">
        <f t="shared" si="24"/>
        <v>Polymers</v>
      </c>
      <c r="B61">
        <v>336</v>
      </c>
      <c r="C61">
        <v>786</v>
      </c>
      <c r="D61">
        <v>28</v>
      </c>
      <c r="E61">
        <v>2133</v>
      </c>
      <c r="F61">
        <v>86</v>
      </c>
      <c r="G61">
        <f t="shared" si="25"/>
        <v>3369</v>
      </c>
    </row>
    <row r="62" spans="1:7" x14ac:dyDescent="0.25">
      <c r="A62" t="str">
        <f t="shared" si="24"/>
        <v>Elastomers</v>
      </c>
      <c r="B62">
        <v>630</v>
      </c>
      <c r="C62">
        <v>2308</v>
      </c>
      <c r="D62">
        <v>3371</v>
      </c>
      <c r="E62">
        <v>1662</v>
      </c>
      <c r="F62">
        <v>81</v>
      </c>
      <c r="G62">
        <f t="shared" si="25"/>
        <v>8052</v>
      </c>
    </row>
    <row r="63" spans="1:7" x14ac:dyDescent="0.25">
      <c r="A63" t="str">
        <f t="shared" si="24"/>
        <v>Glass</v>
      </c>
      <c r="B63">
        <v>12</v>
      </c>
      <c r="C63">
        <v>3542</v>
      </c>
      <c r="D63">
        <v>37</v>
      </c>
      <c r="E63">
        <v>233</v>
      </c>
      <c r="G63">
        <f t="shared" si="25"/>
        <v>3824</v>
      </c>
    </row>
    <row r="64" spans="1:7" x14ac:dyDescent="0.25">
      <c r="A64" t="str">
        <f t="shared" si="24"/>
        <v>Fluids</v>
      </c>
      <c r="B64">
        <v>4</v>
      </c>
      <c r="C64">
        <v>74</v>
      </c>
      <c r="D64">
        <v>124</v>
      </c>
      <c r="E64">
        <v>1342</v>
      </c>
      <c r="F64">
        <v>106</v>
      </c>
      <c r="G64">
        <f t="shared" si="25"/>
        <v>1650</v>
      </c>
    </row>
    <row r="65" spans="1:7" x14ac:dyDescent="0.25">
      <c r="A65" t="str">
        <f t="shared" si="24"/>
        <v>Modified organic natural materials</v>
      </c>
      <c r="C65">
        <v>2604</v>
      </c>
      <c r="D65">
        <v>19</v>
      </c>
      <c r="G65">
        <f t="shared" si="25"/>
        <v>2623</v>
      </c>
    </row>
    <row r="66" spans="1:7" x14ac:dyDescent="0.25">
      <c r="A66" t="str">
        <f t="shared" si="24"/>
        <v>Others</v>
      </c>
      <c r="B66">
        <v>47</v>
      </c>
      <c r="C66">
        <v>2307</v>
      </c>
      <c r="D66">
        <v>242</v>
      </c>
      <c r="E66">
        <v>1937</v>
      </c>
      <c r="F66">
        <v>16</v>
      </c>
      <c r="G66">
        <f t="shared" si="25"/>
        <v>4549</v>
      </c>
    </row>
    <row r="67" spans="1:7" x14ac:dyDescent="0.25">
      <c r="A67" t="s">
        <v>14</v>
      </c>
      <c r="B67">
        <f t="shared" ref="B67:G67" si="26">SUM(B60:B66)</f>
        <v>37973</v>
      </c>
      <c r="C67">
        <f t="shared" si="26"/>
        <v>32669</v>
      </c>
      <c r="D67">
        <f t="shared" si="26"/>
        <v>85305</v>
      </c>
      <c r="E67">
        <f t="shared" si="26"/>
        <v>31901</v>
      </c>
      <c r="F67">
        <f t="shared" si="26"/>
        <v>5041</v>
      </c>
      <c r="G67">
        <f t="shared" si="26"/>
        <v>192889</v>
      </c>
    </row>
    <row r="69" spans="1:7" x14ac:dyDescent="0.25">
      <c r="A69" t="str">
        <f>A14</f>
        <v>Hitachi Caravaggio Train</v>
      </c>
    </row>
    <row r="70" spans="1:7" x14ac:dyDescent="0.25">
      <c r="B70" t="s">
        <v>303</v>
      </c>
      <c r="C70" t="s">
        <v>304</v>
      </c>
      <c r="D70" t="s">
        <v>305</v>
      </c>
      <c r="E70" t="s">
        <v>306</v>
      </c>
      <c r="F70" t="s">
        <v>307</v>
      </c>
      <c r="G70" t="s">
        <v>14</v>
      </c>
    </row>
    <row r="71" spans="1:7" x14ac:dyDescent="0.25">
      <c r="A71" t="str">
        <f t="shared" ref="A71:A77" si="27">A41</f>
        <v>Elastomers</v>
      </c>
      <c r="B71">
        <v>54084</v>
      </c>
      <c r="C71">
        <v>23544</v>
      </c>
      <c r="D71">
        <v>72360</v>
      </c>
      <c r="E71">
        <v>20726</v>
      </c>
      <c r="F71">
        <v>7625</v>
      </c>
      <c r="G71">
        <f t="shared" ref="G71:G77" si="28">SUM(B71:F71)</f>
        <v>178339</v>
      </c>
    </row>
    <row r="72" spans="1:7" x14ac:dyDescent="0.25">
      <c r="A72" t="str">
        <f t="shared" si="27"/>
        <v>Glass</v>
      </c>
      <c r="B72">
        <v>37</v>
      </c>
      <c r="C72">
        <v>5001</v>
      </c>
      <c r="D72">
        <v>200</v>
      </c>
      <c r="E72">
        <v>2331</v>
      </c>
      <c r="F72">
        <v>13</v>
      </c>
      <c r="G72">
        <f t="shared" si="28"/>
        <v>7582</v>
      </c>
    </row>
    <row r="73" spans="1:7" x14ac:dyDescent="0.25">
      <c r="A73" t="str">
        <f t="shared" si="27"/>
        <v>Fluids</v>
      </c>
      <c r="B73">
        <v>33</v>
      </c>
      <c r="C73">
        <v>2825</v>
      </c>
      <c r="D73">
        <v>2341</v>
      </c>
      <c r="E73">
        <v>1474</v>
      </c>
      <c r="F73">
        <v>22</v>
      </c>
      <c r="G73">
        <f t="shared" si="28"/>
        <v>6695</v>
      </c>
    </row>
    <row r="74" spans="1:7" x14ac:dyDescent="0.25">
      <c r="A74" t="str">
        <f t="shared" si="27"/>
        <v>Modified organic natural materials</v>
      </c>
      <c r="C74">
        <v>4307</v>
      </c>
      <c r="D74">
        <v>2</v>
      </c>
      <c r="E74">
        <v>207</v>
      </c>
      <c r="F74">
        <v>0</v>
      </c>
      <c r="G74">
        <f t="shared" si="28"/>
        <v>4516</v>
      </c>
    </row>
    <row r="75" spans="1:7" x14ac:dyDescent="0.25">
      <c r="A75" t="str">
        <f t="shared" si="27"/>
        <v>Others</v>
      </c>
      <c r="B75">
        <v>1</v>
      </c>
      <c r="E75">
        <v>100</v>
      </c>
      <c r="F75">
        <v>59</v>
      </c>
      <c r="G75">
        <f t="shared" si="28"/>
        <v>160</v>
      </c>
    </row>
    <row r="76" spans="1:7" x14ac:dyDescent="0.25">
      <c r="A76" t="str">
        <f t="shared" si="27"/>
        <v>Total</v>
      </c>
      <c r="C76">
        <v>5007</v>
      </c>
      <c r="G76">
        <f t="shared" si="28"/>
        <v>5007</v>
      </c>
    </row>
    <row r="77" spans="1:7" x14ac:dyDescent="0.25">
      <c r="A77" t="str">
        <f t="shared" si="27"/>
        <v>Total</v>
      </c>
      <c r="B77">
        <v>11</v>
      </c>
      <c r="C77">
        <v>1260</v>
      </c>
      <c r="D77">
        <v>461</v>
      </c>
      <c r="E77">
        <v>568</v>
      </c>
      <c r="F77">
        <v>20</v>
      </c>
      <c r="G77">
        <f t="shared" si="28"/>
        <v>2320</v>
      </c>
    </row>
    <row r="78" spans="1:7" x14ac:dyDescent="0.25">
      <c r="A78" t="s">
        <v>14</v>
      </c>
      <c r="B78">
        <f t="shared" ref="B78:G78" si="29">SUM(B71:B77)</f>
        <v>54166</v>
      </c>
      <c r="C78">
        <f t="shared" si="29"/>
        <v>41944</v>
      </c>
      <c r="D78">
        <f t="shared" si="29"/>
        <v>75364</v>
      </c>
      <c r="E78">
        <f t="shared" si="29"/>
        <v>25406</v>
      </c>
      <c r="F78">
        <f t="shared" si="29"/>
        <v>7739</v>
      </c>
      <c r="G78">
        <f t="shared" si="29"/>
        <v>204619</v>
      </c>
    </row>
    <row r="80" spans="1:7" x14ac:dyDescent="0.25">
      <c r="B80" t="str">
        <f>F28</f>
        <v>Metro Oslo</v>
      </c>
    </row>
    <row r="81" spans="1:6" x14ac:dyDescent="0.25">
      <c r="A81" t="s">
        <v>296</v>
      </c>
      <c r="B81">
        <v>121425</v>
      </c>
      <c r="C81" s="1">
        <f>B81/SUM(B81:B82)</f>
        <v>0.78885308524875586</v>
      </c>
      <c r="E81" t="s">
        <v>310</v>
      </c>
    </row>
    <row r="82" spans="1:6" x14ac:dyDescent="0.25">
      <c r="A82" t="s">
        <v>297</v>
      </c>
      <c r="B82">
        <v>32501</v>
      </c>
      <c r="C82" s="110">
        <f>1-C81</f>
        <v>0.21114691475124414</v>
      </c>
      <c r="E82" s="111">
        <f>14/63</f>
        <v>0.22222222222222221</v>
      </c>
      <c r="F82" t="s">
        <v>311</v>
      </c>
    </row>
    <row r="83" spans="1:6" x14ac:dyDescent="0.25">
      <c r="A83" t="s">
        <v>298</v>
      </c>
      <c r="B83">
        <v>2222</v>
      </c>
    </row>
    <row r="84" spans="1:6" x14ac:dyDescent="0.25">
      <c r="A84" t="s">
        <v>299</v>
      </c>
      <c r="B84">
        <v>41565</v>
      </c>
    </row>
    <row r="85" spans="1:6" x14ac:dyDescent="0.25">
      <c r="A85" t="s">
        <v>300</v>
      </c>
      <c r="B85">
        <v>7590</v>
      </c>
    </row>
    <row r="86" spans="1:6" x14ac:dyDescent="0.25">
      <c r="A86" t="s">
        <v>301</v>
      </c>
      <c r="B86">
        <v>12141</v>
      </c>
    </row>
    <row r="87" spans="1:6" x14ac:dyDescent="0.25">
      <c r="A87" t="s">
        <v>302</v>
      </c>
      <c r="B87">
        <v>6218</v>
      </c>
    </row>
    <row r="88" spans="1:6" x14ac:dyDescent="0.25">
      <c r="A88" t="s">
        <v>14</v>
      </c>
      <c r="B88">
        <f>SUM(B81:B87)</f>
        <v>223662</v>
      </c>
    </row>
    <row r="90" spans="1:6" x14ac:dyDescent="0.25">
      <c r="A90" t="str">
        <f>A15</f>
        <v>CAF Metro Helsinki</v>
      </c>
    </row>
    <row r="91" spans="1:6" x14ac:dyDescent="0.25">
      <c r="A91" t="s">
        <v>287</v>
      </c>
      <c r="B91" s="1">
        <f>83.84%</f>
        <v>0.83840000000000003</v>
      </c>
    </row>
    <row r="92" spans="1:6" x14ac:dyDescent="0.25">
      <c r="A92" t="s">
        <v>288</v>
      </c>
      <c r="B92" s="1">
        <f>5.65%</f>
        <v>5.6500000000000002E-2</v>
      </c>
    </row>
    <row r="93" spans="1:6" x14ac:dyDescent="0.25">
      <c r="A93" t="s">
        <v>289</v>
      </c>
      <c r="B93" s="1">
        <f>3.3%</f>
        <v>3.3000000000000002E-2</v>
      </c>
    </row>
    <row r="94" spans="1:6" x14ac:dyDescent="0.25">
      <c r="A94" t="s">
        <v>184</v>
      </c>
      <c r="B94" s="1">
        <v>3.04E-2</v>
      </c>
    </row>
    <row r="95" spans="1:6" x14ac:dyDescent="0.25">
      <c r="A95" t="s">
        <v>290</v>
      </c>
      <c r="B95" s="1">
        <v>3.0000000000000001E-3</v>
      </c>
    </row>
    <row r="96" spans="1:6" x14ac:dyDescent="0.25">
      <c r="A96" t="s">
        <v>291</v>
      </c>
      <c r="B96" s="1">
        <v>1.8E-3</v>
      </c>
    </row>
    <row r="97" spans="1:2" x14ac:dyDescent="0.25">
      <c r="A97" t="s">
        <v>292</v>
      </c>
      <c r="B97" s="1">
        <v>3.6900000000000002E-2</v>
      </c>
    </row>
  </sheetData>
  <hyperlinks>
    <hyperlink ref="A7" r:id="rId1" display="Environmental Produc Declaration for INNOVIA APM 300" xr:uid="{00000000-0004-0000-0B00-000000000000}"/>
    <hyperlink ref="A8" r:id="rId2" xr:uid="{00000000-0004-0000-0B00-000001000000}"/>
    <hyperlink ref="A9" r:id="rId3" display="EPD Metro Rome Line C" xr:uid="{00000000-0004-0000-0B00-000002000000}"/>
    <hyperlink ref="A10" r:id="rId4" display="EPD (Bombarider Azur)" xr:uid="{00000000-0004-0000-0B00-000003000000}"/>
    <hyperlink ref="A11" r:id="rId5" xr:uid="{00000000-0004-0000-0B00-000004000000}"/>
    <hyperlink ref="A12" r:id="rId6" xr:uid="{00000000-0004-0000-0B00-000005000000}"/>
    <hyperlink ref="B20" r:id="rId7" xr:uid="{00000000-0004-0000-0B00-000006000000}"/>
    <hyperlink ref="A13" r:id="rId8" xr:uid="{00000000-0004-0000-0B00-000007000000}"/>
    <hyperlink ref="A14" r:id="rId9" xr:uid="{00000000-0004-0000-0B00-000008000000}"/>
    <hyperlink ref="A15" r:id="rId10" xr:uid="{00000000-0004-0000-0B00-000009000000}"/>
    <hyperlink ref="I6" r:id="rId11" xr:uid="{00000000-0004-0000-0B00-00000A000000}"/>
  </hyperlinks>
  <pageMargins left="0.7" right="0.7" top="0.75" bottom="0.75" header="0.3" footer="0.3"/>
  <pageSetup paperSize="9" orientation="portrait" r:id="rId12"/>
  <legacyDrawing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34998626667073579"/>
  </sheetPr>
  <dimension ref="A4:AD67"/>
  <sheetViews>
    <sheetView workbookViewId="0">
      <selection activeCell="D26" sqref="D26"/>
    </sheetView>
  </sheetViews>
  <sheetFormatPr defaultRowHeight="13.2" x14ac:dyDescent="0.25"/>
  <cols>
    <col min="1" max="1" width="17.21875" bestFit="1" customWidth="1"/>
    <col min="4" max="5" width="8.88671875" customWidth="1"/>
    <col min="16" max="19" width="9"/>
  </cols>
  <sheetData>
    <row r="4" spans="1:30" x14ac:dyDescent="0.25">
      <c r="A4" t="s">
        <v>177</v>
      </c>
    </row>
    <row r="6" spans="1:30" x14ac:dyDescent="0.25">
      <c r="U6">
        <f>Convert!$C$18</f>
        <v>36.072224999999996</v>
      </c>
      <c r="V6" s="52" t="s">
        <v>278</v>
      </c>
    </row>
    <row r="7" spans="1:30" ht="13.8" x14ac:dyDescent="0.3">
      <c r="U7" s="21">
        <f>Tech_Spec_Escoot!F5</f>
        <v>0.453592</v>
      </c>
      <c r="V7" s="21" t="str">
        <f>Tech_Spec_Escoot!G5</f>
        <v>kg/lb</v>
      </c>
    </row>
    <row r="8" spans="1:30" x14ac:dyDescent="0.25">
      <c r="C8" t="s">
        <v>67</v>
      </c>
      <c r="F8" t="s">
        <v>250</v>
      </c>
      <c r="H8" t="s">
        <v>256</v>
      </c>
      <c r="J8" t="s">
        <v>257</v>
      </c>
      <c r="K8" t="s">
        <v>21</v>
      </c>
      <c r="M8" t="s">
        <v>253</v>
      </c>
      <c r="N8" t="s">
        <v>254</v>
      </c>
      <c r="O8" t="s">
        <v>255</v>
      </c>
      <c r="P8" t="s">
        <v>1243</v>
      </c>
      <c r="Q8" t="s">
        <v>1188</v>
      </c>
      <c r="R8" t="s">
        <v>1244</v>
      </c>
      <c r="S8" t="s">
        <v>1245</v>
      </c>
    </row>
    <row r="9" spans="1:30" x14ac:dyDescent="0.25">
      <c r="A9" t="s">
        <v>16</v>
      </c>
      <c r="B9" t="s">
        <v>17</v>
      </c>
      <c r="C9" s="97">
        <v>6303</v>
      </c>
      <c r="F9" s="102">
        <f>C9/SUM(C$9,C$14,C$16)*$W$10</f>
        <v>8768.2304282839305</v>
      </c>
      <c r="H9" s="19">
        <f>C9*$Y$10/$W$10</f>
        <v>2882.9062500000009</v>
      </c>
      <c r="I9" s="19"/>
      <c r="J9" s="19">
        <f>C9-H9</f>
        <v>3420.0937499999991</v>
      </c>
      <c r="K9" s="19">
        <f>ROUND(K23*B33,0)</f>
        <v>61</v>
      </c>
      <c r="L9" s="19"/>
      <c r="M9">
        <f>C9</f>
        <v>6303</v>
      </c>
      <c r="N9">
        <f>M9</f>
        <v>6303</v>
      </c>
      <c r="O9" s="416">
        <f>($N9-$J$9)/($N$23-$J$9-$N$15-$N$19-$N$10)*($O$23-$O$15-$O$19-$O$10)</f>
        <v>5667.5284670205683</v>
      </c>
      <c r="P9" s="416">
        <f>Q9+R9</f>
        <v>5929.5342548154567</v>
      </c>
      <c r="Q9" s="416">
        <f>O9</f>
        <v>5667.5284670205683</v>
      </c>
      <c r="R9" s="416">
        <f>S9*$Q$37/$Q$34</f>
        <v>262.00578779488887</v>
      </c>
      <c r="S9" s="416">
        <f>'1_Manufacturing'!CX$3*('1_Manufacturing'!CX8+'1_Manufacturing'!CX9)-'1_Manufacturing'!CS$3*('1_Manufacturing'!CS8+'1_Manufacturing'!CS9)</f>
        <v>131.00289389744444</v>
      </c>
      <c r="T9" t="str">
        <f>'1_Manufacturing'!A8</f>
        <v xml:space="preserve">   Steel</v>
      </c>
      <c r="U9" s="86" t="s">
        <v>186</v>
      </c>
      <c r="W9" s="97">
        <f>C9+C14+Y9</f>
        <v>8078</v>
      </c>
      <c r="X9" t="s">
        <v>245</v>
      </c>
      <c r="Y9" s="97">
        <v>1666</v>
      </c>
      <c r="Z9" t="s">
        <v>15</v>
      </c>
    </row>
    <row r="10" spans="1:30" x14ac:dyDescent="0.25">
      <c r="A10" t="s">
        <v>178</v>
      </c>
      <c r="B10" t="s">
        <v>17</v>
      </c>
      <c r="C10" s="97">
        <v>553</v>
      </c>
      <c r="F10" s="99">
        <f>F23*0.17</f>
        <v>2409.92</v>
      </c>
      <c r="G10" t="s">
        <v>246</v>
      </c>
      <c r="H10">
        <f>C10+C20</f>
        <v>949</v>
      </c>
      <c r="M10">
        <f>H10</f>
        <v>949</v>
      </c>
      <c r="N10">
        <f>M10</f>
        <v>949</v>
      </c>
      <c r="O10" s="82">
        <f>N10</f>
        <v>949</v>
      </c>
      <c r="P10" s="416">
        <f>Q10+R10</f>
        <v>999.96622987414457</v>
      </c>
      <c r="Q10" s="416">
        <f>O10</f>
        <v>949</v>
      </c>
      <c r="R10" s="416">
        <f>S10*$Q$37/$Q$34</f>
        <v>50.966229874144574</v>
      </c>
      <c r="S10" s="416">
        <f>'1_Manufacturing'!CX$3*'1_Manufacturing'!CX15-'1_Manufacturing'!CS$3*'1_Manufacturing'!CS15</f>
        <v>25.483114937072287</v>
      </c>
      <c r="T10" t="str">
        <f>'1_Manufacturing'!A15</f>
        <v xml:space="preserve">   Plastics (polycarbonate)</v>
      </c>
      <c r="U10" s="101" t="s">
        <v>244</v>
      </c>
      <c r="W10" s="99">
        <f>F23*0.704</f>
        <v>9979.9039999999986</v>
      </c>
      <c r="X10" t="s">
        <v>245</v>
      </c>
      <c r="Y10" s="99">
        <f>F23*0.322</f>
        <v>4564.6720000000005</v>
      </c>
      <c r="Z10" t="s">
        <v>252</v>
      </c>
    </row>
    <row r="11" spans="1:30" x14ac:dyDescent="0.25">
      <c r="A11" t="s">
        <v>179</v>
      </c>
      <c r="B11" t="s">
        <v>17</v>
      </c>
      <c r="C11" s="97">
        <v>90</v>
      </c>
      <c r="M11">
        <f>C11</f>
        <v>90</v>
      </c>
      <c r="R11" s="416"/>
      <c r="S11" s="416"/>
      <c r="U11" s="98" t="s">
        <v>243</v>
      </c>
    </row>
    <row r="12" spans="1:30" x14ac:dyDescent="0.25">
      <c r="A12" t="s">
        <v>180</v>
      </c>
      <c r="B12" t="s">
        <v>17</v>
      </c>
      <c r="C12" s="97"/>
      <c r="R12" s="416"/>
      <c r="U12" s="12" t="s">
        <v>259</v>
      </c>
      <c r="W12" s="13" t="s">
        <v>258</v>
      </c>
    </row>
    <row r="13" spans="1:30" x14ac:dyDescent="0.25">
      <c r="A13" t="s">
        <v>181</v>
      </c>
      <c r="B13" t="s">
        <v>17</v>
      </c>
      <c r="C13" s="97">
        <v>78</v>
      </c>
      <c r="F13" s="99">
        <f>F23*0.007</f>
        <v>99.231999999999999</v>
      </c>
      <c r="G13" t="s">
        <v>249</v>
      </c>
      <c r="M13">
        <f>C13</f>
        <v>78</v>
      </c>
      <c r="R13" s="416"/>
      <c r="U13" s="6" t="s">
        <v>260</v>
      </c>
      <c r="W13" s="105">
        <v>85</v>
      </c>
      <c r="X13" t="s">
        <v>17</v>
      </c>
      <c r="Z13" s="105">
        <v>150</v>
      </c>
      <c r="AA13" t="s">
        <v>261</v>
      </c>
    </row>
    <row r="14" spans="1:30" x14ac:dyDescent="0.25">
      <c r="A14" t="s">
        <v>22</v>
      </c>
      <c r="B14" t="s">
        <v>17</v>
      </c>
      <c r="C14" s="97">
        <v>109</v>
      </c>
      <c r="F14" s="102">
        <f>C14/SUM(C$9,C$14,C$16)*$W$10</f>
        <v>151.63209847421047</v>
      </c>
      <c r="H14" s="19">
        <f>C14*$Y$10/$W$10</f>
        <v>49.855113636363654</v>
      </c>
      <c r="J14" s="19">
        <f>C14-H14</f>
        <v>59.144886363636346</v>
      </c>
      <c r="K14" s="19">
        <f>K23-K17-K9</f>
        <v>48</v>
      </c>
      <c r="M14">
        <f>C14</f>
        <v>109</v>
      </c>
      <c r="N14">
        <f>M14</f>
        <v>109</v>
      </c>
      <c r="O14" s="416">
        <f>($N14)/($N$23-$J$9-$N$15-$N$19-$N$10)*($O$23-$O$15-$O$19-$O$10)</f>
        <v>214.28397226071496</v>
      </c>
      <c r="P14" s="416">
        <f>Q14+R14</f>
        <v>281.51992477553034</v>
      </c>
      <c r="Q14" s="416">
        <f>O14</f>
        <v>214.28397226071496</v>
      </c>
      <c r="R14" s="416">
        <f>S14*$Q$37/$Q$34</f>
        <v>67.235952514815366</v>
      </c>
      <c r="S14" s="416">
        <f>'1_Manufacturing'!CX$3*'1_Manufacturing'!CX13-'1_Manufacturing'!CS$3*'1_Manufacturing'!CS13</f>
        <v>33.617976257407683</v>
      </c>
      <c r="T14" t="str">
        <f>'1_Manufacturing'!A13</f>
        <v xml:space="preserve">   Copper/Brass</v>
      </c>
      <c r="U14" s="76" t="s">
        <v>266</v>
      </c>
      <c r="W14" s="10">
        <v>300</v>
      </c>
      <c r="X14" t="s">
        <v>261</v>
      </c>
      <c r="Z14" s="10">
        <f>Z13</f>
        <v>150</v>
      </c>
      <c r="AA14" t="str">
        <f>AA13</f>
        <v>kW</v>
      </c>
      <c r="AC14" s="10">
        <v>2</v>
      </c>
      <c r="AD14" t="s">
        <v>267</v>
      </c>
    </row>
    <row r="15" spans="1:30" x14ac:dyDescent="0.25">
      <c r="A15" t="s">
        <v>182</v>
      </c>
      <c r="B15" t="s">
        <v>17</v>
      </c>
      <c r="C15" s="97">
        <v>405</v>
      </c>
      <c r="F15" s="99">
        <f>F23*0.033</f>
        <v>467.80800000000005</v>
      </c>
      <c r="G15" t="s">
        <v>247</v>
      </c>
      <c r="H15">
        <f>C15</f>
        <v>405</v>
      </c>
      <c r="M15" s="19">
        <f>C15</f>
        <v>405</v>
      </c>
      <c r="N15" s="19">
        <f>M15</f>
        <v>405</v>
      </c>
      <c r="O15" s="82">
        <f>N15</f>
        <v>405</v>
      </c>
      <c r="P15" s="416">
        <f>Q15+R15</f>
        <v>413.26751851878811</v>
      </c>
      <c r="Q15" s="416">
        <f>O15</f>
        <v>405</v>
      </c>
      <c r="R15" s="416">
        <f>S15*$Q$37/$Q$34</f>
        <v>8.2675185187881084</v>
      </c>
      <c r="S15" s="416">
        <f>'1_Manufacturing'!CX$3*'1_Manufacturing'!CX17-'1_Manufacturing'!CS$3*'1_Manufacturing'!CS17</f>
        <v>4.1337592593940542</v>
      </c>
      <c r="T15" t="str">
        <f>'1_Manufacturing'!A17</f>
        <v xml:space="preserve">   Rubber</v>
      </c>
      <c r="U15" s="14" t="s">
        <v>270</v>
      </c>
      <c r="W15" s="15">
        <v>324</v>
      </c>
      <c r="X15" t="s">
        <v>30</v>
      </c>
      <c r="Z15" s="15">
        <v>1.29</v>
      </c>
      <c r="AA15" t="s">
        <v>2</v>
      </c>
      <c r="AB15" t="s">
        <v>271</v>
      </c>
    </row>
    <row r="16" spans="1:30" x14ac:dyDescent="0.25">
      <c r="A16" t="s">
        <v>263</v>
      </c>
      <c r="B16" t="s">
        <v>17</v>
      </c>
      <c r="C16" s="106">
        <f>Y9-J17</f>
        <v>762.00568181818198</v>
      </c>
      <c r="F16" s="102">
        <f>C16/SUM(C$9,C$14,C$16)*$W$10</f>
        <v>1060.0414732418574</v>
      </c>
      <c r="H16" s="19">
        <f>Y9*$Y$10/$W$10</f>
        <v>762.00568181818198</v>
      </c>
      <c r="M16" s="19">
        <f>C16</f>
        <v>762.00568181818198</v>
      </c>
      <c r="N16" s="19">
        <f>M16</f>
        <v>762.00568181818198</v>
      </c>
      <c r="O16" s="416">
        <f>($N16)/($N$23-$J$9-$N$15-$N$19-$N$10)*($O$23-$O$15-$O$19-$O$10)</f>
        <v>1498.0330677544448</v>
      </c>
      <c r="P16" s="416">
        <f>Q16+R16</f>
        <v>1529.1093394494333</v>
      </c>
      <c r="Q16" s="416">
        <f>O16</f>
        <v>1498.0330677544448</v>
      </c>
      <c r="R16" s="416">
        <f>S16*$Q$37/$Q$34</f>
        <v>31.076271694988399</v>
      </c>
      <c r="S16" s="416">
        <f>'1_Manufacturing'!CX$3*'1_Manufacturing'!CX11-'1_Manufacturing'!CS$3*'1_Manufacturing'!CS11</f>
        <v>15.5381358474942</v>
      </c>
      <c r="T16" t="str">
        <f>'1_Manufacturing'!A11</f>
        <v xml:space="preserve">   Wrought Aluminum</v>
      </c>
      <c r="Z16" s="15">
        <v>1.41</v>
      </c>
      <c r="AA16" t="s">
        <v>2</v>
      </c>
      <c r="AB16" t="s">
        <v>272</v>
      </c>
    </row>
    <row r="17" spans="1:28" x14ac:dyDescent="0.25">
      <c r="A17" t="s">
        <v>149</v>
      </c>
      <c r="C17" s="106">
        <f>J17</f>
        <v>903.99431818181802</v>
      </c>
      <c r="F17" s="102"/>
      <c r="H17" s="19"/>
      <c r="J17" s="19">
        <f>Y9-H16</f>
        <v>903.99431818181802</v>
      </c>
      <c r="K17" s="19">
        <f>ROUND(K23*B35,0)</f>
        <v>61</v>
      </c>
      <c r="M17" s="19">
        <f>C17</f>
        <v>903.99431818181802</v>
      </c>
      <c r="N17" s="19">
        <f>M17</f>
        <v>903.99431818181802</v>
      </c>
      <c r="O17" s="416">
        <f>($N17)/($N$23-$J$9-$N$15-$N$19-$N$10)*($O$23-$O$15-$O$19-$O$10)</f>
        <v>1777.1696642304275</v>
      </c>
      <c r="P17" s="416">
        <f>Q17+R17</f>
        <v>1777.1957535540162</v>
      </c>
      <c r="Q17" s="416">
        <f>O17</f>
        <v>1777.1696642304275</v>
      </c>
      <c r="R17" s="416">
        <f>S17*$Q$37/$Q$34</f>
        <v>2.6089323588706748E-2</v>
      </c>
      <c r="S17" s="416">
        <f>'1_Manufacturing'!CX$3*'1_Manufacturing'!CX12-'1_Manufacturing'!CS$3*'1_Manufacturing'!CS12</f>
        <v>1.3044661794353374E-2</v>
      </c>
      <c r="T17" t="str">
        <f>'1_Manufacturing'!A12</f>
        <v xml:space="preserve">   Cast Aluminum</v>
      </c>
      <c r="Z17" s="15">
        <v>0.8</v>
      </c>
      <c r="AA17" t="s">
        <v>2</v>
      </c>
      <c r="AB17" t="s">
        <v>273</v>
      </c>
    </row>
    <row r="18" spans="1:28" x14ac:dyDescent="0.25">
      <c r="A18" t="s">
        <v>183</v>
      </c>
      <c r="B18" t="s">
        <v>17</v>
      </c>
      <c r="C18" s="97"/>
      <c r="R18" s="416"/>
      <c r="U18" s="17" t="s">
        <v>274</v>
      </c>
      <c r="W18" s="107">
        <v>19</v>
      </c>
      <c r="X18" t="s">
        <v>30</v>
      </c>
    </row>
    <row r="19" spans="1:28" x14ac:dyDescent="0.25">
      <c r="A19" t="s">
        <v>184</v>
      </c>
      <c r="B19" t="s">
        <v>17</v>
      </c>
      <c r="C19" s="97">
        <v>490</v>
      </c>
      <c r="F19" s="99">
        <f>F23*0.028</f>
        <v>396.928</v>
      </c>
      <c r="G19" t="s">
        <v>248</v>
      </c>
      <c r="H19">
        <f>C19</f>
        <v>490</v>
      </c>
      <c r="M19">
        <f>C19</f>
        <v>490</v>
      </c>
      <c r="N19">
        <f>M19</f>
        <v>490</v>
      </c>
      <c r="O19" s="82">
        <f>N19</f>
        <v>490</v>
      </c>
      <c r="P19" s="416">
        <f>Q19+R19</f>
        <v>497.06790520892883</v>
      </c>
      <c r="Q19" s="416">
        <f>O19</f>
        <v>490</v>
      </c>
      <c r="R19" s="416">
        <f>S19*$Q$37/$Q$34</f>
        <v>7.0679052089288348</v>
      </c>
      <c r="S19" s="416">
        <f>'1_Manufacturing'!CX$3*'1_Manufacturing'!CX14-'1_Manufacturing'!CS$3*'1_Manufacturing'!CS14</f>
        <v>3.5339526044644174</v>
      </c>
      <c r="T19" t="str">
        <f>'1_Manufacturing'!A14</f>
        <v xml:space="preserve">   Glass</v>
      </c>
      <c r="U19" s="17" t="s">
        <v>280</v>
      </c>
      <c r="W19" s="16">
        <v>38</v>
      </c>
      <c r="X19" t="s">
        <v>276</v>
      </c>
      <c r="Y19" t="s">
        <v>281</v>
      </c>
    </row>
    <row r="20" spans="1:28" x14ac:dyDescent="0.25">
      <c r="A20" t="s">
        <v>185</v>
      </c>
      <c r="B20" t="s">
        <v>17</v>
      </c>
      <c r="C20" s="97">
        <v>396</v>
      </c>
      <c r="R20" s="416"/>
      <c r="S20" s="416"/>
    </row>
    <row r="21" spans="1:28" x14ac:dyDescent="0.25">
      <c r="A21" t="s">
        <v>20</v>
      </c>
      <c r="B21" t="s">
        <v>17</v>
      </c>
      <c r="C21" s="97">
        <v>308</v>
      </c>
      <c r="H21">
        <f>C21</f>
        <v>308</v>
      </c>
      <c r="M21">
        <f>C21</f>
        <v>308</v>
      </c>
      <c r="N21">
        <f>M21</f>
        <v>308</v>
      </c>
      <c r="O21" s="416">
        <f>($N21)/($N$23-$J$9-$N$15-$N$19-$N$10)*($O$23-$O$15-$O$19-$O$10)</f>
        <v>605.49966473669906</v>
      </c>
      <c r="P21" s="416">
        <f>Q21+R21</f>
        <v>686.59748825290637</v>
      </c>
      <c r="Q21" s="416">
        <f>O21</f>
        <v>605.49966473669906</v>
      </c>
      <c r="R21" s="416">
        <f>S21*$Q$37/$Q$34</f>
        <v>81.097823516207342</v>
      </c>
      <c r="S21" s="416">
        <f>'1_Manufacturing'!CX$3*'1_Manufacturing'!CX18-'1_Manufacturing'!CS$3*'1_Manufacturing'!CS18</f>
        <v>40.548911758103671</v>
      </c>
      <c r="T21" t="str">
        <f>'1_Manufacturing'!A18</f>
        <v xml:space="preserve">   Others</v>
      </c>
    </row>
    <row r="22" spans="1:28" x14ac:dyDescent="0.25">
      <c r="R22" s="416"/>
      <c r="S22" s="416"/>
    </row>
    <row r="23" spans="1:28" x14ac:dyDescent="0.25">
      <c r="A23" t="s">
        <v>200</v>
      </c>
      <c r="B23" t="s">
        <v>17</v>
      </c>
      <c r="C23">
        <f>SUM(C9:C21)</f>
        <v>10398</v>
      </c>
      <c r="D23" s="103">
        <f>22500*U7</f>
        <v>10205.82</v>
      </c>
      <c r="E23" s="104">
        <v>9000</v>
      </c>
      <c r="F23" s="100">
        <v>14176</v>
      </c>
      <c r="J23" s="19">
        <f>SUM(J9:J21)</f>
        <v>4383.232954545454</v>
      </c>
      <c r="K23">
        <f>W13*AC14</f>
        <v>170</v>
      </c>
      <c r="M23">
        <f>SUM(M9:M21)</f>
        <v>10398</v>
      </c>
      <c r="N23">
        <f>SUM(N9:N21)</f>
        <v>10230</v>
      </c>
      <c r="O23" s="19">
        <f>O31</f>
        <v>11606.514836002854</v>
      </c>
      <c r="P23" s="416">
        <f>Q23+R23</f>
        <v>12114.258414449205</v>
      </c>
      <c r="Q23" s="416">
        <f>O23</f>
        <v>11606.514836002854</v>
      </c>
      <c r="R23" s="416">
        <f>SUM(R9:R21)</f>
        <v>507.74357844635028</v>
      </c>
      <c r="S23" s="416">
        <f>SUM(S9:S21)</f>
        <v>253.87178922317514</v>
      </c>
    </row>
    <row r="24" spans="1:28" x14ac:dyDescent="0.25">
      <c r="N24" s="496" t="s">
        <v>151</v>
      </c>
      <c r="O24" s="495">
        <f>SUM(O9:O21)</f>
        <v>11606.514836002854</v>
      </c>
    </row>
    <row r="25" spans="1:28" x14ac:dyDescent="0.25">
      <c r="A25" t="s">
        <v>241</v>
      </c>
      <c r="B25" t="s">
        <v>242</v>
      </c>
      <c r="D25" s="100">
        <v>12</v>
      </c>
      <c r="S25" s="416"/>
    </row>
    <row r="26" spans="1:28" x14ac:dyDescent="0.25">
      <c r="B26" t="s">
        <v>242</v>
      </c>
      <c r="D26" s="609">
        <v>9</v>
      </c>
      <c r="E26" s="610" t="s">
        <v>1397</v>
      </c>
      <c r="F26" s="609"/>
      <c r="G26" s="609"/>
      <c r="H26" s="609"/>
      <c r="I26" s="609"/>
      <c r="J26" s="609"/>
      <c r="S26" s="416"/>
    </row>
    <row r="27" spans="1:28" x14ac:dyDescent="0.25">
      <c r="N27" t="s">
        <v>1142</v>
      </c>
      <c r="O27" s="414">
        <f>31750/Convert!B4</f>
        <v>14401.705524811756</v>
      </c>
      <c r="W27" s="415" t="s">
        <v>266</v>
      </c>
    </row>
    <row r="28" spans="1:28" x14ac:dyDescent="0.25">
      <c r="A28" t="s">
        <v>251</v>
      </c>
      <c r="B28" t="s">
        <v>115</v>
      </c>
      <c r="D28" s="103">
        <f>ROUND(44000*Tech_Spec_Escoot!F6,-4)</f>
        <v>70000</v>
      </c>
      <c r="E28" s="19"/>
    </row>
    <row r="29" spans="1:28" x14ac:dyDescent="0.25">
      <c r="N29" t="s">
        <v>123</v>
      </c>
      <c r="O29" s="15">
        <f>C40/'1_Manufacturing'!EK29</f>
        <v>2795.1906888089015</v>
      </c>
    </row>
    <row r="31" spans="1:28" x14ac:dyDescent="0.25">
      <c r="A31" t="s">
        <v>21</v>
      </c>
      <c r="N31" t="s">
        <v>1143</v>
      </c>
      <c r="O31">
        <f>O27-O29</f>
        <v>11606.514836002854</v>
      </c>
    </row>
    <row r="32" spans="1:28" x14ac:dyDescent="0.25">
      <c r="B32" t="s">
        <v>3</v>
      </c>
    </row>
    <row r="33" spans="1:21" x14ac:dyDescent="0.25">
      <c r="A33" t="s">
        <v>16</v>
      </c>
      <c r="B33" s="63">
        <f>[5]Car!$S$188</f>
        <v>0.36099999999999999</v>
      </c>
      <c r="D33" s="64" t="s">
        <v>148</v>
      </c>
      <c r="O33" s="497" t="s">
        <v>1189</v>
      </c>
      <c r="P33" t="s">
        <v>17</v>
      </c>
    </row>
    <row r="34" spans="1:21" x14ac:dyDescent="0.25">
      <c r="A34" t="s">
        <v>22</v>
      </c>
      <c r="B34" s="63">
        <f>[5]Car!$S$191</f>
        <v>0.27800000000000002</v>
      </c>
      <c r="P34" t="s">
        <v>261</v>
      </c>
      <c r="Q34">
        <v>100</v>
      </c>
    </row>
    <row r="35" spans="1:21" x14ac:dyDescent="0.25">
      <c r="A35" t="s">
        <v>149</v>
      </c>
      <c r="B35" s="63">
        <f>[5]Car!$S$190</f>
        <v>0.36099999999999999</v>
      </c>
    </row>
    <row r="36" spans="1:21" x14ac:dyDescent="0.25">
      <c r="O36" s="497" t="s">
        <v>1190</v>
      </c>
      <c r="P36" t="s">
        <v>17</v>
      </c>
    </row>
    <row r="37" spans="1:21" x14ac:dyDescent="0.25">
      <c r="A37" t="s">
        <v>268</v>
      </c>
      <c r="P37" t="s">
        <v>261</v>
      </c>
      <c r="Q37">
        <v>200</v>
      </c>
      <c r="U37" s="17" t="s">
        <v>1191</v>
      </c>
    </row>
    <row r="39" spans="1:21" x14ac:dyDescent="0.25">
      <c r="C39" t="str">
        <f>O8</f>
        <v>BEV bus</v>
      </c>
      <c r="D39" t="s">
        <v>254</v>
      </c>
      <c r="E39" t="s">
        <v>253</v>
      </c>
    </row>
    <row r="40" spans="1:21" x14ac:dyDescent="0.25">
      <c r="A40" t="s">
        <v>269</v>
      </c>
      <c r="B40" t="s">
        <v>30</v>
      </c>
      <c r="C40" s="15">
        <f>W15</f>
        <v>324</v>
      </c>
      <c r="D40" s="107">
        <f>W18</f>
        <v>19</v>
      </c>
    </row>
    <row r="41" spans="1:21" x14ac:dyDescent="0.25">
      <c r="A41" t="s">
        <v>275</v>
      </c>
      <c r="B41" t="s">
        <v>2</v>
      </c>
      <c r="C41" s="108">
        <f>Z16*0.7+Z15*0.3</f>
        <v>1.3739999999999999</v>
      </c>
    </row>
    <row r="42" spans="1:21" x14ac:dyDescent="0.25">
      <c r="B42" t="s">
        <v>277</v>
      </c>
      <c r="E42" s="16">
        <f>W19</f>
        <v>38</v>
      </c>
    </row>
    <row r="43" spans="1:21" x14ac:dyDescent="0.25">
      <c r="B43" t="s">
        <v>279</v>
      </c>
      <c r="C43" s="3">
        <f>C41*Tech_Spec_Escoot!F9</f>
        <v>4.9463999999999997</v>
      </c>
      <c r="E43" s="3">
        <f>E42*U6/100</f>
        <v>13.707445499999999</v>
      </c>
    </row>
    <row r="44" spans="1:21" x14ac:dyDescent="0.25">
      <c r="A44" t="s">
        <v>282</v>
      </c>
      <c r="B44" t="s">
        <v>2</v>
      </c>
      <c r="C44" s="3">
        <f>Z17*0.66</f>
        <v>0.52800000000000002</v>
      </c>
      <c r="E44" s="3"/>
    </row>
    <row r="45" spans="1:21" x14ac:dyDescent="0.25">
      <c r="A45" t="s">
        <v>283</v>
      </c>
      <c r="C45" s="3">
        <f>(C41+C44)*Tech_Spec_Escoot!F9</f>
        <v>6.8472</v>
      </c>
      <c r="E45" s="3">
        <f>E43+C44/2/0.2*Tech_Spec_Escoot!F9</f>
        <v>18.459445500000001</v>
      </c>
      <c r="F45" t="s">
        <v>284</v>
      </c>
    </row>
    <row r="46" spans="1:21" x14ac:dyDescent="0.25">
      <c r="A46" t="s">
        <v>6</v>
      </c>
      <c r="B46" t="s">
        <v>0</v>
      </c>
      <c r="C46" s="19">
        <f>C40/C41</f>
        <v>235.80786026200875</v>
      </c>
    </row>
    <row r="49" spans="1:3" x14ac:dyDescent="0.25">
      <c r="A49" s="8" t="s">
        <v>1004</v>
      </c>
    </row>
    <row r="61" spans="1:3" x14ac:dyDescent="0.25">
      <c r="A61" t="s">
        <v>1007</v>
      </c>
      <c r="B61" s="110">
        <v>0.1</v>
      </c>
      <c r="C61" t="s">
        <v>1005</v>
      </c>
    </row>
    <row r="62" spans="1:3" x14ac:dyDescent="0.25">
      <c r="A62" t="s">
        <v>1226</v>
      </c>
      <c r="B62">
        <f>B61/(1-B61)</f>
        <v>0.11111111111111112</v>
      </c>
    </row>
    <row r="65" spans="1:3" x14ac:dyDescent="0.25">
      <c r="A65" t="s">
        <v>1102</v>
      </c>
      <c r="B65" s="17" t="s">
        <v>1103</v>
      </c>
    </row>
    <row r="67" spans="1:3" x14ac:dyDescent="0.25">
      <c r="A67" t="s">
        <v>112</v>
      </c>
      <c r="B67">
        <v>324</v>
      </c>
      <c r="C67" t="s">
        <v>30</v>
      </c>
    </row>
  </sheetData>
  <hyperlinks>
    <hyperlink ref="U9" r:id="rId1" xr:uid="{00000000-0004-0000-0C00-000000000000}"/>
    <hyperlink ref="U11" r:id="rId2" xr:uid="{00000000-0004-0000-0C00-000001000000}"/>
    <hyperlink ref="U10" r:id="rId3" xr:uid="{00000000-0004-0000-0C00-000002000000}"/>
    <hyperlink ref="U12" r:id="rId4" xr:uid="{00000000-0004-0000-0C00-000003000000}"/>
    <hyperlink ref="U14" r:id="rId5" xr:uid="{00000000-0004-0000-0C00-000004000000}"/>
    <hyperlink ref="U13" r:id="rId6" xr:uid="{00000000-0004-0000-0C00-000005000000}"/>
    <hyperlink ref="U15" r:id="rId7" xr:uid="{00000000-0004-0000-0C00-000006000000}"/>
    <hyperlink ref="U18" r:id="rId8" xr:uid="{00000000-0004-0000-0C00-000007000000}"/>
    <hyperlink ref="U19" r:id="rId9" xr:uid="{00000000-0004-0000-0C00-000008000000}"/>
    <hyperlink ref="B65" r:id="rId10" xr:uid="{00000000-0004-0000-0C00-000009000000}"/>
    <hyperlink ref="W27" r:id="rId11" display="BYD" xr:uid="{00000000-0004-0000-0C00-00000A000000}"/>
    <hyperlink ref="U37" r:id="rId12" xr:uid="{00000000-0004-0000-0C00-00000B000000}"/>
    <hyperlink ref="E26" r:id="rId13" xr:uid="{00000000-0004-0000-0C00-00000C000000}"/>
  </hyperlinks>
  <pageMargins left="0.7" right="0.7" top="0.75" bottom="0.75" header="0.3" footer="0.3"/>
  <pageSetup paperSize="9" orientation="portrait" r:id="rId14"/>
  <drawing r:id="rId1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tint="0.34998626667073579"/>
  </sheetPr>
  <dimension ref="B2:H19"/>
  <sheetViews>
    <sheetView workbookViewId="0">
      <selection activeCell="K11" sqref="K11"/>
    </sheetView>
  </sheetViews>
  <sheetFormatPr defaultColWidth="9.109375" defaultRowHeight="14.4" x14ac:dyDescent="0.3"/>
  <cols>
    <col min="1" max="1" width="9.109375" style="125"/>
    <col min="2" max="2" width="43.109375" style="125" customWidth="1"/>
    <col min="3" max="16384" width="9.109375" style="125"/>
  </cols>
  <sheetData>
    <row r="2" spans="2:8" x14ac:dyDescent="0.3">
      <c r="C2" s="125" t="s">
        <v>409</v>
      </c>
    </row>
    <row r="4" spans="2:8" x14ac:dyDescent="0.3">
      <c r="C4" s="621" t="s">
        <v>408</v>
      </c>
      <c r="D4" s="621"/>
      <c r="E4" s="621" t="s">
        <v>407</v>
      </c>
      <c r="F4" s="621"/>
      <c r="G4" s="621" t="s">
        <v>406</v>
      </c>
      <c r="H4" s="621"/>
    </row>
    <row r="5" spans="2:8" x14ac:dyDescent="0.3">
      <c r="B5" s="125" t="s">
        <v>405</v>
      </c>
      <c r="C5" s="125">
        <v>70</v>
      </c>
      <c r="E5" s="125">
        <v>110</v>
      </c>
      <c r="G5" s="125">
        <v>200</v>
      </c>
    </row>
    <row r="6" spans="2:8" x14ac:dyDescent="0.3">
      <c r="B6" s="125" t="s">
        <v>404</v>
      </c>
      <c r="C6" s="125">
        <v>1100</v>
      </c>
      <c r="E6" s="125">
        <v>1450</v>
      </c>
      <c r="G6" s="125">
        <v>1900</v>
      </c>
    </row>
    <row r="7" spans="2:8" x14ac:dyDescent="0.3">
      <c r="B7" s="125" t="s">
        <v>403</v>
      </c>
      <c r="C7" s="125">
        <v>200</v>
      </c>
      <c r="D7" s="125">
        <v>400</v>
      </c>
      <c r="E7" s="125">
        <v>200</v>
      </c>
      <c r="F7" s="125">
        <v>400</v>
      </c>
      <c r="G7" s="125">
        <v>200</v>
      </c>
      <c r="H7" s="125">
        <v>400</v>
      </c>
    </row>
    <row r="8" spans="2:8" x14ac:dyDescent="0.3">
      <c r="B8" s="125" t="s">
        <v>402</v>
      </c>
      <c r="C8" s="167">
        <v>36</v>
      </c>
      <c r="D8" s="167">
        <v>75</v>
      </c>
      <c r="E8" s="167">
        <v>38</v>
      </c>
      <c r="F8" s="167">
        <v>78</v>
      </c>
      <c r="G8" s="167">
        <v>39</v>
      </c>
      <c r="H8" s="167">
        <v>80</v>
      </c>
    </row>
    <row r="9" spans="2:8" x14ac:dyDescent="0.3">
      <c r="B9" s="125" t="s">
        <v>401</v>
      </c>
      <c r="C9" s="167">
        <f t="shared" ref="C9:H9" si="0">C11*C7/100</f>
        <v>36.476297508896799</v>
      </c>
      <c r="D9" s="167">
        <f t="shared" si="0"/>
        <v>74.558469750889671</v>
      </c>
      <c r="E9" s="167">
        <f t="shared" si="0"/>
        <v>38.069249523809525</v>
      </c>
      <c r="F9" s="167">
        <f t="shared" si="0"/>
        <v>77.610148571428567</v>
      </c>
      <c r="G9" s="167">
        <f t="shared" si="0"/>
        <v>40.01964505543237</v>
      </c>
      <c r="H9" s="167">
        <f t="shared" si="0"/>
        <v>80.039290110864741</v>
      </c>
    </row>
    <row r="10" spans="2:8" x14ac:dyDescent="0.3">
      <c r="B10" s="125" t="s">
        <v>400</v>
      </c>
      <c r="C10" s="127">
        <v>1.960622775800712</v>
      </c>
      <c r="D10" s="127">
        <v>2.0037811387900355</v>
      </c>
      <c r="E10" s="127">
        <v>2.0462448979591841</v>
      </c>
      <c r="F10" s="127">
        <v>2.0857959183673471</v>
      </c>
      <c r="G10" s="127">
        <v>2.1510798226164081</v>
      </c>
      <c r="H10" s="166">
        <v>2.1510798226164081</v>
      </c>
    </row>
    <row r="11" spans="2:8" x14ac:dyDescent="0.3">
      <c r="B11" s="125" t="s">
        <v>399</v>
      </c>
      <c r="C11" s="166">
        <f>C10*Convert!$B$13</f>
        <v>18.2381487544484</v>
      </c>
      <c r="D11" s="166">
        <f>D10*Convert!$B$13</f>
        <v>18.639617437722418</v>
      </c>
      <c r="E11" s="166">
        <f>E10*Convert!$B$13</f>
        <v>19.034624761904762</v>
      </c>
      <c r="F11" s="166">
        <f>F10*Convert!$B$13</f>
        <v>19.402537142857142</v>
      </c>
      <c r="G11" s="166">
        <f>G10*Convert!$B$13</f>
        <v>20.009822527716185</v>
      </c>
      <c r="H11" s="166">
        <f>H10*Convert!$B$13</f>
        <v>20.009822527716185</v>
      </c>
    </row>
    <row r="12" spans="2:8" x14ac:dyDescent="0.3">
      <c r="B12" s="125" t="s">
        <v>398</v>
      </c>
      <c r="C12" s="125">
        <v>55</v>
      </c>
      <c r="E12" s="125">
        <v>55</v>
      </c>
      <c r="G12" s="125">
        <v>55</v>
      </c>
    </row>
    <row r="13" spans="2:8" x14ac:dyDescent="0.3">
      <c r="B13" s="125" t="s">
        <v>397</v>
      </c>
      <c r="C13" s="166">
        <v>10</v>
      </c>
      <c r="E13" s="125">
        <v>10.5</v>
      </c>
      <c r="G13" s="125">
        <v>11</v>
      </c>
    </row>
    <row r="14" spans="2:8" x14ac:dyDescent="0.3">
      <c r="B14" s="125" t="s">
        <v>396</v>
      </c>
      <c r="C14" s="166">
        <f>C16*C12/100</f>
        <v>10.030981814946619</v>
      </c>
      <c r="D14" s="166"/>
      <c r="E14" s="166">
        <f>E16*E12/100</f>
        <v>10.469043619047619</v>
      </c>
      <c r="F14" s="166"/>
      <c r="G14" s="166">
        <f>G16*G12/100</f>
        <v>11.005402390243901</v>
      </c>
    </row>
    <row r="15" spans="2:8" x14ac:dyDescent="0.3">
      <c r="B15" s="125" t="s">
        <v>395</v>
      </c>
      <c r="C15" s="127">
        <f>C10</f>
        <v>1.960622775800712</v>
      </c>
      <c r="E15" s="127">
        <f>E10</f>
        <v>2.0462448979591841</v>
      </c>
      <c r="G15" s="127">
        <f>G10</f>
        <v>2.1510798226164081</v>
      </c>
    </row>
    <row r="16" spans="2:8" x14ac:dyDescent="0.3">
      <c r="B16" s="125" t="s">
        <v>394</v>
      </c>
      <c r="C16" s="166">
        <f>C15*Convert!$B$13</f>
        <v>18.2381487544484</v>
      </c>
      <c r="E16" s="166">
        <f>E15*Convert!$B$13</f>
        <v>19.034624761904762</v>
      </c>
      <c r="G16" s="166">
        <f>G15*Convert!$B$13</f>
        <v>20.009822527716185</v>
      </c>
    </row>
    <row r="17" spans="2:7" x14ac:dyDescent="0.3">
      <c r="B17" s="125" t="s">
        <v>393</v>
      </c>
      <c r="C17" s="125">
        <v>5.5</v>
      </c>
      <c r="E17" s="125">
        <v>6.8</v>
      </c>
      <c r="G17" s="166">
        <v>8.85</v>
      </c>
    </row>
    <row r="18" spans="2:7" x14ac:dyDescent="0.3">
      <c r="B18" s="125" t="s">
        <v>392</v>
      </c>
      <c r="C18" s="166">
        <v>3.8852313167259789</v>
      </c>
      <c r="E18" s="166">
        <v>5.0653061224489804</v>
      </c>
      <c r="G18" s="166">
        <v>6.5148558758314854</v>
      </c>
    </row>
    <row r="19" spans="2:7" x14ac:dyDescent="0.3">
      <c r="B19" s="125" t="s">
        <v>391</v>
      </c>
      <c r="C19" s="166">
        <v>3.0000000000000004</v>
      </c>
      <c r="E19" s="166">
        <v>3.7090909090909094</v>
      </c>
      <c r="G19" s="166">
        <v>4.827272727272728</v>
      </c>
    </row>
  </sheetData>
  <mergeCells count="3">
    <mergeCell ref="G4:H4"/>
    <mergeCell ref="E4:F4"/>
    <mergeCell ref="C4:D4"/>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tint="0.34998626667073579"/>
  </sheetPr>
  <dimension ref="A1:T319"/>
  <sheetViews>
    <sheetView topLeftCell="A271" zoomScale="87" zoomScaleNormal="60" workbookViewId="0">
      <selection activeCell="A142" sqref="A142"/>
    </sheetView>
  </sheetViews>
  <sheetFormatPr defaultColWidth="9.109375" defaultRowHeight="14.4" x14ac:dyDescent="0.3"/>
  <cols>
    <col min="1" max="1" width="25" style="125" customWidth="1"/>
    <col min="2" max="2" width="25" style="125" bestFit="1" customWidth="1"/>
    <col min="3" max="3" width="11" style="125" customWidth="1"/>
    <col min="4" max="4" width="16.44140625" style="125" customWidth="1"/>
    <col min="5" max="5" width="11" style="125" customWidth="1"/>
    <col min="6" max="6" width="19.44140625" style="125" bestFit="1" customWidth="1"/>
    <col min="7" max="16384" width="9.109375" style="125"/>
  </cols>
  <sheetData>
    <row r="1" spans="1:8" customFormat="1" ht="13.2" x14ac:dyDescent="0.25">
      <c r="A1" s="8" t="s">
        <v>620</v>
      </c>
    </row>
    <row r="2" spans="1:8" customFormat="1" ht="13.2" x14ac:dyDescent="0.25">
      <c r="A2" t="str">
        <f>E62</f>
        <v>t/km of one-way lane or track</v>
      </c>
    </row>
    <row r="3" spans="1:8" customFormat="1" ht="13.2" x14ac:dyDescent="0.25">
      <c r="C3" t="s">
        <v>494</v>
      </c>
      <c r="D3" t="s">
        <v>444</v>
      </c>
      <c r="E3" t="s">
        <v>619</v>
      </c>
      <c r="F3" t="s">
        <v>16</v>
      </c>
    </row>
    <row r="4" spans="1:8" customFormat="1" x14ac:dyDescent="0.3">
      <c r="A4" s="247" t="s">
        <v>645</v>
      </c>
      <c r="C4">
        <f>C11</f>
        <v>0.12</v>
      </c>
      <c r="D4">
        <f>D11</f>
        <v>180</v>
      </c>
      <c r="E4">
        <f>E11</f>
        <v>22.5</v>
      </c>
      <c r="F4">
        <f>F11</f>
        <v>0</v>
      </c>
    </row>
    <row r="5" spans="1:8" customFormat="1" x14ac:dyDescent="0.3">
      <c r="A5" s="247" t="s">
        <v>646</v>
      </c>
      <c r="C5">
        <f>C13</f>
        <v>1</v>
      </c>
      <c r="D5">
        <f>D13</f>
        <v>1700</v>
      </c>
      <c r="E5">
        <f>E13</f>
        <v>212.5</v>
      </c>
      <c r="F5">
        <f>F13</f>
        <v>0.1</v>
      </c>
    </row>
    <row r="6" spans="1:8" customFormat="1" x14ac:dyDescent="0.3">
      <c r="A6" s="247" t="s">
        <v>647</v>
      </c>
      <c r="C6">
        <f>C13+C14</f>
        <v>1.1599999999999999</v>
      </c>
      <c r="D6">
        <f>D13+D14</f>
        <v>1930</v>
      </c>
      <c r="E6">
        <f>E13+E14</f>
        <v>241.25</v>
      </c>
      <c r="F6">
        <f>F13+F14</f>
        <v>0.1</v>
      </c>
    </row>
    <row r="7" spans="1:8" customFormat="1" x14ac:dyDescent="0.3">
      <c r="A7" s="247" t="s">
        <v>648</v>
      </c>
      <c r="C7">
        <f>C13</f>
        <v>1</v>
      </c>
      <c r="D7">
        <f>D13</f>
        <v>1700</v>
      </c>
      <c r="E7">
        <f>E13</f>
        <v>212.5</v>
      </c>
      <c r="F7">
        <f>F13</f>
        <v>0.1</v>
      </c>
      <c r="H7" t="s">
        <v>651</v>
      </c>
    </row>
    <row r="8" spans="1:8" customFormat="1" x14ac:dyDescent="0.3">
      <c r="A8" s="247" t="s">
        <v>649</v>
      </c>
      <c r="C8">
        <f t="shared" ref="C8:F9" si="0">C15</f>
        <v>0</v>
      </c>
      <c r="D8">
        <f t="shared" si="0"/>
        <v>6700</v>
      </c>
      <c r="E8">
        <f t="shared" si="0"/>
        <v>837.5</v>
      </c>
      <c r="F8">
        <f t="shared" si="0"/>
        <v>260</v>
      </c>
    </row>
    <row r="9" spans="1:8" customFormat="1" x14ac:dyDescent="0.3">
      <c r="A9" s="247" t="s">
        <v>650</v>
      </c>
      <c r="C9">
        <f t="shared" si="0"/>
        <v>0</v>
      </c>
      <c r="D9">
        <f t="shared" si="0"/>
        <v>20100</v>
      </c>
      <c r="E9">
        <f t="shared" si="0"/>
        <v>2512.5</v>
      </c>
      <c r="F9">
        <f t="shared" si="0"/>
        <v>960</v>
      </c>
    </row>
    <row r="10" spans="1:8" customFormat="1" x14ac:dyDescent="0.3">
      <c r="A10" s="247"/>
    </row>
    <row r="11" spans="1:8" customFormat="1" x14ac:dyDescent="0.3">
      <c r="A11" s="247" t="s">
        <v>645</v>
      </c>
      <c r="C11" s="18">
        <f>ROUND((C13/C117*C118*C115*C119/1000)*1000/(AVERAGE($P$96,$C$115)*$C$119)*1/$C$117,2)</f>
        <v>0.12</v>
      </c>
      <c r="D11" s="19">
        <f>ROUND((D105/100*C118*C119*C36*AVERAGE(P96,C115))*1000/(AVERAGE($P$96,$C$115)*$C$119)*1/$C$117,-1)</f>
        <v>180</v>
      </c>
      <c r="E11" s="3">
        <f>D11*$B$46</f>
        <v>22.5</v>
      </c>
      <c r="F11" s="18"/>
      <c r="H11" t="s">
        <v>644</v>
      </c>
    </row>
    <row r="12" spans="1:8" customFormat="1" x14ac:dyDescent="0.3">
      <c r="A12" s="247" t="s">
        <v>449</v>
      </c>
    </row>
    <row r="13" spans="1:8" customFormat="1" ht="13.2" x14ac:dyDescent="0.25">
      <c r="B13" t="s">
        <v>618</v>
      </c>
      <c r="C13">
        <f>E63</f>
        <v>1</v>
      </c>
      <c r="D13">
        <f>ROUND(AVERAGE(E64:E66),-2)</f>
        <v>1700</v>
      </c>
      <c r="E13">
        <f>D13*$B$46</f>
        <v>212.5</v>
      </c>
      <c r="F13" s="3">
        <f>ROUND(AVERAGE(E67:E69),1)</f>
        <v>0.1</v>
      </c>
      <c r="H13" t="s">
        <v>638</v>
      </c>
    </row>
    <row r="14" spans="1:8" customFormat="1" ht="13.2" x14ac:dyDescent="0.25">
      <c r="B14" t="s">
        <v>448</v>
      </c>
      <c r="C14" s="18">
        <f>ROUND(C13/C117*C118*C115*C119/1000,2)</f>
        <v>0.16</v>
      </c>
      <c r="D14" s="19">
        <f>ROUND(D105/100*C118*C119*C36*AVERAGE(P96,C115),-1)</f>
        <v>230</v>
      </c>
      <c r="E14" s="3">
        <f>D14*$B$46</f>
        <v>28.75</v>
      </c>
      <c r="H14" t="s">
        <v>637</v>
      </c>
    </row>
    <row r="15" spans="1:8" customFormat="1" x14ac:dyDescent="0.3">
      <c r="A15" s="247" t="s">
        <v>447</v>
      </c>
      <c r="B15" t="s">
        <v>446</v>
      </c>
      <c r="D15" s="19">
        <f>ROUND(AVERAGE(E173:E175),-2)</f>
        <v>6700</v>
      </c>
      <c r="E15" s="3">
        <f>D15*$B$46</f>
        <v>837.5</v>
      </c>
      <c r="F15" s="19">
        <f>ROUND(AVERAGE(E177:E180),-1)</f>
        <v>260</v>
      </c>
      <c r="H15" t="s">
        <v>639</v>
      </c>
    </row>
    <row r="16" spans="1:8" customFormat="1" x14ac:dyDescent="0.3">
      <c r="A16" s="247"/>
      <c r="B16" t="s">
        <v>445</v>
      </c>
      <c r="D16" s="19">
        <f>ROUND(AVERAGE(E201:E203,E197:E199),-2)</f>
        <v>20100</v>
      </c>
      <c r="E16" s="3">
        <f>D16*$B$46</f>
        <v>2512.5</v>
      </c>
      <c r="F16" s="19">
        <f>ROUND(AVERAGE(E205,E206,E208,E209,E207,E210),-1)</f>
        <v>960</v>
      </c>
      <c r="H16" t="s">
        <v>640</v>
      </c>
    </row>
    <row r="17" spans="1:10" customFormat="1" ht="13.2" x14ac:dyDescent="0.25"/>
    <row r="18" spans="1:10" customFormat="1" ht="13.8" x14ac:dyDescent="0.3">
      <c r="A18" s="8" t="s">
        <v>812</v>
      </c>
      <c r="J18" s="21"/>
    </row>
    <row r="19" spans="1:10" customFormat="1" ht="13.8" x14ac:dyDescent="0.3">
      <c r="G19" s="21"/>
      <c r="H19" s="21"/>
      <c r="I19" s="269"/>
      <c r="J19" s="21"/>
    </row>
    <row r="20" spans="1:10" customFormat="1" x14ac:dyDescent="0.3">
      <c r="A20" s="247" t="s">
        <v>645</v>
      </c>
      <c r="B20" s="18">
        <f t="shared" ref="B20:B23" si="1">$B$30</f>
        <v>0.67045454545454541</v>
      </c>
      <c r="G20" s="21"/>
      <c r="H20" s="21"/>
      <c r="I20" s="269"/>
      <c r="J20" s="21"/>
    </row>
    <row r="21" spans="1:10" customFormat="1" x14ac:dyDescent="0.3">
      <c r="A21" s="247" t="s">
        <v>646</v>
      </c>
      <c r="B21" s="18">
        <f t="shared" si="1"/>
        <v>0.67045454545454541</v>
      </c>
      <c r="G21" s="21"/>
      <c r="H21" s="21"/>
      <c r="I21" s="269"/>
      <c r="J21" s="21"/>
    </row>
    <row r="22" spans="1:10" customFormat="1" x14ac:dyDescent="0.3">
      <c r="A22" s="247" t="s">
        <v>647</v>
      </c>
      <c r="B22" s="18">
        <f t="shared" si="1"/>
        <v>0.67045454545454541</v>
      </c>
      <c r="G22" s="21"/>
      <c r="H22" s="21"/>
      <c r="I22" s="269"/>
      <c r="J22" s="21"/>
    </row>
    <row r="23" spans="1:10" customFormat="1" x14ac:dyDescent="0.3">
      <c r="A23" s="247" t="s">
        <v>648</v>
      </c>
      <c r="B23" s="18">
        <f t="shared" si="1"/>
        <v>0.67045454545454541</v>
      </c>
      <c r="G23" s="21"/>
      <c r="H23" s="21"/>
      <c r="I23" s="269"/>
      <c r="J23" s="21"/>
    </row>
    <row r="24" spans="1:10" customFormat="1" x14ac:dyDescent="0.3">
      <c r="A24" s="247" t="s">
        <v>649</v>
      </c>
      <c r="B24">
        <f>B25</f>
        <v>0.57999999999999996</v>
      </c>
      <c r="G24" s="21"/>
      <c r="H24" s="21"/>
      <c r="I24" s="269"/>
      <c r="J24" s="21"/>
    </row>
    <row r="25" spans="1:10" customFormat="1" x14ac:dyDescent="0.3">
      <c r="A25" s="247" t="s">
        <v>650</v>
      </c>
      <c r="B25" s="22">
        <f>+ROUND(0.576,2)</f>
        <v>0.57999999999999996</v>
      </c>
      <c r="C25" s="21"/>
      <c r="D25" s="268" t="s">
        <v>811</v>
      </c>
      <c r="G25" s="21"/>
      <c r="H25" s="21"/>
      <c r="I25" s="269"/>
      <c r="J25" s="21"/>
    </row>
    <row r="26" spans="1:10" customFormat="1" ht="13.8" x14ac:dyDescent="0.3">
      <c r="G26" s="21"/>
      <c r="H26" s="21"/>
      <c r="I26" s="269"/>
      <c r="J26" s="21"/>
    </row>
    <row r="27" spans="1:10" customFormat="1" x14ac:dyDescent="0.3">
      <c r="A27" s="247" t="s">
        <v>813</v>
      </c>
      <c r="B27" s="29">
        <v>0.4</v>
      </c>
      <c r="C27" s="21"/>
      <c r="D27" s="270" t="s">
        <v>814</v>
      </c>
      <c r="F27" t="s">
        <v>815</v>
      </c>
      <c r="G27" s="21"/>
      <c r="H27" s="21"/>
      <c r="I27" s="269"/>
      <c r="J27" s="21"/>
    </row>
    <row r="28" spans="1:10" customFormat="1" x14ac:dyDescent="0.3">
      <c r="A28" s="247" t="s">
        <v>374</v>
      </c>
      <c r="B28" s="271">
        <v>0.4</v>
      </c>
      <c r="C28" s="21"/>
      <c r="D28" s="272" t="s">
        <v>817</v>
      </c>
      <c r="F28" t="s">
        <v>816</v>
      </c>
      <c r="G28" s="21"/>
      <c r="H28" s="21"/>
      <c r="I28" s="269"/>
      <c r="J28" s="21"/>
    </row>
    <row r="29" spans="1:10" customFormat="1" ht="13.8" x14ac:dyDescent="0.3">
      <c r="B29" s="273">
        <f>111/206.56</f>
        <v>0.53737412858249423</v>
      </c>
      <c r="D29" s="618" t="s">
        <v>819</v>
      </c>
      <c r="F29" t="s">
        <v>1412</v>
      </c>
      <c r="G29" s="21"/>
      <c r="H29" s="21"/>
      <c r="I29" s="269"/>
      <c r="J29" s="21"/>
    </row>
    <row r="30" spans="1:10" customFormat="1" ht="13.8" x14ac:dyDescent="0.3">
      <c r="B30" s="463">
        <f>AVERAGE(6/11,6/7.5,3.5/5.5,3.5/5)</f>
        <v>0.67045454545454541</v>
      </c>
      <c r="D30" s="619" t="s">
        <v>1413</v>
      </c>
      <c r="G30" s="21"/>
      <c r="H30" s="21"/>
      <c r="I30" s="269"/>
      <c r="J30" s="21"/>
    </row>
    <row r="31" spans="1:10" customFormat="1" ht="13.8" x14ac:dyDescent="0.3">
      <c r="G31" s="21"/>
      <c r="H31" s="21"/>
      <c r="I31" s="269"/>
      <c r="J31" s="21"/>
    </row>
    <row r="32" spans="1:10" customFormat="1" x14ac:dyDescent="0.3">
      <c r="A32" s="179" t="s">
        <v>641</v>
      </c>
    </row>
    <row r="33" spans="1:8" customFormat="1" x14ac:dyDescent="0.3">
      <c r="A33" s="179"/>
    </row>
    <row r="34" spans="1:8" customFormat="1" ht="13.2" x14ac:dyDescent="0.25">
      <c r="A34" s="7">
        <v>1</v>
      </c>
      <c r="B34" s="7" t="s">
        <v>482</v>
      </c>
      <c r="C34" s="7">
        <v>0.90718500000000002</v>
      </c>
      <c r="D34" s="7" t="s">
        <v>481</v>
      </c>
    </row>
    <row r="35" spans="1:8" customFormat="1" ht="13.2" x14ac:dyDescent="0.25">
      <c r="A35" s="7">
        <v>1</v>
      </c>
      <c r="B35" s="7" t="s">
        <v>476</v>
      </c>
      <c r="C35" s="7">
        <v>1.60934</v>
      </c>
      <c r="D35" s="7" t="s">
        <v>0</v>
      </c>
    </row>
    <row r="36" spans="1:8" customFormat="1" ht="13.2" x14ac:dyDescent="0.25">
      <c r="A36" s="7">
        <v>1</v>
      </c>
      <c r="B36" s="7" t="s">
        <v>470</v>
      </c>
      <c r="C36" s="7">
        <v>2.4065300000000001</v>
      </c>
      <c r="D36" s="7" t="s">
        <v>469</v>
      </c>
    </row>
    <row r="37" spans="1:8" customFormat="1" ht="13.2" x14ac:dyDescent="0.25">
      <c r="A37" s="7">
        <v>1</v>
      </c>
      <c r="B37" s="7" t="s">
        <v>467</v>
      </c>
      <c r="C37" s="7">
        <v>0.764554858</v>
      </c>
      <c r="D37" s="7" t="s">
        <v>466</v>
      </c>
    </row>
    <row r="38" spans="1:8" customFormat="1" ht="13.2" x14ac:dyDescent="0.25">
      <c r="A38" s="7">
        <v>1</v>
      </c>
      <c r="B38" s="7" t="s">
        <v>465</v>
      </c>
      <c r="C38" s="7">
        <v>2.83168E-2</v>
      </c>
      <c r="D38" s="7" t="s">
        <v>464</v>
      </c>
    </row>
    <row r="39" spans="1:8" customFormat="1" ht="13.2" x14ac:dyDescent="0.25">
      <c r="A39" s="7">
        <v>1</v>
      </c>
      <c r="B39" s="7" t="s">
        <v>467</v>
      </c>
      <c r="C39" s="7">
        <v>0.764554858</v>
      </c>
      <c r="D39" s="7" t="s">
        <v>466</v>
      </c>
    </row>
    <row r="40" spans="1:8" customFormat="1" ht="13.2" x14ac:dyDescent="0.25">
      <c r="A40" s="7">
        <v>1</v>
      </c>
      <c r="B40" s="7" t="s">
        <v>482</v>
      </c>
      <c r="C40" s="7">
        <v>0.90718500000000002</v>
      </c>
      <c r="D40" s="7" t="s">
        <v>481</v>
      </c>
    </row>
    <row r="41" spans="1:8" customFormat="1" ht="13.2" x14ac:dyDescent="0.25">
      <c r="A41" s="7">
        <v>1</v>
      </c>
      <c r="B41" s="7" t="s">
        <v>17</v>
      </c>
      <c r="C41" s="7">
        <v>1E-3</v>
      </c>
      <c r="D41" s="7" t="s">
        <v>481</v>
      </c>
    </row>
    <row r="42" spans="1:8" customFormat="1" ht="13.2" x14ac:dyDescent="0.25">
      <c r="A42" s="7">
        <v>1</v>
      </c>
      <c r="B42" s="7" t="s">
        <v>487</v>
      </c>
      <c r="C42" s="7">
        <v>1E-3</v>
      </c>
      <c r="D42" s="7" t="s">
        <v>0</v>
      </c>
    </row>
    <row r="43" spans="1:8" customFormat="1" ht="13.2" x14ac:dyDescent="0.25">
      <c r="A43" s="7">
        <v>1</v>
      </c>
      <c r="B43" s="7" t="s">
        <v>106</v>
      </c>
      <c r="C43" s="7">
        <v>4.53592E-4</v>
      </c>
      <c r="D43" s="7" t="s">
        <v>481</v>
      </c>
    </row>
    <row r="44" spans="1:8" customFormat="1" ht="13.2" x14ac:dyDescent="0.25"/>
    <row r="45" spans="1:8" customFormat="1" ht="13.2" x14ac:dyDescent="0.25">
      <c r="A45" s="215" t="s">
        <v>575</v>
      </c>
      <c r="B45" s="215"/>
      <c r="C45" s="215"/>
      <c r="D45" s="215"/>
      <c r="E45" s="215"/>
      <c r="F45" s="215"/>
      <c r="G45" s="215"/>
      <c r="H45" s="215"/>
    </row>
    <row r="46" spans="1:8" customFormat="1" ht="13.2" x14ac:dyDescent="0.25">
      <c r="A46" s="215"/>
      <c r="B46" s="251">
        <f>B48</f>
        <v>0.125</v>
      </c>
      <c r="C46" s="215" t="s">
        <v>642</v>
      </c>
      <c r="D46" s="215"/>
      <c r="E46" s="215"/>
      <c r="F46" s="215"/>
      <c r="G46" s="215"/>
      <c r="H46" s="215"/>
    </row>
    <row r="47" spans="1:8" customFormat="1" ht="13.2" x14ac:dyDescent="0.25">
      <c r="A47" s="215"/>
      <c r="B47" s="228">
        <f>[5]Cement_Concrete!$B$5</f>
        <v>0.21</v>
      </c>
      <c r="C47" s="215" t="s">
        <v>148</v>
      </c>
      <c r="D47" s="215"/>
      <c r="E47" s="215"/>
      <c r="F47" s="215"/>
      <c r="G47" s="215"/>
      <c r="H47" s="215"/>
    </row>
    <row r="48" spans="1:8" customFormat="1" ht="13.2" x14ac:dyDescent="0.25">
      <c r="A48" s="215"/>
      <c r="B48" s="228">
        <v>0.125</v>
      </c>
      <c r="C48" s="229" t="s">
        <v>574</v>
      </c>
      <c r="D48" s="215"/>
      <c r="E48" s="215"/>
      <c r="F48" s="215"/>
      <c r="G48" s="215"/>
      <c r="H48" s="215"/>
    </row>
    <row r="49" spans="1:19" customFormat="1" ht="13.2" x14ac:dyDescent="0.25">
      <c r="A49" s="215"/>
      <c r="B49" s="228">
        <v>7.0000000000000007E-2</v>
      </c>
      <c r="C49" s="229" t="s">
        <v>643</v>
      </c>
      <c r="D49" s="215"/>
      <c r="E49" s="215"/>
      <c r="F49" s="215"/>
      <c r="G49" s="215"/>
      <c r="H49" s="215"/>
    </row>
    <row r="50" spans="1:19" customFormat="1" ht="13.2" x14ac:dyDescent="0.25">
      <c r="B50" s="183"/>
      <c r="C50" s="181"/>
    </row>
    <row r="51" spans="1:19" customFormat="1" ht="13.2" x14ac:dyDescent="0.25">
      <c r="A51" s="109" t="s">
        <v>449</v>
      </c>
    </row>
    <row r="52" spans="1:19" customFormat="1" ht="13.2" x14ac:dyDescent="0.25"/>
    <row r="53" spans="1:19" customFormat="1" x14ac:dyDescent="0.3">
      <c r="A53" s="198" t="s">
        <v>588</v>
      </c>
      <c r="B53" s="199"/>
      <c r="C53" s="199"/>
      <c r="D53" s="199"/>
      <c r="E53" s="199"/>
      <c r="F53" s="199"/>
      <c r="G53" s="199"/>
      <c r="H53" s="199"/>
      <c r="I53" s="199"/>
      <c r="J53" s="199"/>
      <c r="K53" s="199"/>
      <c r="L53" s="199"/>
    </row>
    <row r="54" spans="1:19" customFormat="1" x14ac:dyDescent="0.3">
      <c r="A54" s="198"/>
      <c r="B54" s="199"/>
      <c r="C54" s="199"/>
      <c r="D54" s="199"/>
      <c r="E54" s="199"/>
      <c r="F54" s="199"/>
      <c r="G54" s="199"/>
      <c r="H54" s="199"/>
      <c r="I54" s="199"/>
      <c r="J54" s="199"/>
      <c r="K54" s="199"/>
      <c r="L54" s="199"/>
    </row>
    <row r="55" spans="1:19" customFormat="1" x14ac:dyDescent="0.3">
      <c r="A55" s="200" t="s">
        <v>443</v>
      </c>
      <c r="B55" s="200" t="s">
        <v>455</v>
      </c>
      <c r="C55" s="200" t="s">
        <v>578</v>
      </c>
      <c r="D55" s="200" t="s">
        <v>454</v>
      </c>
      <c r="E55" s="200" t="s">
        <v>453</v>
      </c>
      <c r="F55" s="200" t="s">
        <v>62</v>
      </c>
      <c r="G55" s="199"/>
      <c r="H55" s="199"/>
      <c r="I55" s="199"/>
      <c r="J55" s="199"/>
      <c r="K55" s="200"/>
      <c r="L55" s="199"/>
      <c r="M55" s="179"/>
    </row>
    <row r="56" spans="1:19" customFormat="1" ht="13.2" x14ac:dyDescent="0.25">
      <c r="A56" s="199" t="s">
        <v>451</v>
      </c>
      <c r="B56" s="199" t="s">
        <v>452</v>
      </c>
      <c r="C56" s="199">
        <v>90</v>
      </c>
      <c r="D56" s="199" t="s">
        <v>3</v>
      </c>
      <c r="E56" s="201" t="s">
        <v>524</v>
      </c>
      <c r="F56" s="199"/>
      <c r="G56" s="199"/>
      <c r="H56" s="199"/>
      <c r="I56" s="199"/>
      <c r="J56" s="199"/>
      <c r="K56" s="199"/>
      <c r="L56" s="199"/>
    </row>
    <row r="57" spans="1:19" customFormat="1" ht="13.2" x14ac:dyDescent="0.25">
      <c r="A57" s="199" t="s">
        <v>451</v>
      </c>
      <c r="B57" s="199" t="s">
        <v>97</v>
      </c>
      <c r="C57" s="199">
        <v>90</v>
      </c>
      <c r="D57" s="199" t="s">
        <v>3</v>
      </c>
      <c r="E57" s="201" t="s">
        <v>577</v>
      </c>
      <c r="F57" s="199"/>
      <c r="G57" s="199"/>
      <c r="H57" s="199"/>
      <c r="I57" s="199"/>
      <c r="J57" s="199"/>
      <c r="K57" s="199"/>
      <c r="L57" s="199"/>
    </row>
    <row r="58" spans="1:19" customFormat="1" ht="13.2" x14ac:dyDescent="0.25">
      <c r="A58" s="199" t="s">
        <v>518</v>
      </c>
      <c r="B58" s="199" t="s">
        <v>452</v>
      </c>
      <c r="C58" s="199">
        <v>60</v>
      </c>
      <c r="D58" s="199" t="s">
        <v>3</v>
      </c>
      <c r="E58" s="201" t="s">
        <v>583</v>
      </c>
      <c r="F58" s="199"/>
      <c r="G58" s="199"/>
      <c r="H58" s="199"/>
      <c r="I58" s="199"/>
      <c r="J58" s="199"/>
      <c r="K58" s="199"/>
      <c r="L58" s="199"/>
    </row>
    <row r="59" spans="1:19" customFormat="1" ht="13.2" x14ac:dyDescent="0.25">
      <c r="E59" s="189"/>
    </row>
    <row r="60" spans="1:19" customFormat="1" ht="13.2" x14ac:dyDescent="0.25">
      <c r="A60" s="20" t="s">
        <v>479</v>
      </c>
    </row>
    <row r="61" spans="1:19" customFormat="1" ht="12" customHeight="1" x14ac:dyDescent="0.25"/>
    <row r="62" spans="1:19" customFormat="1" x14ac:dyDescent="0.3">
      <c r="A62" s="179" t="s">
        <v>443</v>
      </c>
      <c r="B62" s="179" t="s">
        <v>455</v>
      </c>
      <c r="C62" s="179" t="s">
        <v>483</v>
      </c>
      <c r="D62" s="179" t="s">
        <v>454</v>
      </c>
      <c r="E62" s="179" t="s">
        <v>585</v>
      </c>
      <c r="F62" s="179" t="s">
        <v>114</v>
      </c>
      <c r="G62" s="179" t="s">
        <v>453</v>
      </c>
      <c r="H62" s="179" t="s">
        <v>62</v>
      </c>
      <c r="I62" s="179"/>
      <c r="J62" s="125"/>
    </row>
    <row r="63" spans="1:19" customFormat="1" ht="13.2" x14ac:dyDescent="0.25">
      <c r="A63" t="s">
        <v>494</v>
      </c>
      <c r="B63" t="s">
        <v>452</v>
      </c>
      <c r="C63">
        <v>4</v>
      </c>
      <c r="D63" t="s">
        <v>599</v>
      </c>
      <c r="E63" s="188">
        <f>C63/4</f>
        <v>1</v>
      </c>
      <c r="F63">
        <v>2017</v>
      </c>
      <c r="G63" s="189" t="s">
        <v>528</v>
      </c>
      <c r="H63" t="s">
        <v>600</v>
      </c>
      <c r="K63" s="188"/>
      <c r="L63" s="188"/>
      <c r="M63" s="188"/>
      <c r="N63" s="188"/>
      <c r="O63" s="188"/>
      <c r="P63" s="188"/>
      <c r="Q63" s="186"/>
      <c r="S63" s="189"/>
    </row>
    <row r="64" spans="1:19" customFormat="1" ht="13.2" x14ac:dyDescent="0.25">
      <c r="A64" t="s">
        <v>444</v>
      </c>
      <c r="B64" t="s">
        <v>452</v>
      </c>
      <c r="C64">
        <v>174.64224494038038</v>
      </c>
      <c r="D64" t="s">
        <v>477</v>
      </c>
      <c r="E64" s="185">
        <f>C64/$B$46</f>
        <v>1397.137959523043</v>
      </c>
      <c r="F64">
        <v>2013</v>
      </c>
      <c r="G64" s="182" t="s">
        <v>525</v>
      </c>
      <c r="I64" s="185"/>
      <c r="K64" s="185"/>
      <c r="N64" s="185"/>
      <c r="O64" s="186"/>
    </row>
    <row r="65" spans="1:20" customFormat="1" ht="13.2" x14ac:dyDescent="0.25">
      <c r="A65" t="str">
        <f>A64</f>
        <v>Concrete</v>
      </c>
      <c r="B65" t="s">
        <v>96</v>
      </c>
      <c r="C65">
        <v>1842.5</v>
      </c>
      <c r="D65" t="s">
        <v>475</v>
      </c>
      <c r="E65" s="186">
        <f>C65</f>
        <v>1842.5</v>
      </c>
      <c r="F65">
        <v>2006</v>
      </c>
      <c r="G65" s="181" t="s">
        <v>526</v>
      </c>
      <c r="H65" t="s">
        <v>532</v>
      </c>
      <c r="I65" s="186"/>
      <c r="K65" s="186"/>
      <c r="L65" s="186"/>
      <c r="M65" s="186"/>
      <c r="N65" s="186"/>
      <c r="O65" s="186"/>
    </row>
    <row r="66" spans="1:20" customFormat="1" x14ac:dyDescent="0.3">
      <c r="A66" t="str">
        <f>A65</f>
        <v>Concrete</v>
      </c>
      <c r="B66" t="s">
        <v>452</v>
      </c>
      <c r="C66">
        <v>1939.6631799999998</v>
      </c>
      <c r="D66" t="s">
        <v>475</v>
      </c>
      <c r="E66" s="187">
        <f>C66</f>
        <v>1939.6631799999998</v>
      </c>
      <c r="F66">
        <v>2013</v>
      </c>
      <c r="G66" s="181" t="s">
        <v>527</v>
      </c>
      <c r="I66" s="187"/>
      <c r="K66" s="187"/>
      <c r="L66" s="187"/>
      <c r="M66" s="187"/>
      <c r="N66" s="187"/>
      <c r="O66" s="187"/>
    </row>
    <row r="67" spans="1:20" customFormat="1" ht="13.2" x14ac:dyDescent="0.25">
      <c r="A67" t="s">
        <v>16</v>
      </c>
      <c r="B67" t="s">
        <v>452</v>
      </c>
      <c r="C67" s="19">
        <v>0</v>
      </c>
      <c r="D67" t="s">
        <v>493</v>
      </c>
      <c r="E67" s="186">
        <f>C67</f>
        <v>0</v>
      </c>
      <c r="F67">
        <v>2013</v>
      </c>
      <c r="G67" s="181" t="s">
        <v>525</v>
      </c>
      <c r="H67" s="186"/>
      <c r="I67" s="186"/>
      <c r="J67" s="186"/>
      <c r="K67" s="186"/>
      <c r="L67" s="186"/>
    </row>
    <row r="68" spans="1:20" customFormat="1" ht="13.2" x14ac:dyDescent="0.25">
      <c r="A68" t="str">
        <f>A67</f>
        <v>Steel</v>
      </c>
      <c r="B68" t="s">
        <v>96</v>
      </c>
      <c r="C68">
        <v>0</v>
      </c>
      <c r="D68" t="s">
        <v>1203</v>
      </c>
      <c r="E68" s="186">
        <f>C68/2</f>
        <v>0</v>
      </c>
      <c r="F68">
        <v>2006</v>
      </c>
      <c r="G68" s="181" t="s">
        <v>526</v>
      </c>
      <c r="H68" t="s">
        <v>480</v>
      </c>
      <c r="I68" s="186"/>
      <c r="J68" s="186"/>
      <c r="K68" s="186"/>
      <c r="L68" s="186"/>
    </row>
    <row r="69" spans="1:20" customFormat="1" ht="13.2" x14ac:dyDescent="0.25">
      <c r="A69" t="str">
        <f>A68</f>
        <v>Steel</v>
      </c>
      <c r="B69" t="s">
        <v>456</v>
      </c>
      <c r="C69">
        <f>1/6</f>
        <v>0.16666666666666666</v>
      </c>
      <c r="D69" t="s">
        <v>485</v>
      </c>
      <c r="E69" s="186">
        <f>C69</f>
        <v>0.16666666666666666</v>
      </c>
      <c r="F69">
        <v>2012</v>
      </c>
      <c r="G69" s="181" t="s">
        <v>572</v>
      </c>
      <c r="H69" t="s">
        <v>478</v>
      </c>
      <c r="I69" s="186"/>
      <c r="J69" s="186"/>
      <c r="K69" s="186"/>
    </row>
    <row r="70" spans="1:20" customFormat="1" ht="12" customHeight="1" x14ac:dyDescent="0.25"/>
    <row r="71" spans="1:20" customFormat="1" ht="12" customHeight="1" x14ac:dyDescent="0.25">
      <c r="A71" s="20" t="s">
        <v>589</v>
      </c>
    </row>
    <row r="72" spans="1:20" customFormat="1" ht="12" customHeight="1" x14ac:dyDescent="0.25"/>
    <row r="73" spans="1:20" customFormat="1" x14ac:dyDescent="0.3">
      <c r="A73" s="195" t="s">
        <v>523</v>
      </c>
      <c r="B73" s="100"/>
      <c r="C73" s="100"/>
      <c r="D73" s="100"/>
      <c r="E73" s="100"/>
      <c r="F73" s="100"/>
      <c r="G73" s="100"/>
      <c r="H73" s="100"/>
      <c r="I73" s="100"/>
      <c r="J73" s="100"/>
      <c r="K73" s="100"/>
      <c r="L73" s="100"/>
      <c r="M73" s="100"/>
      <c r="N73" s="100"/>
      <c r="O73" s="100"/>
      <c r="P73" s="100"/>
      <c r="Q73" s="100"/>
      <c r="R73" s="100"/>
      <c r="S73" s="100"/>
      <c r="T73" s="100"/>
    </row>
    <row r="74" spans="1:20" customFormat="1" x14ac:dyDescent="0.3">
      <c r="A74" s="195"/>
      <c r="B74" s="100"/>
      <c r="C74" s="100"/>
      <c r="D74" s="100"/>
      <c r="E74" s="100"/>
      <c r="F74" s="100"/>
      <c r="G74" s="100"/>
      <c r="H74" s="100"/>
      <c r="I74" s="100"/>
      <c r="J74" s="100"/>
      <c r="K74" s="100"/>
      <c r="L74" s="100"/>
      <c r="M74" s="100"/>
      <c r="N74" s="100"/>
      <c r="O74" s="100"/>
      <c r="P74" s="100"/>
      <c r="Q74" s="100"/>
      <c r="R74" s="100"/>
      <c r="S74" s="100"/>
      <c r="T74" s="100"/>
    </row>
    <row r="75" spans="1:20" customFormat="1" x14ac:dyDescent="0.3">
      <c r="A75" s="196" t="s">
        <v>443</v>
      </c>
      <c r="B75" s="196" t="s">
        <v>455</v>
      </c>
      <c r="C75" s="196" t="s">
        <v>520</v>
      </c>
      <c r="D75" s="196" t="s">
        <v>454</v>
      </c>
      <c r="E75" s="196" t="s">
        <v>114</v>
      </c>
      <c r="F75" s="196" t="s">
        <v>453</v>
      </c>
      <c r="G75" s="196" t="s">
        <v>62</v>
      </c>
      <c r="H75" s="100"/>
      <c r="I75" s="100"/>
      <c r="J75" s="202"/>
      <c r="K75" s="100"/>
      <c r="L75" s="100"/>
      <c r="M75" s="100"/>
      <c r="N75" s="100"/>
      <c r="O75" s="100"/>
      <c r="P75" s="100"/>
      <c r="Q75" s="100"/>
      <c r="R75" s="100"/>
      <c r="S75" s="100"/>
      <c r="T75" s="100"/>
    </row>
    <row r="76" spans="1:20" customFormat="1" ht="13.2" x14ac:dyDescent="0.25">
      <c r="A76" s="100" t="s">
        <v>448</v>
      </c>
      <c r="B76" s="100" t="s">
        <v>452</v>
      </c>
      <c r="C76" s="100">
        <v>2.2000000000000002</v>
      </c>
      <c r="D76" s="100" t="s">
        <v>522</v>
      </c>
      <c r="E76" s="100">
        <v>2010</v>
      </c>
      <c r="F76" s="101" t="s">
        <v>579</v>
      </c>
      <c r="G76" s="100"/>
      <c r="H76" s="100"/>
      <c r="I76" s="100"/>
      <c r="J76" s="100"/>
      <c r="K76" s="203"/>
      <c r="L76" s="203"/>
      <c r="M76" s="203"/>
      <c r="N76" s="203"/>
      <c r="O76" s="203"/>
      <c r="P76" s="203"/>
      <c r="Q76" s="204"/>
      <c r="R76" s="100"/>
      <c r="S76" s="197"/>
      <c r="T76" s="100"/>
    </row>
    <row r="77" spans="1:20" customFormat="1" ht="13.2" x14ac:dyDescent="0.25">
      <c r="A77" s="100" t="s">
        <v>448</v>
      </c>
      <c r="B77" s="100" t="s">
        <v>452</v>
      </c>
      <c r="C77" s="100">
        <v>4.5</v>
      </c>
      <c r="D77" s="100" t="s">
        <v>522</v>
      </c>
      <c r="E77" s="100">
        <v>1999</v>
      </c>
      <c r="F77" s="101" t="s">
        <v>581</v>
      </c>
      <c r="G77" s="100" t="s">
        <v>580</v>
      </c>
      <c r="H77" s="100"/>
      <c r="I77" s="100"/>
      <c r="J77" s="100"/>
      <c r="K77" s="203"/>
      <c r="L77" s="203"/>
      <c r="M77" s="203"/>
      <c r="N77" s="203"/>
      <c r="O77" s="203"/>
      <c r="P77" s="203"/>
      <c r="Q77" s="204"/>
      <c r="R77" s="100"/>
      <c r="S77" s="197"/>
      <c r="T77" s="100"/>
    </row>
    <row r="78" spans="1:20" customFormat="1" ht="13.2" x14ac:dyDescent="0.25">
      <c r="K78" s="188"/>
      <c r="L78" s="188"/>
      <c r="M78" s="188"/>
      <c r="N78" s="188"/>
      <c r="O78" s="188"/>
      <c r="P78" s="188"/>
      <c r="Q78" s="186"/>
      <c r="S78" s="189"/>
    </row>
    <row r="79" spans="1:20" customFormat="1" x14ac:dyDescent="0.3">
      <c r="A79" s="205" t="s">
        <v>521</v>
      </c>
      <c r="B79" s="13"/>
      <c r="C79" s="13"/>
      <c r="D79" s="13"/>
      <c r="E79" s="13"/>
      <c r="F79" s="13"/>
      <c r="G79" s="13"/>
      <c r="H79" s="13"/>
      <c r="I79" s="13"/>
      <c r="J79" s="13"/>
      <c r="K79" s="206"/>
      <c r="L79" s="206"/>
      <c r="M79" s="13"/>
      <c r="N79" s="13"/>
      <c r="O79" s="13"/>
      <c r="P79" s="13"/>
      <c r="Q79" s="13"/>
      <c r="R79" s="13"/>
      <c r="S79" s="13"/>
      <c r="T79" s="13"/>
    </row>
    <row r="80" spans="1:20" customFormat="1" x14ac:dyDescent="0.3">
      <c r="A80" s="205"/>
      <c r="B80" s="13"/>
      <c r="C80" s="13"/>
      <c r="D80" s="13"/>
      <c r="E80" s="13"/>
      <c r="F80" s="13"/>
      <c r="G80" s="13"/>
      <c r="H80" s="13"/>
      <c r="I80" s="13"/>
      <c r="J80" s="13"/>
      <c r="K80" s="207"/>
      <c r="L80" s="207"/>
      <c r="M80" s="13"/>
      <c r="N80" s="13"/>
      <c r="O80" s="13"/>
      <c r="P80" s="13"/>
      <c r="Q80" s="13"/>
      <c r="R80" s="13"/>
      <c r="S80" s="13"/>
      <c r="T80" s="13"/>
    </row>
    <row r="81" spans="1:20" customFormat="1" x14ac:dyDescent="0.3">
      <c r="A81" s="208" t="s">
        <v>443</v>
      </c>
      <c r="B81" s="208" t="s">
        <v>455</v>
      </c>
      <c r="C81" s="208" t="s">
        <v>520</v>
      </c>
      <c r="D81" s="208" t="s">
        <v>454</v>
      </c>
      <c r="E81" s="208" t="s">
        <v>582</v>
      </c>
      <c r="F81" s="208" t="s">
        <v>114</v>
      </c>
      <c r="G81" s="208" t="s">
        <v>453</v>
      </c>
      <c r="H81" s="208" t="s">
        <v>62</v>
      </c>
      <c r="I81" s="13"/>
      <c r="J81" s="13"/>
      <c r="K81" s="209"/>
      <c r="L81" s="209"/>
      <c r="M81" s="13"/>
      <c r="N81" s="13"/>
      <c r="O81" s="13"/>
      <c r="P81" s="13"/>
      <c r="Q81" s="13"/>
      <c r="R81" s="13"/>
      <c r="S81" s="13"/>
      <c r="T81" s="13"/>
    </row>
    <row r="82" spans="1:20" customFormat="1" ht="13.2" x14ac:dyDescent="0.25">
      <c r="A82" s="13" t="s">
        <v>586</v>
      </c>
      <c r="B82" s="13" t="s">
        <v>452</v>
      </c>
      <c r="C82" s="13">
        <v>17</v>
      </c>
      <c r="D82" s="13" t="s">
        <v>519</v>
      </c>
      <c r="E82" s="13">
        <f>C82</f>
        <v>17</v>
      </c>
      <c r="F82" s="13">
        <v>2010</v>
      </c>
      <c r="G82" s="210" t="s">
        <v>583</v>
      </c>
      <c r="H82" s="13"/>
      <c r="I82" s="13"/>
      <c r="J82" s="13"/>
      <c r="K82" s="211"/>
      <c r="L82" s="211"/>
      <c r="M82" s="13"/>
      <c r="N82" s="13"/>
      <c r="O82" s="13"/>
      <c r="P82" s="13"/>
      <c r="Q82" s="13"/>
      <c r="R82" s="13"/>
      <c r="S82" s="13"/>
      <c r="T82" s="13"/>
    </row>
    <row r="83" spans="1:20" customFormat="1" ht="13.2" x14ac:dyDescent="0.25">
      <c r="A83" s="13" t="s">
        <v>586</v>
      </c>
      <c r="B83" s="13" t="s">
        <v>97</v>
      </c>
      <c r="C83" s="13">
        <f>2*6</f>
        <v>12</v>
      </c>
      <c r="D83" s="13" t="s">
        <v>519</v>
      </c>
      <c r="E83" s="13">
        <f>C83</f>
        <v>12</v>
      </c>
      <c r="F83" s="13"/>
      <c r="G83" s="13"/>
      <c r="H83" s="13" t="s">
        <v>584</v>
      </c>
      <c r="I83" s="13"/>
      <c r="J83" s="13"/>
      <c r="K83" s="211"/>
      <c r="L83" s="211"/>
      <c r="M83" s="13"/>
      <c r="N83" s="13"/>
      <c r="O83" s="13"/>
      <c r="P83" s="13"/>
      <c r="Q83" s="13"/>
      <c r="R83" s="13"/>
      <c r="S83" s="13"/>
      <c r="T83" s="13"/>
    </row>
    <row r="84" spans="1:20" customFormat="1" ht="13.2" x14ac:dyDescent="0.25">
      <c r="A84" s="13" t="s">
        <v>607</v>
      </c>
      <c r="B84" s="13" t="s">
        <v>452</v>
      </c>
      <c r="C84" s="13">
        <f>14000/500</f>
        <v>28</v>
      </c>
      <c r="D84" s="13"/>
      <c r="E84" s="13">
        <f>C84</f>
        <v>28</v>
      </c>
      <c r="F84" s="13">
        <v>2010</v>
      </c>
      <c r="G84" s="210" t="s">
        <v>583</v>
      </c>
      <c r="H84" s="13" t="s">
        <v>608</v>
      </c>
      <c r="I84" s="13"/>
      <c r="J84" s="13"/>
      <c r="K84" s="211"/>
      <c r="L84" s="211"/>
      <c r="M84" s="13"/>
      <c r="N84" s="13"/>
      <c r="O84" s="13"/>
      <c r="P84" s="13"/>
      <c r="Q84" s="13"/>
      <c r="R84" s="13"/>
      <c r="S84" s="13"/>
      <c r="T84" s="13"/>
    </row>
    <row r="85" spans="1:20" customFormat="1" ht="13.2" x14ac:dyDescent="0.25">
      <c r="A85" s="13" t="s">
        <v>518</v>
      </c>
      <c r="B85" s="13" t="s">
        <v>452</v>
      </c>
      <c r="C85" s="13">
        <f>17+25</f>
        <v>42</v>
      </c>
      <c r="D85" s="13"/>
      <c r="E85" s="13">
        <f>C85</f>
        <v>42</v>
      </c>
      <c r="F85" s="13">
        <v>2010</v>
      </c>
      <c r="G85" s="210" t="s">
        <v>583</v>
      </c>
      <c r="H85" s="13"/>
      <c r="I85" s="13"/>
      <c r="J85" s="206"/>
      <c r="K85" s="13"/>
      <c r="L85" s="13"/>
      <c r="M85" s="13"/>
      <c r="N85" s="13"/>
      <c r="O85" s="13"/>
      <c r="P85" s="13"/>
      <c r="Q85" s="13"/>
      <c r="R85" s="13"/>
      <c r="S85" s="13"/>
      <c r="T85" s="13"/>
    </row>
    <row r="86" spans="1:20" customFormat="1" ht="13.2" x14ac:dyDescent="0.25">
      <c r="A86" t="s">
        <v>590</v>
      </c>
      <c r="G86" s="182"/>
      <c r="J86" s="186"/>
    </row>
    <row r="87" spans="1:20" customFormat="1" ht="13.2" x14ac:dyDescent="0.25">
      <c r="A87" s="233" t="s">
        <v>605</v>
      </c>
      <c r="B87" s="64"/>
      <c r="C87" s="64"/>
      <c r="D87" s="64"/>
      <c r="E87" s="64"/>
      <c r="F87" s="64"/>
      <c r="G87" s="214"/>
      <c r="H87" s="64"/>
      <c r="I87" s="64"/>
      <c r="J87" s="231"/>
      <c r="K87" s="64"/>
      <c r="L87" s="64"/>
      <c r="M87" s="64"/>
      <c r="N87" s="64"/>
      <c r="O87" s="64"/>
      <c r="P87" s="64"/>
      <c r="Q87" s="64"/>
    </row>
    <row r="88" spans="1:20" customFormat="1" ht="13.2" x14ac:dyDescent="0.25">
      <c r="A88" s="64" t="s">
        <v>604</v>
      </c>
      <c r="B88" s="214" t="s">
        <v>583</v>
      </c>
      <c r="C88" s="64"/>
      <c r="D88" s="64"/>
      <c r="E88" s="64"/>
      <c r="F88" s="64"/>
      <c r="G88" s="214"/>
      <c r="H88" s="64"/>
      <c r="I88" s="64"/>
      <c r="J88" s="231"/>
      <c r="K88" s="64"/>
      <c r="L88" s="64"/>
      <c r="M88" s="64"/>
      <c r="N88" s="64"/>
      <c r="O88" s="64"/>
      <c r="P88" s="64"/>
      <c r="Q88" s="64"/>
    </row>
    <row r="89" spans="1:20" customFormat="1" ht="13.2" x14ac:dyDescent="0.25">
      <c r="A89" s="64"/>
      <c r="B89" s="214"/>
      <c r="C89" s="64"/>
      <c r="D89" s="64"/>
      <c r="E89" s="64"/>
      <c r="F89" s="64"/>
      <c r="G89" s="214"/>
      <c r="H89" s="64"/>
      <c r="I89" s="64"/>
      <c r="J89" s="231"/>
      <c r="K89" s="64"/>
      <c r="L89" s="64"/>
      <c r="M89" s="64"/>
      <c r="N89" s="64"/>
      <c r="O89" s="64"/>
      <c r="P89" s="64"/>
      <c r="Q89" s="64"/>
    </row>
    <row r="90" spans="1:20" customFormat="1" x14ac:dyDescent="0.3">
      <c r="A90" s="64"/>
      <c r="B90" s="232" t="s">
        <v>603</v>
      </c>
      <c r="C90" s="64"/>
      <c r="D90" s="64"/>
      <c r="E90" s="64"/>
      <c r="F90" s="64"/>
      <c r="G90" s="232" t="s">
        <v>517</v>
      </c>
      <c r="H90" s="64"/>
      <c r="I90" s="64"/>
      <c r="J90" s="64"/>
      <c r="K90" s="64"/>
      <c r="L90" s="64"/>
      <c r="M90" s="64"/>
      <c r="N90" s="64"/>
      <c r="O90" s="64"/>
      <c r="P90" s="64"/>
      <c r="Q90" s="64"/>
    </row>
    <row r="91" spans="1:20" customFormat="1" x14ac:dyDescent="0.3">
      <c r="A91" s="232" t="s">
        <v>516</v>
      </c>
      <c r="B91" s="64" t="s">
        <v>515</v>
      </c>
      <c r="C91" s="64" t="s">
        <v>514</v>
      </c>
      <c r="D91" s="64" t="s">
        <v>513</v>
      </c>
      <c r="E91" s="64" t="s">
        <v>512</v>
      </c>
      <c r="F91" s="64" t="s">
        <v>511</v>
      </c>
      <c r="G91" s="64" t="s">
        <v>515</v>
      </c>
      <c r="H91" s="64" t="s">
        <v>514</v>
      </c>
      <c r="I91" s="64" t="s">
        <v>513</v>
      </c>
      <c r="J91" s="64" t="s">
        <v>512</v>
      </c>
      <c r="K91" s="64" t="s">
        <v>511</v>
      </c>
      <c r="L91" s="64"/>
      <c r="M91" s="232" t="s">
        <v>510</v>
      </c>
      <c r="N91" s="64"/>
      <c r="O91" s="64" t="s">
        <v>615</v>
      </c>
      <c r="P91" s="64" t="str">
        <f>A100</f>
        <v>Ratio parking spaces/lane km</v>
      </c>
      <c r="Q91" s="64"/>
    </row>
    <row r="92" spans="1:20" customFormat="1" ht="13.2" x14ac:dyDescent="0.25">
      <c r="A92" s="64" t="s">
        <v>509</v>
      </c>
      <c r="B92" s="64">
        <v>35</v>
      </c>
      <c r="C92" s="64">
        <v>92</v>
      </c>
      <c r="D92" s="64">
        <v>180</v>
      </c>
      <c r="E92" s="64">
        <v>150</v>
      </c>
      <c r="F92" s="64">
        <v>1100</v>
      </c>
      <c r="G92" s="234">
        <f t="shared" ref="G92:K96" si="2">B92/B$96</f>
        <v>0.33333333333333331</v>
      </c>
      <c r="H92" s="234">
        <f t="shared" si="2"/>
        <v>0.12602739726027398</v>
      </c>
      <c r="I92" s="234">
        <f t="shared" si="2"/>
        <v>0.21951219512195122</v>
      </c>
      <c r="J92" s="234">
        <f t="shared" si="2"/>
        <v>0.17857142857142858</v>
      </c>
      <c r="K92" s="234">
        <f t="shared" si="2"/>
        <v>0.55000000000000004</v>
      </c>
      <c r="L92" s="235"/>
      <c r="M92" s="234">
        <f>AVERAGE(H92:J92)</f>
        <v>0.17470367365121794</v>
      </c>
      <c r="N92" s="242"/>
      <c r="O92" s="235">
        <f>AVERAGE(C92:E92)/$B$97</f>
        <v>0.56266666666666665</v>
      </c>
      <c r="P92" s="242">
        <f>C92/$B$98</f>
        <v>7.0769230769230766</v>
      </c>
      <c r="Q92" s="242"/>
    </row>
    <row r="93" spans="1:20" customFormat="1" ht="13.2" x14ac:dyDescent="0.25">
      <c r="A93" s="64" t="s">
        <v>508</v>
      </c>
      <c r="B93" s="64">
        <v>36</v>
      </c>
      <c r="C93" s="64">
        <f>520-C95</f>
        <v>374.79999999999995</v>
      </c>
      <c r="D93" s="64">
        <f>520-D95</f>
        <v>374.79999999999995</v>
      </c>
      <c r="E93" s="64">
        <f>610-E95</f>
        <v>464.79999999999995</v>
      </c>
      <c r="F93" s="64">
        <f>790-F95</f>
        <v>644.79999999999995</v>
      </c>
      <c r="G93" s="234">
        <f t="shared" si="2"/>
        <v>0.34285714285714286</v>
      </c>
      <c r="H93" s="234">
        <f t="shared" si="2"/>
        <v>0.51342465753424649</v>
      </c>
      <c r="I93" s="234">
        <f t="shared" si="2"/>
        <v>0.45707317073170728</v>
      </c>
      <c r="J93" s="234">
        <f t="shared" si="2"/>
        <v>0.55333333333333323</v>
      </c>
      <c r="K93" s="234">
        <f t="shared" si="2"/>
        <v>0.32239999999999996</v>
      </c>
      <c r="L93" s="235"/>
      <c r="M93" s="234">
        <f>AVERAGE(H93:J93)</f>
        <v>0.50794372053309567</v>
      </c>
      <c r="N93" s="242"/>
      <c r="O93" s="235">
        <f>AVERAGE(C93:E93)/$B$97</f>
        <v>1.6191999999999998</v>
      </c>
      <c r="P93" s="242">
        <f>C93/$B$98</f>
        <v>28.830769230769228</v>
      </c>
      <c r="Q93" s="242"/>
    </row>
    <row r="94" spans="1:20" customFormat="1" ht="13.2" x14ac:dyDescent="0.25">
      <c r="A94" s="64" t="s">
        <v>507</v>
      </c>
      <c r="B94" s="64">
        <v>34</v>
      </c>
      <c r="C94" s="64">
        <v>110</v>
      </c>
      <c r="D94" s="64">
        <v>110</v>
      </c>
      <c r="E94" s="64">
        <v>84</v>
      </c>
      <c r="F94" s="64">
        <v>120</v>
      </c>
      <c r="G94" s="234">
        <f t="shared" si="2"/>
        <v>0.32380952380952382</v>
      </c>
      <c r="H94" s="234">
        <f t="shared" si="2"/>
        <v>0.15068493150684931</v>
      </c>
      <c r="I94" s="234">
        <f t="shared" si="2"/>
        <v>0.13414634146341464</v>
      </c>
      <c r="J94" s="234">
        <f t="shared" si="2"/>
        <v>0.1</v>
      </c>
      <c r="K94" s="234">
        <f t="shared" si="2"/>
        <v>0.06</v>
      </c>
      <c r="L94" s="235"/>
      <c r="M94" s="234">
        <f>AVERAGE(H94:J94)</f>
        <v>0.12827709099008799</v>
      </c>
      <c r="N94" s="242"/>
      <c r="O94" s="235">
        <f>AVERAGE(C94:E94)/$B$97</f>
        <v>0.40533333333333332</v>
      </c>
      <c r="P94" s="242">
        <f>C94/$B$98</f>
        <v>8.4615384615384617</v>
      </c>
      <c r="Q94" s="242"/>
    </row>
    <row r="95" spans="1:20" customFormat="1" ht="13.2" x14ac:dyDescent="0.25">
      <c r="A95" s="64" t="s">
        <v>506</v>
      </c>
      <c r="B95" s="64"/>
      <c r="C95" s="64">
        <f>220*0.66</f>
        <v>145.20000000000002</v>
      </c>
      <c r="D95" s="64">
        <f>220*0.66</f>
        <v>145.20000000000002</v>
      </c>
      <c r="E95" s="64">
        <f>220*0.66</f>
        <v>145.20000000000002</v>
      </c>
      <c r="F95" s="64">
        <f>220*0.66</f>
        <v>145.20000000000002</v>
      </c>
      <c r="G95" s="234">
        <f t="shared" si="2"/>
        <v>0</v>
      </c>
      <c r="H95" s="234">
        <f t="shared" si="2"/>
        <v>0.19890410958904112</v>
      </c>
      <c r="I95" s="234">
        <f t="shared" si="2"/>
        <v>0.17707317073170734</v>
      </c>
      <c r="J95" s="234">
        <f t="shared" si="2"/>
        <v>0.17285714285714288</v>
      </c>
      <c r="K95" s="234">
        <f t="shared" si="2"/>
        <v>7.2600000000000012E-2</v>
      </c>
      <c r="L95" s="235"/>
      <c r="M95" s="234">
        <f>AVERAGE(H95:J95)</f>
        <v>0.18294480772596378</v>
      </c>
      <c r="N95" s="242"/>
      <c r="O95" s="235">
        <f>AVERAGE(C95:E95)/$B$97</f>
        <v>0.58080000000000009</v>
      </c>
      <c r="P95" s="242">
        <f>C95/$B$98</f>
        <v>11.16923076923077</v>
      </c>
      <c r="Q95" s="242"/>
    </row>
    <row r="96" spans="1:20" customFormat="1" ht="13.2" x14ac:dyDescent="0.25">
      <c r="A96" s="64" t="s">
        <v>14</v>
      </c>
      <c r="B96" s="64">
        <v>105</v>
      </c>
      <c r="C96" s="64">
        <v>730</v>
      </c>
      <c r="D96" s="64">
        <v>820</v>
      </c>
      <c r="E96" s="64">
        <v>840</v>
      </c>
      <c r="F96" s="64">
        <v>2000</v>
      </c>
      <c r="G96" s="234">
        <f t="shared" si="2"/>
        <v>1</v>
      </c>
      <c r="H96" s="234">
        <f t="shared" si="2"/>
        <v>1</v>
      </c>
      <c r="I96" s="234">
        <f t="shared" si="2"/>
        <v>1</v>
      </c>
      <c r="J96" s="234">
        <f t="shared" si="2"/>
        <v>1</v>
      </c>
      <c r="K96" s="234">
        <f t="shared" si="2"/>
        <v>1</v>
      </c>
      <c r="L96" s="235"/>
      <c r="M96" s="235">
        <f>SUM(M92:M95)</f>
        <v>0.99386929290036541</v>
      </c>
      <c r="N96" s="242"/>
      <c r="O96" s="235">
        <f>AVERAGE(C96:E96)/$B$97</f>
        <v>3.1866666666666665</v>
      </c>
      <c r="P96" s="242">
        <f>C96/$B$98</f>
        <v>56.153846153846153</v>
      </c>
      <c r="Q96" s="242"/>
    </row>
    <row r="97" spans="1:17" customFormat="1" ht="13.2" x14ac:dyDescent="0.25">
      <c r="A97" s="64" t="s">
        <v>616</v>
      </c>
      <c r="B97" s="64">
        <v>250</v>
      </c>
      <c r="C97" s="64"/>
      <c r="D97" s="64"/>
      <c r="E97" s="64"/>
      <c r="F97" s="64"/>
      <c r="G97" s="234">
        <f>B97/B$96</f>
        <v>2.3809523809523809</v>
      </c>
      <c r="H97" s="234"/>
      <c r="I97" s="234"/>
      <c r="J97" s="234"/>
      <c r="K97" s="234"/>
      <c r="L97" s="235"/>
      <c r="M97" s="235"/>
      <c r="N97" s="242"/>
      <c r="O97" s="64"/>
      <c r="P97" s="242"/>
      <c r="Q97" s="242"/>
    </row>
    <row r="98" spans="1:17" customFormat="1" ht="13.2" x14ac:dyDescent="0.25">
      <c r="A98" s="64" t="s">
        <v>621</v>
      </c>
      <c r="B98" s="64">
        <v>13</v>
      </c>
      <c r="C98" s="64"/>
      <c r="D98" s="64"/>
      <c r="E98" s="64"/>
      <c r="F98" s="64"/>
      <c r="G98" s="234">
        <f>B98/B$96</f>
        <v>0.12380952380952381</v>
      </c>
      <c r="H98" s="234"/>
      <c r="I98" s="234"/>
      <c r="J98" s="234"/>
      <c r="K98" s="234"/>
      <c r="L98" s="235"/>
      <c r="M98" s="235"/>
      <c r="N98" s="242"/>
      <c r="O98" s="64"/>
      <c r="P98" s="242"/>
      <c r="Q98" s="242"/>
    </row>
    <row r="99" spans="1:17" customFormat="1" ht="13.2" x14ac:dyDescent="0.25">
      <c r="A99" s="64" t="s">
        <v>615</v>
      </c>
      <c r="B99" s="236"/>
      <c r="C99" s="235">
        <f>C96/$B$97</f>
        <v>2.92</v>
      </c>
      <c r="D99" s="235">
        <f>D96/$B$97</f>
        <v>3.28</v>
      </c>
      <c r="E99" s="235">
        <f>E96/$B$97</f>
        <v>3.36</v>
      </c>
      <c r="F99" s="235">
        <f>F96/$B$97</f>
        <v>8</v>
      </c>
      <c r="G99" s="214"/>
      <c r="H99" s="64"/>
      <c r="I99" s="64"/>
      <c r="J99" s="231"/>
      <c r="K99" s="64"/>
      <c r="L99" s="64"/>
      <c r="M99" s="64"/>
      <c r="N99" s="64"/>
      <c r="O99" s="64"/>
      <c r="P99" s="64"/>
      <c r="Q99" s="64"/>
    </row>
    <row r="100" spans="1:17" customFormat="1" ht="13.2" x14ac:dyDescent="0.25">
      <c r="A100" s="64" t="s">
        <v>622</v>
      </c>
      <c r="B100" s="236"/>
      <c r="C100" s="235">
        <f>C96/$B$98</f>
        <v>56.153846153846153</v>
      </c>
      <c r="D100" s="235">
        <f>D96/$B$98</f>
        <v>63.07692307692308</v>
      </c>
      <c r="E100" s="235">
        <f>E96/$B$98</f>
        <v>64.615384615384613</v>
      </c>
      <c r="F100" s="235">
        <f>F96/$B$98</f>
        <v>153.84615384615384</v>
      </c>
      <c r="G100" s="214"/>
      <c r="H100" s="64"/>
      <c r="I100" s="64"/>
      <c r="J100" s="231"/>
      <c r="K100" s="64"/>
      <c r="L100" s="64"/>
      <c r="M100" s="64"/>
      <c r="N100" s="64"/>
      <c r="O100" s="64"/>
      <c r="P100" s="64"/>
      <c r="Q100" s="64"/>
    </row>
    <row r="101" spans="1:17" customFormat="1" ht="13.2" x14ac:dyDescent="0.25">
      <c r="G101" s="182"/>
      <c r="J101" s="186"/>
    </row>
    <row r="102" spans="1:17" customFormat="1" x14ac:dyDescent="0.3">
      <c r="A102" s="241" t="s">
        <v>602</v>
      </c>
      <c r="B102" s="7"/>
      <c r="C102" s="7"/>
      <c r="D102" s="7"/>
      <c r="E102" s="7"/>
      <c r="G102" s="182"/>
      <c r="J102" s="186"/>
    </row>
    <row r="103" spans="1:17" customFormat="1" ht="13.2" x14ac:dyDescent="0.25">
      <c r="A103" s="7"/>
      <c r="B103" s="7"/>
      <c r="C103" s="7"/>
      <c r="D103" s="7"/>
      <c r="E103" s="7"/>
      <c r="G103" s="182"/>
      <c r="J103" s="186"/>
    </row>
    <row r="104" spans="1:17" customFormat="1" ht="13.2" x14ac:dyDescent="0.25">
      <c r="A104" s="7"/>
      <c r="B104" s="7"/>
      <c r="C104" s="7"/>
      <c r="D104" s="7" t="s">
        <v>444</v>
      </c>
      <c r="E104" s="7" t="s">
        <v>16</v>
      </c>
      <c r="G104" s="182"/>
      <c r="J104" s="186"/>
    </row>
    <row r="105" spans="1:17" customFormat="1" x14ac:dyDescent="0.3">
      <c r="A105" s="7" t="s">
        <v>613</v>
      </c>
      <c r="B105" s="7" t="s">
        <v>612</v>
      </c>
      <c r="C105" s="7" t="s">
        <v>614</v>
      </c>
      <c r="D105" s="240">
        <v>15</v>
      </c>
      <c r="E105" s="7"/>
      <c r="G105" s="182"/>
      <c r="J105" s="186"/>
    </row>
    <row r="106" spans="1:17" customFormat="1" x14ac:dyDescent="0.3">
      <c r="A106" s="239" t="s">
        <v>606</v>
      </c>
      <c r="B106" s="7"/>
      <c r="C106" s="7"/>
      <c r="D106" s="7" t="s">
        <v>444</v>
      </c>
      <c r="E106" s="7" t="s">
        <v>16</v>
      </c>
      <c r="G106" s="182"/>
      <c r="J106" s="186"/>
    </row>
    <row r="107" spans="1:17" customFormat="1" x14ac:dyDescent="0.3">
      <c r="A107" s="7" t="s">
        <v>609</v>
      </c>
      <c r="B107" s="7" t="s">
        <v>611</v>
      </c>
      <c r="C107" s="7" t="s">
        <v>611</v>
      </c>
      <c r="D107" s="240">
        <v>0.16300000000000001</v>
      </c>
      <c r="E107" s="240">
        <v>6.7000000000000004E-2</v>
      </c>
      <c r="G107" s="182"/>
      <c r="J107" s="186"/>
    </row>
    <row r="108" spans="1:17" customFormat="1" x14ac:dyDescent="0.3">
      <c r="A108" s="7" t="s">
        <v>610</v>
      </c>
      <c r="B108" s="7" t="s">
        <v>611</v>
      </c>
      <c r="C108" s="7" t="s">
        <v>611</v>
      </c>
      <c r="D108" s="240">
        <v>6.7000000000000004E-2</v>
      </c>
      <c r="E108" s="240">
        <v>6.2E-2</v>
      </c>
      <c r="G108" s="182"/>
      <c r="J108" s="186"/>
    </row>
    <row r="109" spans="1:17" customFormat="1" x14ac:dyDescent="0.3">
      <c r="C109" s="179"/>
      <c r="D109" s="179"/>
      <c r="G109" s="182"/>
      <c r="J109" s="186"/>
    </row>
    <row r="110" spans="1:17" customFormat="1" x14ac:dyDescent="0.3">
      <c r="A110" s="248" t="s">
        <v>623</v>
      </c>
      <c r="B110" s="97"/>
      <c r="C110" s="238"/>
      <c r="D110" s="179"/>
      <c r="G110" s="182"/>
      <c r="J110" s="186"/>
    </row>
    <row r="111" spans="1:17" customFormat="1" x14ac:dyDescent="0.3">
      <c r="A111" s="97"/>
      <c r="B111" s="97"/>
      <c r="C111" s="238"/>
      <c r="D111" s="179"/>
      <c r="G111" s="182"/>
      <c r="J111" s="186"/>
    </row>
    <row r="112" spans="1:17" customFormat="1" x14ac:dyDescent="0.3">
      <c r="A112" s="97"/>
      <c r="B112" s="97"/>
      <c r="C112" s="249" t="str">
        <f>C121</f>
        <v>Barcelona</v>
      </c>
      <c r="D112" s="179"/>
      <c r="G112" s="182"/>
      <c r="J112" s="186"/>
    </row>
    <row r="113" spans="1:11" customFormat="1" x14ac:dyDescent="0.3">
      <c r="A113" s="97" t="s">
        <v>636</v>
      </c>
      <c r="B113" s="97" t="s">
        <v>635</v>
      </c>
      <c r="C113" s="249">
        <f>C122*2+C123*4</f>
        <v>64</v>
      </c>
      <c r="D113" s="179"/>
      <c r="G113" s="182"/>
      <c r="J113" s="186"/>
    </row>
    <row r="114" spans="1:11" customFormat="1" x14ac:dyDescent="0.3">
      <c r="A114" s="97" t="s">
        <v>631</v>
      </c>
      <c r="B114" s="97" t="s">
        <v>633</v>
      </c>
      <c r="C114" s="250">
        <f>C122*1000/C119</f>
        <v>3333.3333333333335</v>
      </c>
      <c r="D114" s="179"/>
      <c r="G114" s="182"/>
      <c r="J114" s="186"/>
    </row>
    <row r="115" spans="1:11" customFormat="1" x14ac:dyDescent="0.3">
      <c r="A115" s="97" t="s">
        <v>631</v>
      </c>
      <c r="B115" s="97" t="s">
        <v>634</v>
      </c>
      <c r="C115" s="250">
        <f>C114/C113</f>
        <v>52.083333333333336</v>
      </c>
      <c r="D115" s="179"/>
      <c r="G115" s="182"/>
      <c r="J115" s="186"/>
    </row>
    <row r="116" spans="1:11" customFormat="1" x14ac:dyDescent="0.3">
      <c r="A116" s="97"/>
      <c r="B116" s="97"/>
      <c r="C116" s="249"/>
      <c r="D116" s="179"/>
      <c r="G116" s="182"/>
      <c r="J116" s="186"/>
    </row>
    <row r="117" spans="1:11" customFormat="1" x14ac:dyDescent="0.3">
      <c r="A117" s="97" t="s">
        <v>624</v>
      </c>
      <c r="B117" s="97" t="s">
        <v>625</v>
      </c>
      <c r="C117" s="249">
        <v>4</v>
      </c>
      <c r="D117" s="247"/>
      <c r="G117" s="182"/>
      <c r="J117" s="186"/>
    </row>
    <row r="118" spans="1:11" customFormat="1" x14ac:dyDescent="0.3">
      <c r="A118" s="97" t="s">
        <v>626</v>
      </c>
      <c r="B118" s="97" t="s">
        <v>625</v>
      </c>
      <c r="C118" s="249">
        <v>2</v>
      </c>
      <c r="D118" s="247"/>
      <c r="G118" s="182"/>
      <c r="J118" s="186"/>
    </row>
    <row r="119" spans="1:11" customFormat="1" x14ac:dyDescent="0.3">
      <c r="A119" s="97" t="s">
        <v>627</v>
      </c>
      <c r="B119" s="97" t="s">
        <v>625</v>
      </c>
      <c r="C119" s="249">
        <v>6</v>
      </c>
      <c r="D119" s="247"/>
      <c r="G119" s="182"/>
      <c r="J119" s="186"/>
    </row>
    <row r="120" spans="1:11" customFormat="1" x14ac:dyDescent="0.3">
      <c r="A120" s="97"/>
      <c r="B120" s="97"/>
      <c r="C120" s="249"/>
      <c r="D120" s="179"/>
      <c r="G120" s="182"/>
      <c r="J120" s="186"/>
    </row>
    <row r="121" spans="1:11" customFormat="1" x14ac:dyDescent="0.3">
      <c r="A121" s="97"/>
      <c r="B121" s="97"/>
      <c r="C121" s="249" t="s">
        <v>630</v>
      </c>
      <c r="D121" s="179"/>
      <c r="G121" s="182"/>
      <c r="J121" s="186"/>
    </row>
    <row r="122" spans="1:11" customFormat="1" x14ac:dyDescent="0.3">
      <c r="A122" s="97" t="s">
        <v>629</v>
      </c>
      <c r="B122" s="97" t="s">
        <v>628</v>
      </c>
      <c r="C122" s="249">
        <f>10+10</f>
        <v>20</v>
      </c>
      <c r="D122" s="179"/>
      <c r="G122" s="182"/>
      <c r="J122" s="186"/>
    </row>
    <row r="123" spans="1:11" customFormat="1" x14ac:dyDescent="0.3">
      <c r="A123" s="97" t="s">
        <v>632</v>
      </c>
      <c r="B123" s="97" t="s">
        <v>628</v>
      </c>
      <c r="C123" s="249">
        <f>3+3</f>
        <v>6</v>
      </c>
      <c r="D123" s="179"/>
      <c r="G123" s="182"/>
      <c r="J123" s="186"/>
    </row>
    <row r="124" spans="1:11" customFormat="1" x14ac:dyDescent="0.3">
      <c r="C124" s="179"/>
      <c r="D124" s="179"/>
      <c r="G124" s="182"/>
      <c r="J124" s="186"/>
    </row>
    <row r="125" spans="1:11" customFormat="1" ht="13.2" x14ac:dyDescent="0.25">
      <c r="A125" s="20" t="s">
        <v>587</v>
      </c>
      <c r="J125" s="186"/>
    </row>
    <row r="126" spans="1:11" customFormat="1" ht="13.2" x14ac:dyDescent="0.25"/>
    <row r="127" spans="1:11" customFormat="1" x14ac:dyDescent="0.3">
      <c r="A127" s="179" t="s">
        <v>443</v>
      </c>
      <c r="B127" s="179" t="s">
        <v>455</v>
      </c>
      <c r="C127" s="179" t="s">
        <v>483</v>
      </c>
      <c r="D127" s="179" t="s">
        <v>454</v>
      </c>
      <c r="E127" s="179" t="s">
        <v>585</v>
      </c>
      <c r="F127" s="179" t="s">
        <v>114</v>
      </c>
      <c r="G127" s="179" t="s">
        <v>453</v>
      </c>
      <c r="H127" s="179" t="s">
        <v>62</v>
      </c>
      <c r="I127" s="179"/>
      <c r="J127" s="186"/>
      <c r="K127" s="191"/>
    </row>
    <row r="128" spans="1:11" customFormat="1" ht="13.2" x14ac:dyDescent="0.25">
      <c r="A128" t="s">
        <v>494</v>
      </c>
      <c r="B128" t="s">
        <v>452</v>
      </c>
      <c r="C128">
        <v>11</v>
      </c>
      <c r="D128" t="s">
        <v>474</v>
      </c>
      <c r="E128" s="188">
        <f>C128/4</f>
        <v>2.75</v>
      </c>
      <c r="F128">
        <v>2017</v>
      </c>
      <c r="G128" s="189" t="s">
        <v>528</v>
      </c>
      <c r="H128" t="s">
        <v>473</v>
      </c>
      <c r="J128" s="188"/>
      <c r="K128" s="191"/>
    </row>
    <row r="129" spans="1:14" customFormat="1" ht="13.2" x14ac:dyDescent="0.25">
      <c r="A129" t="s">
        <v>494</v>
      </c>
      <c r="B129" t="s">
        <v>452</v>
      </c>
      <c r="C129">
        <v>19</v>
      </c>
      <c r="D129" t="s">
        <v>474</v>
      </c>
      <c r="E129" s="188">
        <f>C129/4</f>
        <v>4.75</v>
      </c>
      <c r="F129">
        <v>2017</v>
      </c>
      <c r="G129" s="189" t="s">
        <v>528</v>
      </c>
      <c r="H129" t="s">
        <v>473</v>
      </c>
      <c r="J129" s="186"/>
      <c r="K129" s="188"/>
    </row>
    <row r="130" spans="1:14" customFormat="1" ht="13.2" x14ac:dyDescent="0.25">
      <c r="A130" t="s">
        <v>494</v>
      </c>
      <c r="B130" t="s">
        <v>452</v>
      </c>
      <c r="C130">
        <v>27</v>
      </c>
      <c r="D130" t="s">
        <v>474</v>
      </c>
      <c r="E130" s="188">
        <f>C130/4</f>
        <v>6.75</v>
      </c>
      <c r="F130">
        <v>2017</v>
      </c>
      <c r="G130" s="189" t="s">
        <v>528</v>
      </c>
      <c r="H130" t="s">
        <v>473</v>
      </c>
      <c r="J130" s="186"/>
      <c r="K130" s="188"/>
    </row>
    <row r="131" spans="1:14" customFormat="1" ht="13.2" x14ac:dyDescent="0.25">
      <c r="A131" t="s">
        <v>444</v>
      </c>
      <c r="B131" t="s">
        <v>96</v>
      </c>
      <c r="C131">
        <v>2361.59375</v>
      </c>
      <c r="D131" t="s">
        <v>475</v>
      </c>
      <c r="E131" s="186">
        <f>C131</f>
        <v>2361.59375</v>
      </c>
      <c r="F131">
        <v>2006</v>
      </c>
      <c r="G131" s="181" t="s">
        <v>526</v>
      </c>
      <c r="H131" t="s">
        <v>532</v>
      </c>
      <c r="I131" s="186"/>
      <c r="J131" s="186"/>
      <c r="K131" s="188"/>
    </row>
    <row r="132" spans="1:14" customFormat="1" x14ac:dyDescent="0.3">
      <c r="A132" t="str">
        <f>A131</f>
        <v>Concrete</v>
      </c>
      <c r="B132" t="s">
        <v>452</v>
      </c>
      <c r="C132">
        <v>2765.1029699999999</v>
      </c>
      <c r="D132" t="s">
        <v>475</v>
      </c>
      <c r="E132" s="187">
        <f>C132</f>
        <v>2765.1029699999999</v>
      </c>
      <c r="F132">
        <v>2013</v>
      </c>
      <c r="G132" s="181" t="s">
        <v>527</v>
      </c>
      <c r="I132" s="187"/>
      <c r="J132" s="186"/>
      <c r="K132" s="188"/>
    </row>
    <row r="133" spans="1:14" customFormat="1" x14ac:dyDescent="0.3">
      <c r="A133" t="str">
        <f>A132</f>
        <v>Concrete</v>
      </c>
      <c r="B133" t="s">
        <v>452</v>
      </c>
      <c r="C133">
        <v>4020.1752130555556</v>
      </c>
      <c r="D133" t="s">
        <v>475</v>
      </c>
      <c r="E133" s="187">
        <f>C133</f>
        <v>4020.1752130555556</v>
      </c>
      <c r="F133">
        <v>2013</v>
      </c>
      <c r="G133" s="181" t="s">
        <v>527</v>
      </c>
      <c r="I133" s="187"/>
      <c r="J133" s="186"/>
      <c r="K133" s="188"/>
    </row>
    <row r="134" spans="1:14" customFormat="1" x14ac:dyDescent="0.3">
      <c r="A134" t="str">
        <f>A133</f>
        <v>Concrete</v>
      </c>
      <c r="B134" t="s">
        <v>452</v>
      </c>
      <c r="C134">
        <v>3164.8888888888887</v>
      </c>
      <c r="D134" t="s">
        <v>475</v>
      </c>
      <c r="E134" s="188">
        <f>C134</f>
        <v>3164.8888888888887</v>
      </c>
      <c r="F134">
        <v>2006</v>
      </c>
      <c r="G134" s="181" t="s">
        <v>526</v>
      </c>
      <c r="H134" t="s">
        <v>531</v>
      </c>
      <c r="I134" s="188"/>
      <c r="J134" s="125"/>
    </row>
    <row r="135" spans="1:14" customFormat="1" ht="13.2" x14ac:dyDescent="0.25">
      <c r="A135" t="str">
        <f>A134</f>
        <v>Concrete</v>
      </c>
      <c r="B135" t="s">
        <v>450</v>
      </c>
      <c r="C135">
        <f>37.1/10^3*10^3*30</f>
        <v>1113</v>
      </c>
      <c r="D135" t="s">
        <v>472</v>
      </c>
      <c r="E135" s="188">
        <f>C135</f>
        <v>1113</v>
      </c>
      <c r="G135" t="s">
        <v>471</v>
      </c>
      <c r="I135" s="188"/>
      <c r="K135" s="188"/>
      <c r="L135" s="188"/>
      <c r="M135" s="188"/>
      <c r="N135" s="188"/>
    </row>
    <row r="136" spans="1:14" customFormat="1" x14ac:dyDescent="0.3">
      <c r="A136" t="str">
        <f>A135</f>
        <v>Concrete</v>
      </c>
      <c r="B136" t="s">
        <v>452</v>
      </c>
      <c r="C136">
        <v>442.3380726698262</v>
      </c>
      <c r="D136" t="s">
        <v>468</v>
      </c>
      <c r="E136" s="188">
        <f>C136/2/$B$46</f>
        <v>1769.3522906793048</v>
      </c>
      <c r="F136">
        <v>2005</v>
      </c>
      <c r="G136" s="181" t="s">
        <v>529</v>
      </c>
      <c r="I136" s="188"/>
      <c r="K136" s="125"/>
      <c r="L136" s="125"/>
      <c r="M136" s="125"/>
      <c r="N136" s="125"/>
    </row>
    <row r="137" spans="1:14" customFormat="1" x14ac:dyDescent="0.3">
      <c r="A137" t="s">
        <v>16</v>
      </c>
      <c r="B137">
        <v>17.688440567066522</v>
      </c>
      <c r="C137" t="s">
        <v>493</v>
      </c>
      <c r="D137" s="186">
        <f>B137</f>
        <v>17.688440567066522</v>
      </c>
      <c r="E137">
        <v>2013</v>
      </c>
      <c r="F137" s="181" t="s">
        <v>525</v>
      </c>
      <c r="G137" s="186"/>
      <c r="H137" s="186"/>
      <c r="I137" s="186"/>
      <c r="K137" s="193"/>
      <c r="L137" s="193"/>
    </row>
    <row r="138" spans="1:14" customFormat="1" ht="13.2" x14ac:dyDescent="0.25">
      <c r="A138" t="s">
        <v>16</v>
      </c>
      <c r="B138">
        <v>6.25</v>
      </c>
      <c r="C138" t="s">
        <v>485</v>
      </c>
      <c r="D138" s="186">
        <f>B138</f>
        <v>6.25</v>
      </c>
      <c r="E138">
        <v>2006</v>
      </c>
      <c r="F138" s="181" t="s">
        <v>526</v>
      </c>
      <c r="G138" t="s">
        <v>480</v>
      </c>
      <c r="H138" s="186"/>
      <c r="I138" s="186"/>
      <c r="K138" s="186"/>
      <c r="L138" s="186"/>
    </row>
    <row r="139" spans="1:14" customFormat="1" ht="13.2" x14ac:dyDescent="0.25">
      <c r="A139" t="s">
        <v>16</v>
      </c>
      <c r="B139">
        <f>141.12/4</f>
        <v>35.28</v>
      </c>
      <c r="C139" t="s">
        <v>485</v>
      </c>
      <c r="D139">
        <f>B139</f>
        <v>35.28</v>
      </c>
      <c r="E139">
        <v>2012</v>
      </c>
      <c r="F139" s="181" t="s">
        <v>572</v>
      </c>
      <c r="G139" t="s">
        <v>576</v>
      </c>
      <c r="J139" s="186"/>
      <c r="K139" s="188"/>
    </row>
    <row r="140" spans="1:14" customFormat="1" ht="13.2" x14ac:dyDescent="0.25">
      <c r="A140" t="s">
        <v>16</v>
      </c>
      <c r="B140">
        <v>21.072939881141885</v>
      </c>
      <c r="C140" t="s">
        <v>493</v>
      </c>
      <c r="D140" s="186">
        <f>B140</f>
        <v>21.072939881141885</v>
      </c>
      <c r="E140">
        <v>2013</v>
      </c>
      <c r="F140" s="181" t="s">
        <v>525</v>
      </c>
      <c r="G140" s="186"/>
      <c r="H140" s="186"/>
      <c r="I140" s="186"/>
      <c r="J140" s="186"/>
      <c r="K140" s="188"/>
    </row>
    <row r="141" spans="1:14" customFormat="1" ht="13.2" x14ac:dyDescent="0.25">
      <c r="A141" t="s">
        <v>16</v>
      </c>
      <c r="B141">
        <v>13.644309675602006</v>
      </c>
      <c r="C141" t="s">
        <v>485</v>
      </c>
      <c r="D141" s="188">
        <f>B141</f>
        <v>13.644309675602006</v>
      </c>
      <c r="E141">
        <v>2006</v>
      </c>
      <c r="F141" s="181" t="s">
        <v>526</v>
      </c>
      <c r="G141" t="s">
        <v>492</v>
      </c>
      <c r="H141" s="188"/>
      <c r="I141" s="188"/>
      <c r="J141" s="186"/>
      <c r="K141" s="188"/>
    </row>
    <row r="142" spans="1:14" customFormat="1" x14ac:dyDescent="0.3">
      <c r="A142" t="s">
        <v>16</v>
      </c>
      <c r="B142">
        <v>18.3</v>
      </c>
      <c r="C142" t="s">
        <v>491</v>
      </c>
      <c r="D142" s="186">
        <f>B142*$C$40/$C$35</f>
        <v>10.315710477587087</v>
      </c>
      <c r="E142">
        <v>2010</v>
      </c>
      <c r="F142" s="192" t="s">
        <v>530</v>
      </c>
      <c r="G142" s="186"/>
      <c r="H142" s="186"/>
      <c r="I142" s="186"/>
      <c r="J142" s="125"/>
    </row>
    <row r="143" spans="1:14" customFormat="1" x14ac:dyDescent="0.3">
      <c r="D143" s="186"/>
      <c r="F143" s="181"/>
      <c r="G143" s="186"/>
      <c r="H143" s="186"/>
      <c r="I143" s="186"/>
      <c r="K143" s="125"/>
      <c r="L143" s="125"/>
      <c r="M143" s="125"/>
      <c r="N143" s="125"/>
    </row>
    <row r="144" spans="1:14" x14ac:dyDescent="0.3">
      <c r="A144" s="179" t="s">
        <v>447</v>
      </c>
      <c r="B144"/>
      <c r="C144"/>
      <c r="D144"/>
      <c r="E144"/>
    </row>
    <row r="145" spans="1:16" x14ac:dyDescent="0.3">
      <c r="A145" s="179"/>
      <c r="B145"/>
      <c r="C145"/>
      <c r="D145"/>
      <c r="E145"/>
    </row>
    <row r="146" spans="1:16" x14ac:dyDescent="0.3">
      <c r="A146" s="216" t="s">
        <v>544</v>
      </c>
      <c r="B146" s="216" t="s">
        <v>546</v>
      </c>
      <c r="C146" s="216" t="s">
        <v>545</v>
      </c>
      <c r="D146" s="216" t="s">
        <v>114</v>
      </c>
      <c r="E146" s="216" t="s">
        <v>453</v>
      </c>
      <c r="F146" s="216" t="s">
        <v>62</v>
      </c>
      <c r="G146" s="217"/>
      <c r="H146" s="217"/>
      <c r="I146" s="217"/>
      <c r="J146" s="217"/>
      <c r="K146" s="217"/>
      <c r="L146" s="217"/>
    </row>
    <row r="147" spans="1:16" x14ac:dyDescent="0.3">
      <c r="A147" s="218" t="s">
        <v>445</v>
      </c>
      <c r="B147" s="218">
        <v>13218504</v>
      </c>
      <c r="C147" s="218">
        <v>1596660</v>
      </c>
      <c r="D147" s="217">
        <v>2010</v>
      </c>
      <c r="E147" s="219" t="s">
        <v>591</v>
      </c>
      <c r="F147" s="218" t="s">
        <v>543</v>
      </c>
      <c r="G147" s="217"/>
      <c r="H147" s="217"/>
      <c r="I147" s="217"/>
      <c r="J147" s="217"/>
      <c r="K147" s="217"/>
      <c r="L147" s="217"/>
    </row>
    <row r="148" spans="1:16" x14ac:dyDescent="0.3">
      <c r="A148" s="218" t="s">
        <v>445</v>
      </c>
      <c r="B148" s="218">
        <v>26349857</v>
      </c>
      <c r="C148" s="218">
        <v>1024206</v>
      </c>
      <c r="D148" s="217">
        <v>2010</v>
      </c>
      <c r="E148" s="219" t="s">
        <v>591</v>
      </c>
      <c r="F148" s="218" t="s">
        <v>542</v>
      </c>
      <c r="G148" s="217"/>
      <c r="H148" s="217"/>
      <c r="I148" s="217"/>
      <c r="J148" s="217"/>
      <c r="K148" s="217"/>
      <c r="L148" s="217"/>
    </row>
    <row r="149" spans="1:16" x14ac:dyDescent="0.3">
      <c r="A149" s="218" t="s">
        <v>463</v>
      </c>
      <c r="B149" s="218">
        <v>7036447</v>
      </c>
      <c r="C149" s="218">
        <v>393646</v>
      </c>
      <c r="D149" s="217">
        <v>2009</v>
      </c>
      <c r="E149" s="219" t="s">
        <v>592</v>
      </c>
      <c r="F149" s="218" t="s">
        <v>541</v>
      </c>
      <c r="G149" s="217"/>
      <c r="H149" s="217"/>
      <c r="I149" s="217"/>
      <c r="J149" s="217"/>
      <c r="K149" s="217"/>
      <c r="L149" s="217"/>
    </row>
    <row r="150" spans="1:16" x14ac:dyDescent="0.3">
      <c r="A150" s="218" t="s">
        <v>445</v>
      </c>
      <c r="B150" s="218">
        <v>12832027</v>
      </c>
      <c r="C150" s="218">
        <v>229664</v>
      </c>
      <c r="D150" s="217">
        <v>2010</v>
      </c>
      <c r="E150" s="219" t="s">
        <v>591</v>
      </c>
      <c r="F150" s="218" t="s">
        <v>540</v>
      </c>
      <c r="G150" s="217"/>
      <c r="H150" s="217"/>
      <c r="I150" s="217"/>
      <c r="J150" s="217"/>
      <c r="K150" s="217"/>
      <c r="L150" s="217"/>
    </row>
    <row r="151" spans="1:16" x14ac:dyDescent="0.3">
      <c r="A151" s="218" t="s">
        <v>463</v>
      </c>
      <c r="B151" s="218">
        <v>8685220</v>
      </c>
      <c r="C151" s="218">
        <v>227772</v>
      </c>
      <c r="D151" s="217">
        <v>2009</v>
      </c>
      <c r="E151" s="219" t="s">
        <v>592</v>
      </c>
      <c r="F151" s="218" t="s">
        <v>539</v>
      </c>
      <c r="G151" s="217"/>
      <c r="H151" s="217"/>
      <c r="I151" s="217"/>
      <c r="J151" s="217"/>
      <c r="K151" s="217"/>
      <c r="L151" s="217"/>
    </row>
    <row r="152" spans="1:16" x14ac:dyDescent="0.3">
      <c r="A152" s="218" t="s">
        <v>463</v>
      </c>
      <c r="B152" s="218">
        <v>6470290</v>
      </c>
      <c r="C152" s="218">
        <v>206277</v>
      </c>
      <c r="D152" s="217">
        <v>2013</v>
      </c>
      <c r="E152" s="219" t="s">
        <v>594</v>
      </c>
      <c r="F152" s="218" t="s">
        <v>538</v>
      </c>
      <c r="G152" s="217"/>
      <c r="H152" s="217"/>
      <c r="I152" s="217"/>
      <c r="J152" s="217"/>
      <c r="K152" s="217"/>
      <c r="L152" s="217"/>
    </row>
    <row r="153" spans="1:16" x14ac:dyDescent="0.3">
      <c r="A153" s="218" t="s">
        <v>463</v>
      </c>
      <c r="B153" s="218">
        <v>1872728</v>
      </c>
      <c r="C153" s="218">
        <v>229664</v>
      </c>
      <c r="D153" s="217">
        <v>2009</v>
      </c>
      <c r="E153" s="219" t="s">
        <v>592</v>
      </c>
      <c r="F153" s="218" t="s">
        <v>537</v>
      </c>
      <c r="G153" s="217"/>
      <c r="H153" s="217"/>
      <c r="I153" s="217"/>
      <c r="J153" s="217"/>
      <c r="K153" s="217"/>
      <c r="L153" s="217"/>
    </row>
    <row r="154" spans="1:16" x14ac:dyDescent="0.3">
      <c r="A154" s="218" t="s">
        <v>534</v>
      </c>
      <c r="B154" s="218">
        <v>258979</v>
      </c>
      <c r="C154" s="218">
        <v>224951</v>
      </c>
      <c r="D154" s="217">
        <v>2010</v>
      </c>
      <c r="E154" s="219" t="s">
        <v>591</v>
      </c>
      <c r="F154" s="218" t="s">
        <v>536</v>
      </c>
      <c r="G154" s="217"/>
      <c r="H154" s="217"/>
      <c r="I154" s="217"/>
      <c r="J154" s="217"/>
      <c r="K154" s="217"/>
      <c r="L154" s="217"/>
    </row>
    <row r="155" spans="1:16" x14ac:dyDescent="0.3">
      <c r="A155" s="218" t="s">
        <v>534</v>
      </c>
      <c r="B155" s="218">
        <v>2989967</v>
      </c>
      <c r="C155" s="218">
        <v>200097</v>
      </c>
      <c r="D155" s="217">
        <v>2010</v>
      </c>
      <c r="E155" s="219" t="s">
        <v>591</v>
      </c>
      <c r="F155" s="218" t="s">
        <v>535</v>
      </c>
      <c r="G155" s="217"/>
      <c r="H155" s="217"/>
      <c r="I155" s="217"/>
      <c r="J155" s="217"/>
      <c r="K155" s="217"/>
      <c r="L155" s="217"/>
    </row>
    <row r="156" spans="1:16" x14ac:dyDescent="0.3">
      <c r="A156" s="218" t="s">
        <v>457</v>
      </c>
      <c r="B156" s="218">
        <v>6982782</v>
      </c>
      <c r="C156" s="218">
        <v>200342</v>
      </c>
      <c r="D156" s="217">
        <v>2010</v>
      </c>
      <c r="E156" s="219" t="s">
        <v>593</v>
      </c>
      <c r="F156" s="218" t="s">
        <v>595</v>
      </c>
      <c r="G156" s="217"/>
      <c r="H156" s="217"/>
      <c r="I156" s="217"/>
      <c r="J156" s="217"/>
      <c r="K156" s="217"/>
      <c r="L156" s="217"/>
    </row>
    <row r="157" spans="1:16" x14ac:dyDescent="0.3">
      <c r="A157"/>
      <c r="B157"/>
      <c r="C157"/>
      <c r="E157"/>
      <c r="F157"/>
    </row>
    <row r="158" spans="1:16" x14ac:dyDescent="0.3">
      <c r="A158" s="220" t="s">
        <v>570</v>
      </c>
      <c r="B158" s="221"/>
      <c r="C158" s="221"/>
      <c r="D158" s="221"/>
      <c r="E158" s="221"/>
      <c r="F158" s="221"/>
      <c r="G158" s="221"/>
      <c r="H158" s="221"/>
      <c r="I158" s="221"/>
      <c r="J158" s="221"/>
      <c r="K158" s="221"/>
      <c r="L158" s="221"/>
      <c r="M158" s="221"/>
      <c r="N158" s="221"/>
      <c r="O158" s="221"/>
      <c r="P158" s="221"/>
    </row>
    <row r="159" spans="1:16" x14ac:dyDescent="0.3">
      <c r="A159" s="212" t="s">
        <v>596</v>
      </c>
      <c r="B159" s="221"/>
      <c r="C159" s="221"/>
      <c r="D159" s="221"/>
      <c r="E159" s="221"/>
      <c r="F159" s="221"/>
      <c r="G159" s="221"/>
      <c r="H159" s="221"/>
      <c r="I159" s="221"/>
      <c r="J159" s="221"/>
      <c r="K159" s="221"/>
      <c r="L159" s="221"/>
      <c r="M159" s="221"/>
      <c r="N159" s="221"/>
      <c r="O159" s="221"/>
      <c r="P159" s="221"/>
    </row>
    <row r="160" spans="1:16" customFormat="1" x14ac:dyDescent="0.3">
      <c r="A160" s="222" t="s">
        <v>569</v>
      </c>
      <c r="B160" s="180"/>
      <c r="C160" s="223"/>
      <c r="D160" s="223"/>
      <c r="E160" s="223"/>
      <c r="F160" s="223"/>
      <c r="G160" s="223"/>
      <c r="H160" s="180"/>
      <c r="I160" s="180"/>
      <c r="J160" s="180"/>
      <c r="K160" s="180"/>
      <c r="L160" s="180"/>
      <c r="M160" s="180"/>
      <c r="N160" s="180"/>
      <c r="O160" s="180"/>
      <c r="P160" s="180"/>
    </row>
    <row r="161" spans="1:16" customFormat="1" ht="13.2" x14ac:dyDescent="0.25">
      <c r="A161" s="180"/>
      <c r="B161" s="180"/>
      <c r="C161" s="223"/>
      <c r="D161" s="223" t="s">
        <v>568</v>
      </c>
      <c r="E161" s="223"/>
      <c r="F161" s="223" t="s">
        <v>567</v>
      </c>
      <c r="G161" s="223"/>
      <c r="H161" s="180"/>
      <c r="I161" s="180"/>
      <c r="J161" s="180"/>
      <c r="K161" s="180"/>
      <c r="L161" s="180"/>
      <c r="M161" s="180"/>
      <c r="N161" s="180"/>
      <c r="O161" s="180"/>
      <c r="P161" s="180"/>
    </row>
    <row r="162" spans="1:16" customFormat="1" x14ac:dyDescent="0.3">
      <c r="A162" s="180"/>
      <c r="B162" s="180"/>
      <c r="C162" s="180"/>
      <c r="D162" s="224" t="s">
        <v>566</v>
      </c>
      <c r="E162" s="180"/>
      <c r="F162" s="225" t="s">
        <v>565</v>
      </c>
      <c r="G162" s="225"/>
      <c r="H162" s="223"/>
      <c r="I162" s="180"/>
      <c r="J162" s="224" t="s">
        <v>564</v>
      </c>
      <c r="K162" s="180"/>
      <c r="L162" s="180"/>
      <c r="M162" s="180"/>
      <c r="N162" s="180"/>
      <c r="O162" s="180"/>
      <c r="P162" s="180"/>
    </row>
    <row r="163" spans="1:16" customFormat="1" x14ac:dyDescent="0.3">
      <c r="A163" s="180"/>
      <c r="B163" s="224" t="s">
        <v>563</v>
      </c>
      <c r="C163" s="224" t="s">
        <v>516</v>
      </c>
      <c r="D163" s="222" t="s">
        <v>561</v>
      </c>
      <c r="E163" s="226" t="s">
        <v>562</v>
      </c>
      <c r="F163" s="222" t="s">
        <v>561</v>
      </c>
      <c r="G163" s="222"/>
      <c r="H163" s="226" t="s">
        <v>560</v>
      </c>
      <c r="I163" s="180"/>
      <c r="J163" s="222" t="s">
        <v>561</v>
      </c>
      <c r="K163" s="226" t="s">
        <v>560</v>
      </c>
      <c r="L163" s="226"/>
      <c r="M163" s="180"/>
      <c r="N163" s="180"/>
      <c r="O163" s="180"/>
      <c r="P163" s="180"/>
    </row>
    <row r="164" spans="1:16" customFormat="1" ht="13.2" x14ac:dyDescent="0.25">
      <c r="A164" s="180" t="s">
        <v>310</v>
      </c>
      <c r="B164" s="180">
        <f>44+23+21</f>
        <v>88</v>
      </c>
      <c r="C164" s="180" t="s">
        <v>558</v>
      </c>
      <c r="D164" s="180">
        <v>26</v>
      </c>
      <c r="E164" s="223">
        <v>810</v>
      </c>
      <c r="F164" s="223">
        <v>16</v>
      </c>
      <c r="G164" s="223"/>
      <c r="H164" s="223">
        <v>16</v>
      </c>
      <c r="I164" s="180"/>
      <c r="J164" s="180">
        <f>(D164+F164)/B164</f>
        <v>0.47727272727272729</v>
      </c>
      <c r="K164" s="180">
        <f>(E164/10^3+H164)/B164</f>
        <v>0.19102272727272726</v>
      </c>
      <c r="L164" s="180"/>
      <c r="M164" s="180"/>
      <c r="N164" s="180"/>
      <c r="O164" s="180"/>
      <c r="P164" s="180"/>
    </row>
    <row r="165" spans="1:16" customFormat="1" ht="13.2" x14ac:dyDescent="0.25">
      <c r="A165" s="180" t="s">
        <v>559</v>
      </c>
      <c r="B165" s="180">
        <v>77</v>
      </c>
      <c r="C165" s="180" t="s">
        <v>558</v>
      </c>
      <c r="D165" s="180">
        <v>0.6</v>
      </c>
      <c r="E165" s="223">
        <v>18</v>
      </c>
      <c r="F165" s="223">
        <v>2.4</v>
      </c>
      <c r="G165" s="223"/>
      <c r="H165" s="223">
        <v>27</v>
      </c>
      <c r="I165" s="180"/>
      <c r="J165" s="180">
        <f>(D165+F165)/B165</f>
        <v>3.896103896103896E-2</v>
      </c>
      <c r="K165" s="180">
        <f>(E165/10^3+H165)/B165</f>
        <v>0.35088311688311691</v>
      </c>
      <c r="L165" s="180"/>
      <c r="M165" s="180" t="s">
        <v>550</v>
      </c>
      <c r="N165" s="180"/>
      <c r="O165" s="180"/>
      <c r="P165" s="180"/>
    </row>
    <row r="166" spans="1:16" customFormat="1" ht="13.2" x14ac:dyDescent="0.25">
      <c r="A166" s="180" t="s">
        <v>557</v>
      </c>
      <c r="B166" s="180">
        <v>64</v>
      </c>
      <c r="C166" s="180" t="s">
        <v>463</v>
      </c>
      <c r="D166" s="180">
        <v>6.8</v>
      </c>
      <c r="E166" s="223">
        <v>210</v>
      </c>
      <c r="F166" s="223">
        <v>0</v>
      </c>
      <c r="G166" s="223"/>
      <c r="H166" s="223">
        <v>22</v>
      </c>
      <c r="I166" s="180"/>
      <c r="J166" s="180">
        <f>(D166+F166)/B166</f>
        <v>0.10625</v>
      </c>
      <c r="K166" s="180">
        <f>(E166/10^3+H166)/B166</f>
        <v>0.34703125000000001</v>
      </c>
      <c r="L166" s="180"/>
      <c r="M166" s="180" t="s">
        <v>556</v>
      </c>
      <c r="N166" s="227"/>
      <c r="O166" s="180"/>
      <c r="P166" s="180" t="s">
        <v>555</v>
      </c>
    </row>
    <row r="167" spans="1:16" customFormat="1" ht="13.2" x14ac:dyDescent="0.25">
      <c r="A167" s="180" t="s">
        <v>554</v>
      </c>
      <c r="B167" s="180">
        <v>39</v>
      </c>
      <c r="C167" s="180" t="s">
        <v>463</v>
      </c>
      <c r="D167" s="180">
        <v>5.9</v>
      </c>
      <c r="E167" s="223">
        <v>180</v>
      </c>
      <c r="F167" s="223">
        <v>0</v>
      </c>
      <c r="G167" s="223"/>
      <c r="H167" s="223">
        <v>37</v>
      </c>
      <c r="I167" s="180"/>
      <c r="J167" s="180">
        <f>(D167+F167)/B167</f>
        <v>0.1512820512820513</v>
      </c>
      <c r="K167" s="180">
        <f>(E167/10^3+H167)/B167</f>
        <v>0.95333333333333337</v>
      </c>
      <c r="L167" s="180"/>
      <c r="M167" s="180" t="s">
        <v>553</v>
      </c>
      <c r="N167" s="180"/>
      <c r="O167" s="180"/>
      <c r="P167" s="180"/>
    </row>
    <row r="168" spans="1:16" customFormat="1" ht="13.2" x14ac:dyDescent="0.25">
      <c r="A168" s="180" t="s">
        <v>552</v>
      </c>
      <c r="B168" s="180">
        <v>800</v>
      </c>
      <c r="C168" s="180" t="s">
        <v>551</v>
      </c>
      <c r="D168" s="180">
        <v>1.1000000000000001</v>
      </c>
      <c r="E168" s="223">
        <v>32</v>
      </c>
      <c r="F168" s="223">
        <v>340</v>
      </c>
      <c r="G168" s="223"/>
      <c r="H168" s="223">
        <v>260</v>
      </c>
      <c r="I168" s="180"/>
      <c r="J168" s="180">
        <f>(D168+F168)/B168</f>
        <v>0.426375</v>
      </c>
      <c r="K168" s="180">
        <f>(E168/10^3+H168)/B168</f>
        <v>0.32504</v>
      </c>
      <c r="L168" s="180"/>
      <c r="M168" s="180" t="s">
        <v>550</v>
      </c>
      <c r="N168" s="180"/>
      <c r="O168" s="180"/>
      <c r="P168" s="180"/>
    </row>
    <row r="169" spans="1:16" customFormat="1" ht="13.2" x14ac:dyDescent="0.25">
      <c r="E169" s="184"/>
      <c r="F169" s="184"/>
      <c r="G169" s="184"/>
      <c r="H169" s="184"/>
    </row>
    <row r="170" spans="1:16" customFormat="1" x14ac:dyDescent="0.3">
      <c r="A170" s="20" t="s">
        <v>463</v>
      </c>
      <c r="D170" s="186"/>
      <c r="F170" s="181"/>
      <c r="G170" s="186"/>
      <c r="H170" s="186"/>
      <c r="I170" s="186"/>
      <c r="K170" s="125"/>
      <c r="L170" s="125"/>
      <c r="M170" s="125"/>
      <c r="N170" s="125"/>
    </row>
    <row r="171" spans="1:16" customFormat="1" x14ac:dyDescent="0.3">
      <c r="D171" s="186"/>
      <c r="F171" s="181"/>
      <c r="G171" s="186"/>
      <c r="H171" s="186"/>
      <c r="I171" s="186"/>
      <c r="K171" s="125"/>
      <c r="L171" s="125"/>
      <c r="M171" s="125"/>
      <c r="N171" s="125"/>
    </row>
    <row r="172" spans="1:16" customFormat="1" x14ac:dyDescent="0.3">
      <c r="A172" s="179" t="s">
        <v>443</v>
      </c>
      <c r="B172" s="179" t="s">
        <v>455</v>
      </c>
      <c r="C172" s="179" t="s">
        <v>483</v>
      </c>
      <c r="D172" s="179" t="s">
        <v>454</v>
      </c>
      <c r="E172" s="179" t="s">
        <v>585</v>
      </c>
      <c r="F172" s="179" t="s">
        <v>114</v>
      </c>
      <c r="G172" s="179" t="s">
        <v>453</v>
      </c>
      <c r="H172" s="179" t="s">
        <v>62</v>
      </c>
      <c r="I172" s="179"/>
      <c r="K172" s="125"/>
      <c r="L172" s="125"/>
      <c r="M172" s="125"/>
      <c r="N172" s="125"/>
    </row>
    <row r="173" spans="1:16" customFormat="1" x14ac:dyDescent="0.3">
      <c r="A173" t="s">
        <v>444</v>
      </c>
      <c r="B173" t="s">
        <v>452</v>
      </c>
      <c r="C173">
        <f>AVERAGE(J166,J167)</f>
        <v>0.12876602564102566</v>
      </c>
      <c r="D173" t="s">
        <v>462</v>
      </c>
      <c r="E173" s="190">
        <f>C173*10^6*$C$38*$C$36/$C$35</f>
        <v>5452.4154414932964</v>
      </c>
      <c r="F173">
        <v>2008</v>
      </c>
      <c r="G173" s="181" t="s">
        <v>533</v>
      </c>
      <c r="H173" s="188"/>
      <c r="I173" s="188"/>
      <c r="J173" s="186"/>
      <c r="K173" s="186"/>
      <c r="L173" s="186"/>
      <c r="M173" s="125"/>
      <c r="N173" s="125"/>
    </row>
    <row r="174" spans="1:16" customFormat="1" x14ac:dyDescent="0.3">
      <c r="A174" t="str">
        <f>A173</f>
        <v>Concrete</v>
      </c>
      <c r="B174" t="s">
        <v>452</v>
      </c>
      <c r="C174" s="184">
        <f>MAX(B149,B151:B152)</f>
        <v>8685220</v>
      </c>
      <c r="D174" t="s">
        <v>458</v>
      </c>
      <c r="E174" s="190">
        <f>C174/1000</f>
        <v>8685.2199999999993</v>
      </c>
      <c r="F174">
        <v>2009</v>
      </c>
      <c r="G174" t="s">
        <v>571</v>
      </c>
      <c r="H174" t="s">
        <v>597</v>
      </c>
      <c r="I174" s="188"/>
      <c r="J174" s="186"/>
      <c r="K174" s="186"/>
      <c r="L174" s="186"/>
      <c r="M174" s="125"/>
      <c r="N174" s="125"/>
    </row>
    <row r="175" spans="1:16" customFormat="1" x14ac:dyDescent="0.3">
      <c r="A175" t="str">
        <f>A173</f>
        <v>Concrete</v>
      </c>
      <c r="B175" t="s">
        <v>452</v>
      </c>
      <c r="C175" s="184">
        <f>AVERAGEIF($A$147:$A$156,$A170,$B$147:$B$156)</f>
        <v>6016171.25</v>
      </c>
      <c r="D175" t="s">
        <v>458</v>
      </c>
      <c r="E175" s="190">
        <f>C175/1000</f>
        <v>6016.1712500000003</v>
      </c>
      <c r="F175">
        <v>2009</v>
      </c>
      <c r="G175" t="s">
        <v>571</v>
      </c>
      <c r="H175" t="s">
        <v>547</v>
      </c>
      <c r="I175" s="188"/>
      <c r="J175" s="186"/>
      <c r="K175" s="186"/>
      <c r="L175" s="186"/>
      <c r="M175" s="125"/>
      <c r="N175" s="125"/>
    </row>
    <row r="176" spans="1:16" customFormat="1" x14ac:dyDescent="0.3">
      <c r="A176" t="str">
        <f>A174</f>
        <v>Concrete</v>
      </c>
      <c r="B176" t="s">
        <v>452</v>
      </c>
      <c r="C176" s="184">
        <f>MIN(B149,B151:B152,B153)</f>
        <v>1872728</v>
      </c>
      <c r="D176" t="s">
        <v>458</v>
      </c>
      <c r="E176" s="190">
        <f>C176/1000</f>
        <v>1872.7280000000001</v>
      </c>
      <c r="F176">
        <v>2009</v>
      </c>
      <c r="G176" t="s">
        <v>571</v>
      </c>
      <c r="H176" t="s">
        <v>598</v>
      </c>
      <c r="I176" s="188"/>
      <c r="J176" s="186"/>
      <c r="K176" s="186"/>
      <c r="L176" s="186"/>
      <c r="M176" s="125"/>
      <c r="N176" s="125"/>
    </row>
    <row r="177" spans="1:14" customFormat="1" x14ac:dyDescent="0.3">
      <c r="A177" t="s">
        <v>16</v>
      </c>
      <c r="B177" t="s">
        <v>452</v>
      </c>
      <c r="C177">
        <f>AVERAGE(K166,K167)</f>
        <v>0.65018229166666663</v>
      </c>
      <c r="D177" t="s">
        <v>490</v>
      </c>
      <c r="E177" s="237">
        <f>C177*10^6*$C$43/$C$35</f>
        <v>183.25368538759162</v>
      </c>
      <c r="F177">
        <v>2008</v>
      </c>
      <c r="G177" s="181" t="s">
        <v>533</v>
      </c>
      <c r="H177" s="193"/>
      <c r="K177" s="188"/>
      <c r="L177" s="188"/>
      <c r="M177" s="125"/>
      <c r="N177" s="125"/>
    </row>
    <row r="178" spans="1:14" customFormat="1" x14ac:dyDescent="0.3">
      <c r="A178" t="str">
        <f>A177</f>
        <v>Steel</v>
      </c>
      <c r="B178" t="s">
        <v>452</v>
      </c>
      <c r="C178" s="184">
        <f>MAX(C149,C151:C152)</f>
        <v>393646</v>
      </c>
      <c r="D178" t="s">
        <v>458</v>
      </c>
      <c r="E178" s="190">
        <f>C178/1000</f>
        <v>393.64600000000002</v>
      </c>
      <c r="F178">
        <v>2009</v>
      </c>
      <c r="G178" t="s">
        <v>571</v>
      </c>
      <c r="H178" t="s">
        <v>597</v>
      </c>
      <c r="J178" s="186"/>
      <c r="K178" s="188"/>
      <c r="L178" s="188"/>
      <c r="M178" s="125"/>
      <c r="N178" s="125"/>
    </row>
    <row r="179" spans="1:14" customFormat="1" x14ac:dyDescent="0.3">
      <c r="A179" t="s">
        <v>16</v>
      </c>
      <c r="B179" t="s">
        <v>452</v>
      </c>
      <c r="C179" s="184">
        <f>AVERAGEIF($A$147:$A$156,$A170,$C$147:$C$156)</f>
        <v>264339.75</v>
      </c>
      <c r="D179" t="s">
        <v>458</v>
      </c>
      <c r="E179" s="190">
        <f>C179/1000</f>
        <v>264.33974999999998</v>
      </c>
      <c r="F179">
        <v>2009</v>
      </c>
      <c r="G179" t="s">
        <v>571</v>
      </c>
      <c r="H179" t="s">
        <v>547</v>
      </c>
      <c r="J179" s="186"/>
      <c r="K179" s="186"/>
      <c r="L179" s="186"/>
      <c r="M179" s="125"/>
      <c r="N179" s="125"/>
    </row>
    <row r="180" spans="1:14" customFormat="1" x14ac:dyDescent="0.3">
      <c r="A180" t="str">
        <f>A179</f>
        <v>Steel</v>
      </c>
      <c r="B180" t="s">
        <v>452</v>
      </c>
      <c r="C180" s="184">
        <f>MIN(C149,C151:C152)</f>
        <v>206277</v>
      </c>
      <c r="D180" t="s">
        <v>458</v>
      </c>
      <c r="E180" s="190">
        <f>C180/1000</f>
        <v>206.27699999999999</v>
      </c>
      <c r="F180">
        <v>2009</v>
      </c>
      <c r="G180" t="s">
        <v>571</v>
      </c>
      <c r="H180" t="s">
        <v>598</v>
      </c>
      <c r="J180" s="186"/>
      <c r="K180" s="186"/>
      <c r="L180" s="186"/>
      <c r="M180" s="125"/>
      <c r="N180" s="125"/>
    </row>
    <row r="181" spans="1:14" customFormat="1" x14ac:dyDescent="0.3">
      <c r="D181" s="186"/>
      <c r="F181" s="181"/>
      <c r="G181" s="186"/>
      <c r="H181" s="186"/>
      <c r="I181" s="186"/>
      <c r="J181" s="188"/>
      <c r="K181" s="188"/>
      <c r="L181" s="194"/>
      <c r="M181" s="125"/>
      <c r="N181" s="125"/>
    </row>
    <row r="182" spans="1:14" customFormat="1" x14ac:dyDescent="0.3">
      <c r="A182" s="20" t="s">
        <v>445</v>
      </c>
      <c r="D182" s="186"/>
      <c r="F182" s="181"/>
      <c r="G182" s="186"/>
      <c r="H182" s="186"/>
      <c r="I182" s="186"/>
      <c r="K182" s="125"/>
      <c r="L182" s="125"/>
      <c r="M182" s="125"/>
      <c r="N182" s="125"/>
    </row>
    <row r="183" spans="1:14" customFormat="1" x14ac:dyDescent="0.3">
      <c r="D183" s="186"/>
      <c r="F183" s="181"/>
      <c r="G183" s="186"/>
      <c r="H183" s="186"/>
      <c r="I183" s="186"/>
      <c r="K183" s="125"/>
      <c r="L183" s="125"/>
      <c r="M183" s="125"/>
      <c r="N183" s="125"/>
    </row>
    <row r="184" spans="1:14" customFormat="1" x14ac:dyDescent="0.3">
      <c r="A184" s="243" t="s">
        <v>505</v>
      </c>
      <c r="B184" s="5"/>
      <c r="C184" s="5"/>
      <c r="D184" s="5"/>
      <c r="E184" s="5"/>
      <c r="F184" s="5"/>
      <c r="G184" s="5"/>
      <c r="H184" s="5"/>
    </row>
    <row r="185" spans="1:14" customFormat="1" ht="13.2" x14ac:dyDescent="0.25">
      <c r="A185" s="5" t="s">
        <v>604</v>
      </c>
      <c r="B185" s="213" t="s">
        <v>617</v>
      </c>
      <c r="C185" s="5"/>
      <c r="D185" s="5"/>
      <c r="E185" s="5"/>
      <c r="F185" s="5"/>
      <c r="G185" s="5"/>
      <c r="H185" s="5"/>
    </row>
    <row r="186" spans="1:14" customFormat="1" ht="13.2" x14ac:dyDescent="0.25">
      <c r="A186" s="5"/>
      <c r="B186" s="213" t="s">
        <v>504</v>
      </c>
      <c r="C186" s="5"/>
      <c r="D186" s="5"/>
      <c r="E186" s="5"/>
      <c r="F186" s="5"/>
      <c r="G186" s="5"/>
      <c r="H186" s="5"/>
    </row>
    <row r="187" spans="1:14" customFormat="1" ht="13.2" x14ac:dyDescent="0.25">
      <c r="A187" s="5" t="s">
        <v>503</v>
      </c>
      <c r="B187" s="5"/>
      <c r="C187" s="5"/>
      <c r="D187" s="5"/>
      <c r="E187" s="5"/>
      <c r="F187" s="5"/>
      <c r="G187" s="5"/>
      <c r="H187" s="5"/>
    </row>
    <row r="188" spans="1:14" customFormat="1" x14ac:dyDescent="0.3">
      <c r="A188" s="244" t="s">
        <v>502</v>
      </c>
      <c r="B188" s="5"/>
      <c r="C188" s="5"/>
      <c r="D188" s="5"/>
      <c r="E188" s="244" t="s">
        <v>501</v>
      </c>
      <c r="F188" s="244" t="s">
        <v>500</v>
      </c>
      <c r="G188" s="244" t="s">
        <v>499</v>
      </c>
      <c r="H188" s="5"/>
    </row>
    <row r="189" spans="1:14" customFormat="1" x14ac:dyDescent="0.3">
      <c r="A189" s="244" t="s">
        <v>498</v>
      </c>
      <c r="B189" s="5"/>
      <c r="C189" s="5"/>
      <c r="D189" s="245" t="s">
        <v>484</v>
      </c>
      <c r="E189" s="246">
        <v>0.73</v>
      </c>
      <c r="F189" s="246">
        <v>0.1</v>
      </c>
      <c r="G189" s="246">
        <v>0.16</v>
      </c>
      <c r="H189" s="5"/>
    </row>
    <row r="190" spans="1:14" customFormat="1" x14ac:dyDescent="0.3">
      <c r="A190" s="5"/>
      <c r="B190" s="5"/>
      <c r="C190" s="5"/>
      <c r="D190" s="245" t="s">
        <v>495</v>
      </c>
      <c r="E190" s="246">
        <v>0.92</v>
      </c>
      <c r="F190" s="246">
        <v>0.02</v>
      </c>
      <c r="G190" s="246">
        <v>0.05</v>
      </c>
      <c r="H190" s="5"/>
    </row>
    <row r="191" spans="1:14" customFormat="1" x14ac:dyDescent="0.3">
      <c r="A191" s="244" t="s">
        <v>497</v>
      </c>
      <c r="B191" s="5"/>
      <c r="C191" s="5"/>
      <c r="D191" s="245" t="s">
        <v>484</v>
      </c>
      <c r="E191" s="246">
        <v>0.19</v>
      </c>
      <c r="F191" s="246">
        <v>0.23</v>
      </c>
      <c r="G191" s="246">
        <v>0.63</v>
      </c>
      <c r="H191" s="5"/>
    </row>
    <row r="192" spans="1:14" customFormat="1" x14ac:dyDescent="0.3">
      <c r="A192" s="5"/>
      <c r="B192" s="5"/>
      <c r="C192" s="5"/>
      <c r="D192" s="245" t="s">
        <v>495</v>
      </c>
      <c r="E192" s="246">
        <v>7.0000000000000007E-2</v>
      </c>
      <c r="F192" s="246">
        <v>0.1</v>
      </c>
      <c r="G192" s="246">
        <v>0.78</v>
      </c>
      <c r="H192" s="5"/>
    </row>
    <row r="193" spans="1:14" customFormat="1" x14ac:dyDescent="0.3">
      <c r="A193" s="244" t="s">
        <v>496</v>
      </c>
      <c r="B193" s="5"/>
      <c r="C193" s="5"/>
      <c r="D193" s="245" t="s">
        <v>484</v>
      </c>
      <c r="E193" s="246">
        <v>0.87</v>
      </c>
      <c r="F193" s="246">
        <v>0.27</v>
      </c>
      <c r="G193" s="246">
        <v>0.1</v>
      </c>
      <c r="H193" s="5"/>
    </row>
    <row r="194" spans="1:14" customFormat="1" x14ac:dyDescent="0.3">
      <c r="A194" s="5"/>
      <c r="B194" s="5"/>
      <c r="C194" s="5"/>
      <c r="D194" s="245" t="s">
        <v>495</v>
      </c>
      <c r="E194" s="246">
        <v>0.98</v>
      </c>
      <c r="F194" s="246">
        <v>0.02</v>
      </c>
      <c r="G194" s="246">
        <v>0.09</v>
      </c>
      <c r="H194" s="5"/>
    </row>
    <row r="195" spans="1:14" customFormat="1" ht="13.2" x14ac:dyDescent="0.25"/>
    <row r="196" spans="1:14" customFormat="1" x14ac:dyDescent="0.3">
      <c r="A196" s="179" t="s">
        <v>443</v>
      </c>
      <c r="B196" s="179" t="s">
        <v>455</v>
      </c>
      <c r="C196" s="179" t="s">
        <v>483</v>
      </c>
      <c r="D196" s="179" t="s">
        <v>454</v>
      </c>
      <c r="E196" s="179" t="s">
        <v>585</v>
      </c>
      <c r="F196" s="179" t="s">
        <v>114</v>
      </c>
      <c r="G196" s="179" t="s">
        <v>453</v>
      </c>
      <c r="H196" s="179" t="s">
        <v>62</v>
      </c>
      <c r="I196" s="179"/>
      <c r="K196" s="125"/>
      <c r="L196" s="125"/>
      <c r="M196" s="125"/>
      <c r="N196" s="125"/>
    </row>
    <row r="197" spans="1:14" customFormat="1" x14ac:dyDescent="0.3">
      <c r="A197" t="s">
        <v>444</v>
      </c>
      <c r="B197" t="s">
        <v>452</v>
      </c>
      <c r="C197">
        <f>AVERAGE(K164,K165)</f>
        <v>0.2709529220779221</v>
      </c>
      <c r="D197" t="s">
        <v>462</v>
      </c>
      <c r="E197" s="190">
        <f>C197*10^6*$C$38*$C$36/$C$35</f>
        <v>11473.118696494892</v>
      </c>
      <c r="F197">
        <v>2008</v>
      </c>
      <c r="G197" s="181" t="s">
        <v>533</v>
      </c>
      <c r="H197" s="188"/>
      <c r="I197" s="188"/>
      <c r="K197" s="125"/>
      <c r="L197" s="125"/>
      <c r="M197" s="125"/>
      <c r="N197" s="125"/>
    </row>
    <row r="198" spans="1:14" customFormat="1" ht="13.2" x14ac:dyDescent="0.25">
      <c r="A198" t="s">
        <v>444</v>
      </c>
      <c r="B198" t="s">
        <v>452</v>
      </c>
      <c r="C198" s="184">
        <f>MAX(B147:B148,B150,B153:B155)</f>
        <v>26349857</v>
      </c>
      <c r="D198" t="s">
        <v>458</v>
      </c>
      <c r="E198" s="190">
        <f>C198/1000</f>
        <v>26349.857</v>
      </c>
      <c r="F198" s="230" t="s">
        <v>601</v>
      </c>
      <c r="G198" t="s">
        <v>571</v>
      </c>
      <c r="H198" t="s">
        <v>597</v>
      </c>
      <c r="J198" s="186"/>
      <c r="K198" s="188"/>
    </row>
    <row r="199" spans="1:14" customFormat="1" ht="13.2" x14ac:dyDescent="0.25">
      <c r="A199" t="s">
        <v>444</v>
      </c>
      <c r="B199" t="s">
        <v>452</v>
      </c>
      <c r="C199" s="184">
        <f>AVERAGEIF($A$147:$A$156,$A182,$B$147:$B$156)</f>
        <v>17466796</v>
      </c>
      <c r="D199" t="s">
        <v>458</v>
      </c>
      <c r="E199" s="190">
        <f>C199/1000</f>
        <v>17466.795999999998</v>
      </c>
      <c r="F199" s="230" t="s">
        <v>601</v>
      </c>
      <c r="G199" t="s">
        <v>571</v>
      </c>
      <c r="H199" t="s">
        <v>547</v>
      </c>
      <c r="J199" s="186"/>
      <c r="K199" s="188"/>
    </row>
    <row r="200" spans="1:14" customFormat="1" ht="13.2" x14ac:dyDescent="0.25">
      <c r="A200" t="s">
        <v>444</v>
      </c>
      <c r="B200" t="s">
        <v>452</v>
      </c>
      <c r="C200" s="184">
        <f>MIN(B147:B148,B150,B153:B155)</f>
        <v>258979</v>
      </c>
      <c r="D200" t="s">
        <v>458</v>
      </c>
      <c r="E200" s="190">
        <f>C200/1000</f>
        <v>258.97899999999998</v>
      </c>
      <c r="F200" s="230" t="s">
        <v>601</v>
      </c>
      <c r="G200" t="s">
        <v>571</v>
      </c>
      <c r="H200" t="s">
        <v>598</v>
      </c>
      <c r="J200" s="186"/>
      <c r="K200" s="188"/>
    </row>
    <row r="201" spans="1:14" customFormat="1" ht="13.2" x14ac:dyDescent="0.25">
      <c r="A201" t="s">
        <v>444</v>
      </c>
      <c r="B201" t="s">
        <v>96</v>
      </c>
      <c r="C201" s="188">
        <f>358851*C36/11/2</f>
        <v>39253.89531954546</v>
      </c>
      <c r="D201" s="188" t="s">
        <v>486</v>
      </c>
      <c r="E201" s="190">
        <f>C201</f>
        <v>39253.89531954546</v>
      </c>
      <c r="F201">
        <v>2017</v>
      </c>
      <c r="G201" s="181" t="s">
        <v>548</v>
      </c>
      <c r="H201" t="s">
        <v>573</v>
      </c>
      <c r="J201" s="186"/>
      <c r="K201" s="188"/>
    </row>
    <row r="202" spans="1:14" customFormat="1" ht="13.2" x14ac:dyDescent="0.25">
      <c r="A202" t="s">
        <v>444</v>
      </c>
      <c r="B202" t="s">
        <v>461</v>
      </c>
      <c r="C202">
        <f>(20614.56+1564.66*0.125)/18.448</f>
        <v>1128.043283824805</v>
      </c>
      <c r="D202" t="s">
        <v>460</v>
      </c>
      <c r="E202" s="188">
        <f>C202/B46</f>
        <v>9024.3462705984402</v>
      </c>
      <c r="F202">
        <v>2018</v>
      </c>
      <c r="G202" s="181" t="s">
        <v>549</v>
      </c>
      <c r="H202" t="s">
        <v>500</v>
      </c>
      <c r="I202" s="188"/>
    </row>
    <row r="203" spans="1:14" customFormat="1" ht="13.2" x14ac:dyDescent="0.25">
      <c r="A203" t="s">
        <v>444</v>
      </c>
      <c r="B203" t="s">
        <v>456</v>
      </c>
      <c r="C203">
        <v>4210.62</v>
      </c>
      <c r="D203" t="s">
        <v>459</v>
      </c>
      <c r="E203" s="188">
        <f>C203/2/B46</f>
        <v>16842.48</v>
      </c>
      <c r="F203">
        <v>2012</v>
      </c>
      <c r="G203" s="181" t="s">
        <v>572</v>
      </c>
      <c r="H203" t="s">
        <v>500</v>
      </c>
    </row>
    <row r="204" spans="1:14" customFormat="1" ht="13.2" x14ac:dyDescent="0.25">
      <c r="A204" t="s">
        <v>16</v>
      </c>
      <c r="B204" t="s">
        <v>452</v>
      </c>
      <c r="C204">
        <f>AVERAGE(K164,K165)</f>
        <v>0.2709529220779221</v>
      </c>
      <c r="D204" t="s">
        <v>488</v>
      </c>
      <c r="E204" s="186">
        <f>C204*10^6*$C$43/$C$35</f>
        <v>76.368000441900932</v>
      </c>
      <c r="F204">
        <v>2008</v>
      </c>
      <c r="G204" s="181" t="s">
        <v>533</v>
      </c>
    </row>
    <row r="205" spans="1:14" customFormat="1" ht="13.2" x14ac:dyDescent="0.25">
      <c r="A205" t="s">
        <v>16</v>
      </c>
      <c r="B205" t="s">
        <v>452</v>
      </c>
      <c r="C205" s="184">
        <f>MAX(C147:C148,C150,C153:C155)</f>
        <v>1596660</v>
      </c>
      <c r="D205" t="s">
        <v>458</v>
      </c>
      <c r="E205" s="190">
        <f>C205/1000</f>
        <v>1596.66</v>
      </c>
      <c r="F205" s="230" t="s">
        <v>601</v>
      </c>
      <c r="G205" t="s">
        <v>571</v>
      </c>
      <c r="H205" t="s">
        <v>597</v>
      </c>
    </row>
    <row r="206" spans="1:14" x14ac:dyDescent="0.3">
      <c r="A206" t="s">
        <v>16</v>
      </c>
      <c r="B206" t="s">
        <v>452</v>
      </c>
      <c r="C206" s="184">
        <f>AVERAGEIF($A$147:$A$156,$A182,$C$147:$C$156)</f>
        <v>950176.66666666663</v>
      </c>
      <c r="D206" t="s">
        <v>458</v>
      </c>
      <c r="E206" s="190">
        <f>C206/1000</f>
        <v>950.17666666666662</v>
      </c>
      <c r="F206" s="230" t="s">
        <v>601</v>
      </c>
      <c r="G206" t="s">
        <v>571</v>
      </c>
      <c r="H206" t="s">
        <v>547</v>
      </c>
      <c r="I206"/>
    </row>
    <row r="207" spans="1:14" x14ac:dyDescent="0.3">
      <c r="A207" t="s">
        <v>16</v>
      </c>
      <c r="B207" t="s">
        <v>452</v>
      </c>
      <c r="C207" s="184">
        <f>MIN(C147:C148,C150,C153:C155)</f>
        <v>200097</v>
      </c>
      <c r="D207" t="s">
        <v>458</v>
      </c>
      <c r="E207" s="190">
        <f>C207/1000</f>
        <v>200.09700000000001</v>
      </c>
      <c r="F207" s="230" t="s">
        <v>601</v>
      </c>
      <c r="G207" t="s">
        <v>571</v>
      </c>
      <c r="H207" t="s">
        <v>598</v>
      </c>
      <c r="I207"/>
    </row>
    <row r="208" spans="1:14" customFormat="1" ht="13.2" x14ac:dyDescent="0.25">
      <c r="A208" t="s">
        <v>16</v>
      </c>
      <c r="B208" t="s">
        <v>96</v>
      </c>
      <c r="C208" s="188">
        <f>40000/11/2</f>
        <v>1818.1818181818182</v>
      </c>
      <c r="E208" s="188">
        <f>C208</f>
        <v>1818.1818181818182</v>
      </c>
      <c r="F208">
        <v>2017</v>
      </c>
      <c r="G208" s="181" t="s">
        <v>548</v>
      </c>
    </row>
    <row r="209" spans="1:13" customFormat="1" ht="13.2" x14ac:dyDescent="0.25">
      <c r="A209" t="s">
        <v>16</v>
      </c>
      <c r="B209" t="s">
        <v>461</v>
      </c>
      <c r="C209">
        <f>(4281.9+1564.66)/18.448</f>
        <v>316.92107545533389</v>
      </c>
      <c r="D209" t="s">
        <v>486</v>
      </c>
      <c r="E209" s="186">
        <f>C209</f>
        <v>316.92107545533389</v>
      </c>
      <c r="F209">
        <v>2018</v>
      </c>
      <c r="G209" s="181" t="s">
        <v>549</v>
      </c>
      <c r="H209" t="s">
        <v>500</v>
      </c>
    </row>
    <row r="210" spans="1:13" customFormat="1" ht="13.2" x14ac:dyDescent="0.25">
      <c r="A210" t="s">
        <v>16</v>
      </c>
      <c r="B210" t="s">
        <v>456</v>
      </c>
      <c r="C210">
        <v>1721.38</v>
      </c>
      <c r="D210" t="s">
        <v>489</v>
      </c>
      <c r="E210" s="188">
        <f>C210/2</f>
        <v>860.69</v>
      </c>
      <c r="F210">
        <v>2012</v>
      </c>
      <c r="G210" s="181" t="s">
        <v>572</v>
      </c>
      <c r="H210" t="s">
        <v>500</v>
      </c>
    </row>
    <row r="211" spans="1:13" customFormat="1" x14ac:dyDescent="0.3">
      <c r="E211" s="188"/>
      <c r="G211" s="181"/>
      <c r="K211" s="179"/>
      <c r="M211" s="179"/>
    </row>
    <row r="212" spans="1:13" customFormat="1" ht="13.2" x14ac:dyDescent="0.25">
      <c r="A212" s="8" t="s">
        <v>652</v>
      </c>
      <c r="E212" s="188"/>
      <c r="G212" s="181"/>
    </row>
    <row r="213" spans="1:13" customFormat="1" ht="13.2" x14ac:dyDescent="0.25">
      <c r="E213" s="188"/>
      <c r="G213" s="181"/>
    </row>
    <row r="214" spans="1:13" customFormat="1" ht="13.2" x14ac:dyDescent="0.25">
      <c r="A214" t="s">
        <v>795</v>
      </c>
      <c r="B214" t="s">
        <v>791</v>
      </c>
      <c r="D214" t="s">
        <v>794</v>
      </c>
    </row>
    <row r="215" spans="1:13" customFormat="1" ht="13.2" x14ac:dyDescent="0.25">
      <c r="B215" t="s">
        <v>792</v>
      </c>
      <c r="C215" t="s">
        <v>793</v>
      </c>
      <c r="D215" t="str">
        <f>B215</f>
        <v>Item 1</v>
      </c>
      <c r="E215" t="str">
        <f>C215</f>
        <v>Item 2</v>
      </c>
      <c r="K215" s="186"/>
    </row>
    <row r="216" spans="1:13" customFormat="1" x14ac:dyDescent="0.3">
      <c r="A216" t="s">
        <v>1152</v>
      </c>
      <c r="B216" t="str">
        <f>A226</f>
        <v>Bike lane</v>
      </c>
      <c r="C216" t="str">
        <f>A227</f>
        <v>Urban road</v>
      </c>
      <c r="D216" s="110">
        <f>C298</f>
        <v>0.2</v>
      </c>
      <c r="E216" s="110">
        <f>1-D216</f>
        <v>0.8</v>
      </c>
      <c r="J216" s="166"/>
      <c r="K216" s="186"/>
    </row>
    <row r="217" spans="1:13" customFormat="1" x14ac:dyDescent="0.3">
      <c r="A217" t="s">
        <v>784</v>
      </c>
      <c r="B217" t="str">
        <f>A227</f>
        <v>Urban road</v>
      </c>
      <c r="D217" s="110">
        <v>1</v>
      </c>
      <c r="J217" s="166"/>
      <c r="M217" s="179"/>
    </row>
    <row r="218" spans="1:13" customFormat="1" x14ac:dyDescent="0.3">
      <c r="A218" t="s">
        <v>785</v>
      </c>
      <c r="B218" t="str">
        <f>A228</f>
        <v>Urban road including parking</v>
      </c>
      <c r="D218" s="110">
        <v>1</v>
      </c>
      <c r="J218" s="166"/>
    </row>
    <row r="219" spans="1:13" customFormat="1" x14ac:dyDescent="0.3">
      <c r="A219" t="s">
        <v>801</v>
      </c>
      <c r="B219" t="s">
        <v>646</v>
      </c>
      <c r="D219" s="110">
        <v>1</v>
      </c>
      <c r="J219" s="166"/>
    </row>
    <row r="220" spans="1:13" customFormat="1" x14ac:dyDescent="0.3">
      <c r="A220" t="s">
        <v>734</v>
      </c>
      <c r="B220" t="str">
        <f>A229</f>
        <v>Bus lane</v>
      </c>
      <c r="C220" t="str">
        <f>A227</f>
        <v>Urban road</v>
      </c>
      <c r="D220" s="1">
        <f>C242/C241</f>
        <v>3.3560222898722659E-2</v>
      </c>
      <c r="E220" s="110">
        <f>1-D220</f>
        <v>0.96643977710127738</v>
      </c>
      <c r="J220" s="166"/>
    </row>
    <row r="221" spans="1:13" x14ac:dyDescent="0.3">
      <c r="A221" t="s">
        <v>786</v>
      </c>
      <c r="B221" t="str">
        <f>A230</f>
        <v>Light rail track</v>
      </c>
      <c r="D221" s="129">
        <v>1</v>
      </c>
      <c r="F221"/>
      <c r="I221"/>
      <c r="J221" s="166"/>
    </row>
    <row r="222" spans="1:13" x14ac:dyDescent="0.3">
      <c r="A222" t="s">
        <v>445</v>
      </c>
      <c r="B222" t="str">
        <f>A231</f>
        <v>Metro track</v>
      </c>
      <c r="D222" s="129">
        <v>1</v>
      </c>
      <c r="F222"/>
      <c r="I222"/>
      <c r="J222" s="166"/>
    </row>
    <row r="223" spans="1:13" x14ac:dyDescent="0.3">
      <c r="F223"/>
    </row>
    <row r="224" spans="1:13" x14ac:dyDescent="0.3">
      <c r="A224" s="125" t="s">
        <v>796</v>
      </c>
      <c r="B224" t="s">
        <v>732</v>
      </c>
      <c r="C224" t="s">
        <v>787</v>
      </c>
    </row>
    <row r="225" spans="1:6" x14ac:dyDescent="0.3">
      <c r="B225" t="s">
        <v>825</v>
      </c>
      <c r="C225" t="s">
        <v>242</v>
      </c>
      <c r="D225" t="s">
        <v>826</v>
      </c>
    </row>
    <row r="226" spans="1:6" x14ac:dyDescent="0.3">
      <c r="A226" s="125" t="str">
        <f t="shared" ref="A226:A231" si="3">A4</f>
        <v>Bike lane</v>
      </c>
      <c r="B226" s="166">
        <f>C299</f>
        <v>459.81142857142868</v>
      </c>
      <c r="C226" s="254">
        <v>30</v>
      </c>
      <c r="D226" s="166">
        <f t="shared" ref="D226:D231" si="4">B226*C226/10^3</f>
        <v>13.79434285714286</v>
      </c>
    </row>
    <row r="227" spans="1:6" x14ac:dyDescent="0.3">
      <c r="A227" s="125" t="str">
        <f t="shared" si="3"/>
        <v>Urban road</v>
      </c>
      <c r="B227" s="167">
        <f>C315</f>
        <v>1110.649165528301</v>
      </c>
      <c r="C227" s="254">
        <v>30</v>
      </c>
      <c r="D227" s="166">
        <f t="shared" si="4"/>
        <v>33.319474965849025</v>
      </c>
    </row>
    <row r="228" spans="1:6" x14ac:dyDescent="0.3">
      <c r="A228" s="125" t="str">
        <f t="shared" si="3"/>
        <v>Urban road including parking</v>
      </c>
      <c r="B228" s="167">
        <f>C315</f>
        <v>1110.649165528301</v>
      </c>
      <c r="C228" s="254">
        <v>30</v>
      </c>
      <c r="D228" s="166">
        <f t="shared" si="4"/>
        <v>33.319474965849025</v>
      </c>
    </row>
    <row r="229" spans="1:6" x14ac:dyDescent="0.3">
      <c r="A229" s="125" t="str">
        <f t="shared" si="3"/>
        <v>Bus lane</v>
      </c>
      <c r="B229" s="167">
        <f>C257</f>
        <v>230.64687168610814</v>
      </c>
      <c r="C229" s="254">
        <v>30</v>
      </c>
      <c r="D229" s="166">
        <f t="shared" si="4"/>
        <v>6.919406150583244</v>
      </c>
    </row>
    <row r="230" spans="1:6" x14ac:dyDescent="0.3">
      <c r="A230" s="125" t="str">
        <f t="shared" si="3"/>
        <v>Light rail track</v>
      </c>
      <c r="B230" s="167">
        <f>B229/4*1.25</f>
        <v>72.077147401908789</v>
      </c>
      <c r="C230" s="254">
        <v>50</v>
      </c>
      <c r="D230" s="166">
        <f t="shared" si="4"/>
        <v>3.6038573700954393</v>
      </c>
    </row>
    <row r="231" spans="1:6" x14ac:dyDescent="0.3">
      <c r="A231" s="125" t="str">
        <f t="shared" si="3"/>
        <v>Metro track</v>
      </c>
      <c r="B231" s="167">
        <f>C281</f>
        <v>103.98009950248756</v>
      </c>
      <c r="C231" s="254">
        <v>50</v>
      </c>
      <c r="D231" s="166">
        <f t="shared" si="4"/>
        <v>5.1990049751243781</v>
      </c>
    </row>
    <row r="233" spans="1:6" x14ac:dyDescent="0.3">
      <c r="A233" s="253" t="s">
        <v>214</v>
      </c>
    </row>
    <row r="234" spans="1:6" x14ac:dyDescent="0.3">
      <c r="A234" s="253"/>
    </row>
    <row r="235" spans="1:6" x14ac:dyDescent="0.3">
      <c r="A235" s="256" t="s">
        <v>734</v>
      </c>
    </row>
    <row r="236" spans="1:6" x14ac:dyDescent="0.3">
      <c r="C236" s="256" t="s">
        <v>685</v>
      </c>
      <c r="D236" s="256" t="s">
        <v>453</v>
      </c>
      <c r="E236" s="256" t="s">
        <v>62</v>
      </c>
    </row>
    <row r="237" spans="1:6" x14ac:dyDescent="0.3">
      <c r="A237" s="125" t="s">
        <v>690</v>
      </c>
      <c r="B237" s="125" t="s">
        <v>520</v>
      </c>
      <c r="C237" s="166">
        <v>736</v>
      </c>
      <c r="D237" s="189" t="s">
        <v>689</v>
      </c>
      <c r="E237" s="125" t="s">
        <v>691</v>
      </c>
    </row>
    <row r="238" spans="1:6" x14ac:dyDescent="0.3">
      <c r="A238" s="125" t="s">
        <v>692</v>
      </c>
      <c r="B238" s="125" t="s">
        <v>715</v>
      </c>
      <c r="C238" s="166">
        <f>8.2*C35</f>
        <v>13.196587999999998</v>
      </c>
      <c r="D238" s="189" t="s">
        <v>689</v>
      </c>
      <c r="E238" s="125" t="s">
        <v>688</v>
      </c>
    </row>
    <row r="239" spans="1:6" x14ac:dyDescent="0.3">
      <c r="A239" s="125" t="s">
        <v>739</v>
      </c>
      <c r="B239" s="125" t="s">
        <v>741</v>
      </c>
      <c r="C239" s="167">
        <f>C237*C238*2</f>
        <v>19425.377535999996</v>
      </c>
      <c r="D239" s="189"/>
      <c r="E239" s="125" t="s">
        <v>694</v>
      </c>
      <c r="F239" s="125" t="s">
        <v>770</v>
      </c>
    </row>
    <row r="240" spans="1:6" x14ac:dyDescent="0.3">
      <c r="A240" s="125" t="s">
        <v>740</v>
      </c>
      <c r="B240" s="125" t="s">
        <v>742</v>
      </c>
      <c r="C240" s="258">
        <f>0.33*4+0.33*2+0.34</f>
        <v>2.3199999999999998</v>
      </c>
      <c r="D240" s="189"/>
      <c r="E240" s="125" t="s">
        <v>698</v>
      </c>
      <c r="F240" s="125" t="s">
        <v>772</v>
      </c>
    </row>
    <row r="241" spans="1:7" x14ac:dyDescent="0.3">
      <c r="A241" s="125" t="s">
        <v>738</v>
      </c>
      <c r="B241" s="125" t="s">
        <v>711</v>
      </c>
      <c r="C241" s="167">
        <f>C239/C240</f>
        <v>8373.0075586206895</v>
      </c>
      <c r="D241" s="189"/>
      <c r="E241" s="125" t="s">
        <v>694</v>
      </c>
      <c r="F241" s="125" t="s">
        <v>769</v>
      </c>
    </row>
    <row r="242" spans="1:7" x14ac:dyDescent="0.3">
      <c r="A242" s="125" t="s">
        <v>768</v>
      </c>
      <c r="B242" s="125" t="s">
        <v>711</v>
      </c>
      <c r="C242" s="167">
        <v>281</v>
      </c>
      <c r="D242" s="189" t="s">
        <v>707</v>
      </c>
      <c r="E242" s="125" t="s">
        <v>737</v>
      </c>
      <c r="F242" s="125" t="s">
        <v>769</v>
      </c>
    </row>
    <row r="243" spans="1:7" x14ac:dyDescent="0.3">
      <c r="A243" s="125" t="s">
        <v>743</v>
      </c>
      <c r="B243" s="125" t="s">
        <v>3</v>
      </c>
      <c r="C243" s="252">
        <f>C242/C241</f>
        <v>3.3560222898722659E-2</v>
      </c>
      <c r="D243" s="189"/>
      <c r="E243" s="125" t="s">
        <v>694</v>
      </c>
    </row>
    <row r="244" spans="1:7" x14ac:dyDescent="0.3">
      <c r="A244" s="125" t="s">
        <v>686</v>
      </c>
      <c r="B244" s="125" t="s">
        <v>687</v>
      </c>
      <c r="C244" s="166">
        <f>C311*1000</f>
        <v>482.80199999999996</v>
      </c>
      <c r="D244" s="189" t="s">
        <v>749</v>
      </c>
      <c r="E244" s="189" t="s">
        <v>756</v>
      </c>
    </row>
    <row r="245" spans="1:7" x14ac:dyDescent="0.3">
      <c r="A245" s="125" t="s">
        <v>693</v>
      </c>
      <c r="B245" s="125" t="s">
        <v>776</v>
      </c>
      <c r="C245" s="167">
        <f>C244*10^6/C238</f>
        <v>36585365.853658535</v>
      </c>
      <c r="E245" s="125" t="s">
        <v>661</v>
      </c>
    </row>
    <row r="246" spans="1:7" x14ac:dyDescent="0.3">
      <c r="A246" s="125" t="s">
        <v>693</v>
      </c>
      <c r="B246" s="125" t="s">
        <v>777</v>
      </c>
      <c r="C246" s="167">
        <f>C245/365</f>
        <v>100233.87905111928</v>
      </c>
      <c r="E246" s="125" t="s">
        <v>661</v>
      </c>
      <c r="G246" s="252"/>
    </row>
    <row r="247" spans="1:7" x14ac:dyDescent="0.3">
      <c r="A247" s="125" t="s">
        <v>696</v>
      </c>
      <c r="B247" s="125" t="s">
        <v>697</v>
      </c>
      <c r="C247" s="259">
        <f>24+1-5</f>
        <v>20</v>
      </c>
      <c r="E247" s="125" t="s">
        <v>698</v>
      </c>
    </row>
    <row r="248" spans="1:7" x14ac:dyDescent="0.3">
      <c r="A248" s="125" t="s">
        <v>693</v>
      </c>
      <c r="B248" s="125" t="s">
        <v>778</v>
      </c>
      <c r="C248" s="166">
        <f>C246/C247</f>
        <v>5011.6939525559637</v>
      </c>
      <c r="E248" s="125" t="s">
        <v>699</v>
      </c>
    </row>
    <row r="249" spans="1:7" x14ac:dyDescent="0.3">
      <c r="A249" s="125" t="s">
        <v>693</v>
      </c>
      <c r="B249" s="125" t="s">
        <v>779</v>
      </c>
      <c r="C249" s="166">
        <f>C248/C237</f>
        <v>6.809366783364081</v>
      </c>
      <c r="E249" s="125" t="s">
        <v>699</v>
      </c>
    </row>
    <row r="250" spans="1:7" x14ac:dyDescent="0.3">
      <c r="A250" s="125" t="s">
        <v>665</v>
      </c>
      <c r="B250" s="125" t="s">
        <v>695</v>
      </c>
      <c r="C250" s="166">
        <f>60/C249</f>
        <v>8.8113920000000014</v>
      </c>
      <c r="E250" s="125" t="s">
        <v>694</v>
      </c>
    </row>
    <row r="251" spans="1:7" x14ac:dyDescent="0.3">
      <c r="A251" s="125" t="s">
        <v>657</v>
      </c>
      <c r="B251" s="125" t="s">
        <v>653</v>
      </c>
      <c r="C251" s="125">
        <v>5</v>
      </c>
      <c r="D251" s="189" t="s">
        <v>654</v>
      </c>
      <c r="E251" s="125" t="s">
        <v>666</v>
      </c>
    </row>
    <row r="252" spans="1:7" x14ac:dyDescent="0.3">
      <c r="A252" s="125" t="s">
        <v>657</v>
      </c>
      <c r="B252" s="125" t="s">
        <v>653</v>
      </c>
      <c r="C252" s="125">
        <f>1/(6/60)</f>
        <v>10</v>
      </c>
      <c r="D252" s="189" t="s">
        <v>654</v>
      </c>
      <c r="E252" s="125" t="s">
        <v>655</v>
      </c>
    </row>
    <row r="253" spans="1:7" x14ac:dyDescent="0.3">
      <c r="A253" s="125" t="s">
        <v>657</v>
      </c>
      <c r="B253" s="125" t="s">
        <v>653</v>
      </c>
      <c r="C253" s="166">
        <f>1/(82.3/60)</f>
        <v>0.72904009720534635</v>
      </c>
      <c r="D253" s="189" t="s">
        <v>654</v>
      </c>
      <c r="E253" s="125" t="s">
        <v>656</v>
      </c>
    </row>
    <row r="254" spans="1:7" x14ac:dyDescent="0.3">
      <c r="A254" s="125" t="s">
        <v>665</v>
      </c>
      <c r="B254" s="125" t="s">
        <v>662</v>
      </c>
      <c r="C254" s="166">
        <f>60/C251</f>
        <v>12</v>
      </c>
      <c r="E254" s="125" t="s">
        <v>666</v>
      </c>
    </row>
    <row r="255" spans="1:7" x14ac:dyDescent="0.3">
      <c r="A255" s="125" t="s">
        <v>665</v>
      </c>
      <c r="B255" s="125" t="s">
        <v>662</v>
      </c>
      <c r="C255" s="166">
        <f>60/C252</f>
        <v>6</v>
      </c>
      <c r="E255" s="125" t="s">
        <v>655</v>
      </c>
    </row>
    <row r="256" spans="1:7" x14ac:dyDescent="0.3">
      <c r="A256" s="125" t="s">
        <v>665</v>
      </c>
      <c r="B256" s="125" t="s">
        <v>662</v>
      </c>
      <c r="C256" s="166">
        <f>60/C253</f>
        <v>82.3</v>
      </c>
      <c r="E256" s="125" t="s">
        <v>656</v>
      </c>
    </row>
    <row r="257" spans="1:8" x14ac:dyDescent="0.3">
      <c r="A257" s="125" t="s">
        <v>762</v>
      </c>
      <c r="B257" s="125" t="s">
        <v>761</v>
      </c>
      <c r="C257" s="166">
        <f>C244*C242*G257/C241*10^6/C242/10^3</f>
        <v>230.64687168610814</v>
      </c>
      <c r="E257" s="125" t="s">
        <v>694</v>
      </c>
      <c r="F257" s="128" t="s">
        <v>780</v>
      </c>
      <c r="G257" s="125">
        <v>4</v>
      </c>
      <c r="H257" s="125" t="s">
        <v>781</v>
      </c>
    </row>
    <row r="258" spans="1:8" x14ac:dyDescent="0.3">
      <c r="A258" s="125" t="s">
        <v>783</v>
      </c>
      <c r="B258" s="125" t="s">
        <v>720</v>
      </c>
      <c r="C258" s="257">
        <f>C259*10^3/C244</f>
        <v>69.593746504778366</v>
      </c>
      <c r="D258" s="255"/>
      <c r="E258" s="125" t="s">
        <v>694</v>
      </c>
    </row>
    <row r="259" spans="1:8" x14ac:dyDescent="0.3">
      <c r="A259" s="125" t="s">
        <v>701</v>
      </c>
      <c r="B259" s="125" t="s">
        <v>721</v>
      </c>
      <c r="C259" s="125">
        <v>33.6</v>
      </c>
      <c r="D259" s="189" t="s">
        <v>654</v>
      </c>
      <c r="E259" s="125" t="s">
        <v>719</v>
      </c>
    </row>
    <row r="260" spans="1:8" x14ac:dyDescent="0.3">
      <c r="A260" s="125" t="s">
        <v>702</v>
      </c>
      <c r="B260" s="125" t="s">
        <v>675</v>
      </c>
      <c r="C260" s="166">
        <f>6.2*365/10^3</f>
        <v>2.2629999999999999</v>
      </c>
      <c r="D260" s="189" t="s">
        <v>654</v>
      </c>
      <c r="E260" s="125" t="s">
        <v>717</v>
      </c>
    </row>
    <row r="261" spans="1:8" x14ac:dyDescent="0.3">
      <c r="A261" s="125" t="s">
        <v>703</v>
      </c>
      <c r="B261" s="125" t="s">
        <v>442</v>
      </c>
      <c r="C261" s="166">
        <f>C262/C260</f>
        <v>3.9770216526734425</v>
      </c>
      <c r="D261" s="189"/>
      <c r="E261" s="125" t="str">
        <f>"Caculated assuming # of trips is the same of # of passengers - Roughly 1/"&amp;ROUND(1/(C261/C238),1)&amp;" of average route length"</f>
        <v>Caculated assuming # of trips is the same of # of passengers - Roughly 1/3,3 of average route length</v>
      </c>
    </row>
    <row r="262" spans="1:8" x14ac:dyDescent="0.3">
      <c r="A262" s="125" t="s">
        <v>704</v>
      </c>
      <c r="B262" s="125" t="s">
        <v>674</v>
      </c>
      <c r="C262" s="166">
        <v>9</v>
      </c>
      <c r="D262" s="189" t="s">
        <v>707</v>
      </c>
      <c r="E262" s="125" t="s">
        <v>708</v>
      </c>
    </row>
    <row r="263" spans="1:8" x14ac:dyDescent="0.3">
      <c r="A263" s="125" t="s">
        <v>705</v>
      </c>
      <c r="B263" s="125" t="s">
        <v>672</v>
      </c>
      <c r="C263" s="252">
        <f>C262/C259</f>
        <v>0.26785714285714285</v>
      </c>
      <c r="E263" s="125" t="s">
        <v>694</v>
      </c>
    </row>
    <row r="264" spans="1:8" x14ac:dyDescent="0.3">
      <c r="A264" s="125" t="s">
        <v>706</v>
      </c>
      <c r="B264" s="125" t="s">
        <v>709</v>
      </c>
      <c r="C264" s="167">
        <f>C262*10^9/(C250*10^6)</f>
        <v>1021.405017504612</v>
      </c>
      <c r="E264" s="125" t="s">
        <v>694</v>
      </c>
    </row>
    <row r="265" spans="1:8" x14ac:dyDescent="0.3">
      <c r="A265" s="125" t="s">
        <v>731</v>
      </c>
      <c r="B265" s="125" t="s">
        <v>730</v>
      </c>
      <c r="C265" s="167">
        <f>C262*10^9/C241/10^3</f>
        <v>1074.8825839448539</v>
      </c>
      <c r="E265" s="125" t="s">
        <v>694</v>
      </c>
    </row>
    <row r="266" spans="1:8" x14ac:dyDescent="0.3">
      <c r="A266" s="125" t="s">
        <v>723</v>
      </c>
      <c r="B266" s="125" t="s">
        <v>724</v>
      </c>
      <c r="C266" s="167">
        <f>9.6*C35</f>
        <v>15.449663999999999</v>
      </c>
      <c r="D266" s="189" t="s">
        <v>654</v>
      </c>
    </row>
    <row r="267" spans="1:8" x14ac:dyDescent="0.3">
      <c r="A267" s="125" t="s">
        <v>725</v>
      </c>
      <c r="B267" s="125" t="s">
        <v>726</v>
      </c>
      <c r="C267" s="166">
        <f>C261/C266</f>
        <v>0.25741800292054523</v>
      </c>
      <c r="E267" s="125" t="s">
        <v>694</v>
      </c>
    </row>
    <row r="268" spans="1:8" x14ac:dyDescent="0.3">
      <c r="C268" s="166"/>
    </row>
    <row r="269" spans="1:8" x14ac:dyDescent="0.3">
      <c r="A269" s="256" t="s">
        <v>445</v>
      </c>
      <c r="C269" s="166"/>
    </row>
    <row r="270" spans="1:8" x14ac:dyDescent="0.3">
      <c r="C270" s="256" t="s">
        <v>685</v>
      </c>
      <c r="D270" s="256" t="s">
        <v>453</v>
      </c>
      <c r="E270" s="256" t="s">
        <v>62</v>
      </c>
    </row>
    <row r="271" spans="1:8" x14ac:dyDescent="0.3">
      <c r="A271" s="125" t="s">
        <v>710</v>
      </c>
      <c r="B271" s="125" t="s">
        <v>712</v>
      </c>
      <c r="C271" s="125">
        <f>402*2</f>
        <v>804</v>
      </c>
      <c r="D271" s="189" t="s">
        <v>660</v>
      </c>
      <c r="E271" s="125" t="s">
        <v>713</v>
      </c>
    </row>
    <row r="272" spans="1:8" x14ac:dyDescent="0.3">
      <c r="A272" s="125" t="s">
        <v>681</v>
      </c>
      <c r="B272" s="125" t="s">
        <v>520</v>
      </c>
      <c r="C272" s="125">
        <v>11</v>
      </c>
      <c r="D272" s="189" t="s">
        <v>660</v>
      </c>
    </row>
    <row r="273" spans="1:5" x14ac:dyDescent="0.3">
      <c r="A273" s="125" t="s">
        <v>714</v>
      </c>
      <c r="B273" s="125" t="s">
        <v>716</v>
      </c>
      <c r="C273" s="166">
        <f>C271/C272</f>
        <v>73.090909090909093</v>
      </c>
      <c r="D273" s="189"/>
      <c r="E273" s="125" t="s">
        <v>682</v>
      </c>
    </row>
    <row r="274" spans="1:5" x14ac:dyDescent="0.3">
      <c r="A274" s="125" t="s">
        <v>658</v>
      </c>
      <c r="B274" s="125" t="s">
        <v>659</v>
      </c>
      <c r="C274" s="125">
        <v>83.6</v>
      </c>
      <c r="D274" s="189" t="s">
        <v>660</v>
      </c>
    </row>
    <row r="275" spans="1:5" x14ac:dyDescent="0.3">
      <c r="A275" s="125" t="s">
        <v>663</v>
      </c>
      <c r="B275" s="125" t="s">
        <v>678</v>
      </c>
      <c r="C275" s="167">
        <f>C274*10^6/C273</f>
        <v>1143781.0945273631</v>
      </c>
      <c r="E275" s="125" t="s">
        <v>661</v>
      </c>
    </row>
    <row r="276" spans="1:5" x14ac:dyDescent="0.3">
      <c r="A276" s="125" t="s">
        <v>663</v>
      </c>
      <c r="B276" s="125" t="s">
        <v>679</v>
      </c>
      <c r="C276" s="167">
        <f>C275/365</f>
        <v>3133.6468343215429</v>
      </c>
      <c r="E276" s="125" t="s">
        <v>661</v>
      </c>
    </row>
    <row r="277" spans="1:5" x14ac:dyDescent="0.3">
      <c r="A277" s="125" t="s">
        <v>700</v>
      </c>
      <c r="B277" s="125" t="s">
        <v>697</v>
      </c>
      <c r="C277" s="259">
        <f>24+1-5</f>
        <v>20</v>
      </c>
      <c r="E277" s="125" t="s">
        <v>698</v>
      </c>
    </row>
    <row r="278" spans="1:5" x14ac:dyDescent="0.3">
      <c r="A278" s="125" t="s">
        <v>663</v>
      </c>
      <c r="B278" s="125" t="s">
        <v>680</v>
      </c>
      <c r="C278" s="166">
        <f>C276/C277</f>
        <v>156.68234171607713</v>
      </c>
      <c r="E278" s="125" t="s">
        <v>699</v>
      </c>
    </row>
    <row r="279" spans="1:5" x14ac:dyDescent="0.3">
      <c r="A279" s="125" t="s">
        <v>663</v>
      </c>
      <c r="B279" s="125" t="s">
        <v>683</v>
      </c>
      <c r="C279" s="166">
        <f>C278/C272</f>
        <v>14.243849246916103</v>
      </c>
      <c r="E279" s="125" t="s">
        <v>699</v>
      </c>
    </row>
    <row r="280" spans="1:5" x14ac:dyDescent="0.3">
      <c r="A280" s="125" t="s">
        <v>733</v>
      </c>
      <c r="B280" s="125" t="s">
        <v>695</v>
      </c>
      <c r="C280" s="166">
        <f>60/C279</f>
        <v>4.2123444976076563</v>
      </c>
      <c r="E280" s="125" t="s">
        <v>694</v>
      </c>
    </row>
    <row r="281" spans="1:5" x14ac:dyDescent="0.3">
      <c r="A281" s="125" t="s">
        <v>762</v>
      </c>
      <c r="B281" s="125" t="s">
        <v>760</v>
      </c>
      <c r="C281" s="167">
        <f>C274*10^6/C271/10^3</f>
        <v>103.98009950248756</v>
      </c>
      <c r="E281" s="125" t="s">
        <v>694</v>
      </c>
    </row>
    <row r="282" spans="1:5" x14ac:dyDescent="0.3">
      <c r="A282" s="125" t="s">
        <v>782</v>
      </c>
      <c r="B282" s="125" t="s">
        <v>667</v>
      </c>
      <c r="C282" s="125">
        <v>823</v>
      </c>
      <c r="D282" s="189" t="s">
        <v>660</v>
      </c>
      <c r="E282" s="125" t="s">
        <v>664</v>
      </c>
    </row>
    <row r="283" spans="1:5" x14ac:dyDescent="0.3">
      <c r="A283" s="125" t="s">
        <v>670</v>
      </c>
      <c r="B283" s="125" t="s">
        <v>676</v>
      </c>
      <c r="C283" s="166">
        <f>C282*C274/1000</f>
        <v>68.802799999999991</v>
      </c>
      <c r="D283" s="189" t="s">
        <v>654</v>
      </c>
      <c r="E283" s="125" t="s">
        <v>722</v>
      </c>
    </row>
    <row r="284" spans="1:5" x14ac:dyDescent="0.3">
      <c r="A284" s="125" t="s">
        <v>668</v>
      </c>
      <c r="B284" s="125" t="s">
        <v>675</v>
      </c>
      <c r="C284" s="125">
        <v>1.35</v>
      </c>
      <c r="D284" s="189" t="s">
        <v>660</v>
      </c>
      <c r="E284" s="125" t="s">
        <v>718</v>
      </c>
    </row>
    <row r="285" spans="1:5" x14ac:dyDescent="0.3">
      <c r="A285" s="125" t="s">
        <v>684</v>
      </c>
      <c r="B285" s="125" t="s">
        <v>442</v>
      </c>
      <c r="C285" s="166">
        <f>C290*C291</f>
        <v>14.355</v>
      </c>
      <c r="D285" s="189"/>
      <c r="E285" s="125" t="str">
        <f>"Corresponds to 1/"&amp;ROUND(C273/C285,1)&amp;" of average line length"</f>
        <v>Corresponds to 1/5,1 of average line length</v>
      </c>
    </row>
    <row r="286" spans="1:5" x14ac:dyDescent="0.3">
      <c r="A286" s="125" t="s">
        <v>669</v>
      </c>
      <c r="B286" s="125" t="s">
        <v>674</v>
      </c>
      <c r="C286" s="166">
        <f>C284*C285</f>
        <v>19.379250000000003</v>
      </c>
      <c r="E286" s="125" t="s">
        <v>694</v>
      </c>
    </row>
    <row r="287" spans="1:5" x14ac:dyDescent="0.3">
      <c r="A287" s="125" t="s">
        <v>671</v>
      </c>
      <c r="B287" s="125" t="s">
        <v>672</v>
      </c>
      <c r="C287" s="252">
        <f>C286/C274</f>
        <v>0.23180921052631584</v>
      </c>
      <c r="E287" s="125" t="s">
        <v>694</v>
      </c>
    </row>
    <row r="288" spans="1:5" x14ac:dyDescent="0.3">
      <c r="A288" s="125" t="s">
        <v>677</v>
      </c>
      <c r="B288" s="125" t="s">
        <v>673</v>
      </c>
      <c r="C288" s="167">
        <f>C286*10^9/(C274*10^6)</f>
        <v>231.80921052631584</v>
      </c>
      <c r="E288" s="125" t="s">
        <v>694</v>
      </c>
    </row>
    <row r="289" spans="1:6" x14ac:dyDescent="0.3">
      <c r="A289" s="125" t="s">
        <v>731</v>
      </c>
      <c r="B289" s="125" t="s">
        <v>730</v>
      </c>
      <c r="C289" s="167">
        <f>C286*10^9/C271/10^3</f>
        <v>24103.544776119408</v>
      </c>
      <c r="E289" s="125" t="s">
        <v>694</v>
      </c>
    </row>
    <row r="290" spans="1:6" x14ac:dyDescent="0.3">
      <c r="A290" s="125" t="s">
        <v>727</v>
      </c>
      <c r="B290" s="125" t="s">
        <v>724</v>
      </c>
      <c r="C290" s="167">
        <v>33</v>
      </c>
      <c r="D290" s="189" t="s">
        <v>660</v>
      </c>
    </row>
    <row r="291" spans="1:6" x14ac:dyDescent="0.3">
      <c r="A291" s="125" t="s">
        <v>728</v>
      </c>
      <c r="B291" s="125" t="s">
        <v>726</v>
      </c>
      <c r="C291" s="125">
        <f>26.1/60</f>
        <v>0.435</v>
      </c>
      <c r="D291" s="189" t="s">
        <v>654</v>
      </c>
      <c r="E291" s="125" t="s">
        <v>729</v>
      </c>
    </row>
    <row r="293" spans="1:6" x14ac:dyDescent="0.3">
      <c r="A293" s="256" t="s">
        <v>759</v>
      </c>
    </row>
    <row r="294" spans="1:6" x14ac:dyDescent="0.3">
      <c r="A294" s="125" t="s">
        <v>590</v>
      </c>
    </row>
    <row r="295" spans="1:6" x14ac:dyDescent="0.3">
      <c r="A295" s="125" t="s">
        <v>765</v>
      </c>
      <c r="B295" s="125" t="s">
        <v>0</v>
      </c>
      <c r="C295" s="125">
        <v>140</v>
      </c>
      <c r="D295" s="189" t="s">
        <v>654</v>
      </c>
      <c r="E295" s="125" t="s">
        <v>757</v>
      </c>
    </row>
    <row r="296" spans="1:6" x14ac:dyDescent="0.3">
      <c r="A296" s="125" t="s">
        <v>764</v>
      </c>
      <c r="B296" s="125" t="s">
        <v>711</v>
      </c>
      <c r="C296" s="125">
        <f>C295*2</f>
        <v>280</v>
      </c>
      <c r="E296" s="125" t="s">
        <v>758</v>
      </c>
    </row>
    <row r="297" spans="1:6" x14ac:dyDescent="0.3">
      <c r="A297" s="125" t="s">
        <v>766</v>
      </c>
      <c r="B297" s="125" t="s">
        <v>751</v>
      </c>
      <c r="C297" s="166">
        <f>0.4*C35</f>
        <v>0.64373600000000009</v>
      </c>
      <c r="D297" s="189" t="s">
        <v>749</v>
      </c>
    </row>
    <row r="298" spans="1:6" x14ac:dyDescent="0.3">
      <c r="A298" s="125" t="s">
        <v>788</v>
      </c>
      <c r="B298" s="125" t="s">
        <v>3</v>
      </c>
      <c r="C298" s="260">
        <v>0.2</v>
      </c>
      <c r="D298" s="189"/>
      <c r="E298" s="125" t="s">
        <v>698</v>
      </c>
    </row>
    <row r="299" spans="1:6" x14ac:dyDescent="0.3">
      <c r="A299" s="125" t="s">
        <v>762</v>
      </c>
      <c r="B299" s="125" t="s">
        <v>767</v>
      </c>
      <c r="C299" s="166">
        <f>C297*C298*10^9/C296/10^3</f>
        <v>459.81142857142868</v>
      </c>
      <c r="E299" s="125" t="s">
        <v>694</v>
      </c>
      <c r="F299" s="125" t="s">
        <v>771</v>
      </c>
    </row>
    <row r="300" spans="1:6" x14ac:dyDescent="0.3">
      <c r="B300" s="125" t="s">
        <v>590</v>
      </c>
    </row>
    <row r="301" spans="1:6" x14ac:dyDescent="0.3">
      <c r="A301" s="256" t="s">
        <v>735</v>
      </c>
    </row>
    <row r="303" spans="1:6" x14ac:dyDescent="0.3">
      <c r="A303" s="125" t="s">
        <v>736</v>
      </c>
      <c r="B303" s="125" t="s">
        <v>711</v>
      </c>
      <c r="C303" s="261">
        <f>C304*3*2+C305*2*2+C306*1.5</f>
        <v>27096.457579999998</v>
      </c>
      <c r="E303" s="125" t="s">
        <v>747</v>
      </c>
    </row>
    <row r="304" spans="1:6" x14ac:dyDescent="0.3">
      <c r="A304" s="125" t="s">
        <v>744</v>
      </c>
      <c r="B304" s="125" t="s">
        <v>0</v>
      </c>
      <c r="C304" s="167">
        <f>38*C35</f>
        <v>61.154919999999997</v>
      </c>
      <c r="D304" s="189" t="s">
        <v>748</v>
      </c>
      <c r="E304" s="125" t="s">
        <v>752</v>
      </c>
    </row>
    <row r="305" spans="1:6" x14ac:dyDescent="0.3">
      <c r="A305" s="125" t="s">
        <v>745</v>
      </c>
      <c r="B305" s="125" t="s">
        <v>0</v>
      </c>
      <c r="C305" s="167">
        <f>1123*C35</f>
        <v>1807.28882</v>
      </c>
      <c r="D305" s="189" t="s">
        <v>748</v>
      </c>
      <c r="E305" s="125" t="s">
        <v>752</v>
      </c>
    </row>
    <row r="306" spans="1:6" x14ac:dyDescent="0.3">
      <c r="A306" s="125" t="s">
        <v>746</v>
      </c>
      <c r="B306" s="125" t="s">
        <v>0</v>
      </c>
      <c r="C306" s="167">
        <f>8078*C35</f>
        <v>13000.248519999999</v>
      </c>
      <c r="D306" s="189" t="s">
        <v>748</v>
      </c>
      <c r="E306" s="125" t="s">
        <v>752</v>
      </c>
    </row>
    <row r="308" spans="1:6" x14ac:dyDescent="0.3">
      <c r="A308" s="125" t="s">
        <v>750</v>
      </c>
      <c r="B308" s="125" t="s">
        <v>751</v>
      </c>
      <c r="C308" s="166">
        <f>14*C35</f>
        <v>22.530760000000001</v>
      </c>
      <c r="D308" s="189" t="s">
        <v>749</v>
      </c>
      <c r="E308" s="125" t="s">
        <v>752</v>
      </c>
    </row>
    <row r="309" spans="1:6" x14ac:dyDescent="0.3">
      <c r="A309" s="125" t="s">
        <v>753</v>
      </c>
      <c r="B309" s="125" t="s">
        <v>751</v>
      </c>
      <c r="C309" s="166">
        <f>3*$C$35</f>
        <v>4.8280200000000004</v>
      </c>
      <c r="D309" s="189" t="s">
        <v>749</v>
      </c>
    </row>
    <row r="310" spans="1:6" x14ac:dyDescent="0.3">
      <c r="A310" s="125" t="s">
        <v>754</v>
      </c>
      <c r="B310" s="125" t="s">
        <v>751</v>
      </c>
      <c r="C310" s="166">
        <f>0.6*$C$35</f>
        <v>0.96560399999999991</v>
      </c>
      <c r="D310" s="189" t="s">
        <v>749</v>
      </c>
    </row>
    <row r="311" spans="1:6" x14ac:dyDescent="0.3">
      <c r="A311" s="125" t="s">
        <v>755</v>
      </c>
      <c r="B311" s="125" t="s">
        <v>751</v>
      </c>
      <c r="C311" s="166">
        <f>0.3*$C$35</f>
        <v>0.48280199999999995</v>
      </c>
      <c r="D311" s="189" t="s">
        <v>749</v>
      </c>
    </row>
    <row r="312" spans="1:6" x14ac:dyDescent="0.3">
      <c r="A312" s="125" t="s">
        <v>775</v>
      </c>
      <c r="B312" s="125" t="s">
        <v>751</v>
      </c>
      <c r="C312" s="166">
        <f>0.4*$C$35</f>
        <v>0.64373600000000009</v>
      </c>
      <c r="D312" s="189" t="s">
        <v>749</v>
      </c>
    </row>
    <row r="313" spans="1:6" x14ac:dyDescent="0.3">
      <c r="A313" s="125" t="s">
        <v>774</v>
      </c>
      <c r="B313" s="125" t="s">
        <v>751</v>
      </c>
      <c r="C313" s="166">
        <f>C297</f>
        <v>0.64373600000000009</v>
      </c>
      <c r="D313" s="189" t="s">
        <v>749</v>
      </c>
    </row>
    <row r="315" spans="1:6" x14ac:dyDescent="0.3">
      <c r="A315" s="125" t="s">
        <v>773</v>
      </c>
      <c r="B315" s="125" t="s">
        <v>763</v>
      </c>
      <c r="C315" s="167">
        <f>SUM(C308:C313)*10^9/C303/10^3</f>
        <v>1110.649165528301</v>
      </c>
      <c r="E315" s="125" t="s">
        <v>694</v>
      </c>
      <c r="F315" s="125" t="s">
        <v>1258</v>
      </c>
    </row>
    <row r="316" spans="1:6" x14ac:dyDescent="0.3">
      <c r="C316" s="167"/>
    </row>
    <row r="317" spans="1:6" x14ac:dyDescent="0.3">
      <c r="C317" s="167"/>
    </row>
    <row r="318" spans="1:6" x14ac:dyDescent="0.3">
      <c r="C318" s="167"/>
    </row>
    <row r="319" spans="1:6" x14ac:dyDescent="0.3">
      <c r="A319" s="125" t="s">
        <v>789</v>
      </c>
      <c r="C319" s="167"/>
    </row>
  </sheetData>
  <hyperlinks>
    <hyperlink ref="G64" r:id="rId1" xr:uid="{00000000-0004-0000-0E00-000000000000}"/>
    <hyperlink ref="G66" r:id="rId2" xr:uid="{00000000-0004-0000-0E00-000001000000}"/>
    <hyperlink ref="G131" r:id="rId3" xr:uid="{00000000-0004-0000-0E00-000002000000}"/>
    <hyperlink ref="G65" r:id="rId4" xr:uid="{00000000-0004-0000-0E00-000003000000}"/>
    <hyperlink ref="G132" r:id="rId5" xr:uid="{00000000-0004-0000-0E00-000004000000}"/>
    <hyperlink ref="G133" r:id="rId6" xr:uid="{00000000-0004-0000-0E00-000005000000}"/>
    <hyperlink ref="G134" r:id="rId7" xr:uid="{00000000-0004-0000-0E00-000006000000}"/>
    <hyperlink ref="G173" r:id="rId8" xr:uid="{00000000-0004-0000-0E00-000007000000}"/>
    <hyperlink ref="G197" r:id="rId9" xr:uid="{00000000-0004-0000-0E00-000008000000}"/>
    <hyperlink ref="G201" r:id="rId10" tooltip="Persistent link using digital object identifier" xr:uid="{00000000-0004-0000-0E00-000009000000}"/>
    <hyperlink ref="G202" r:id="rId11" xr:uid="{00000000-0004-0000-0E00-00000A000000}"/>
    <hyperlink ref="G203" r:id="rId12" xr:uid="{00000000-0004-0000-0E00-00000B000000}"/>
    <hyperlink ref="G69" r:id="rId13" xr:uid="{00000000-0004-0000-0E00-00000C000000}"/>
    <hyperlink ref="G68" r:id="rId14" xr:uid="{00000000-0004-0000-0E00-00000D000000}"/>
    <hyperlink ref="G67" r:id="rId15" tooltip="Persistent link using digital object identifier" xr:uid="{00000000-0004-0000-0E00-00000E000000}"/>
    <hyperlink ref="F137" r:id="rId16" tooltip="Persistent link using digital object identifier" xr:uid="{00000000-0004-0000-0E00-00000F000000}"/>
    <hyperlink ref="F138" r:id="rId17" xr:uid="{00000000-0004-0000-0E00-000010000000}"/>
    <hyperlink ref="F139" r:id="rId18" xr:uid="{00000000-0004-0000-0E00-000011000000}"/>
    <hyperlink ref="F140" r:id="rId19" tooltip="Persistent link using digital object identifier" xr:uid="{00000000-0004-0000-0E00-000012000000}"/>
    <hyperlink ref="F141" r:id="rId20" xr:uid="{00000000-0004-0000-0E00-000013000000}"/>
    <hyperlink ref="F142" r:id="rId21" xr:uid="{00000000-0004-0000-0E00-000014000000}"/>
    <hyperlink ref="G177" r:id="rId22" xr:uid="{00000000-0004-0000-0E00-000015000000}"/>
    <hyperlink ref="G204" r:id="rId23" xr:uid="{00000000-0004-0000-0E00-000016000000}"/>
    <hyperlink ref="G208" r:id="rId24" tooltip="Persistent link using digital object identifier" xr:uid="{00000000-0004-0000-0E00-000017000000}"/>
    <hyperlink ref="G209" r:id="rId25" xr:uid="{00000000-0004-0000-0E00-000018000000}"/>
    <hyperlink ref="G210" r:id="rId26" xr:uid="{00000000-0004-0000-0E00-000019000000}"/>
    <hyperlink ref="G129" r:id="rId27" tooltip="Persistent link using digital object identifier" xr:uid="{00000000-0004-0000-0E00-00001A000000}"/>
    <hyperlink ref="G130" r:id="rId28" tooltip="Persistent link using digital object identifier" xr:uid="{00000000-0004-0000-0E00-00001B000000}"/>
    <hyperlink ref="G128" r:id="rId29" tooltip="Persistent link using digital object identifier" xr:uid="{00000000-0004-0000-0E00-00001C000000}"/>
    <hyperlink ref="G63" r:id="rId30" tooltip="Persistent link using digital object identifier" xr:uid="{00000000-0004-0000-0E00-00001D000000}"/>
    <hyperlink ref="E56" r:id="rId31" xr:uid="{00000000-0004-0000-0E00-00001E000000}"/>
    <hyperlink ref="E57" r:id="rId32" xr:uid="{00000000-0004-0000-0E00-00001F000000}"/>
    <hyperlink ref="F76" r:id="rId33" tooltip="Persistent link using digital object identifier" xr:uid="{00000000-0004-0000-0E00-000020000000}"/>
    <hyperlink ref="F77" r:id="rId34" tooltip="Persistent link using digital object identifier" xr:uid="{00000000-0004-0000-0E00-000021000000}"/>
    <hyperlink ref="G82" r:id="rId35" xr:uid="{00000000-0004-0000-0E00-000022000000}"/>
    <hyperlink ref="E58" r:id="rId36" xr:uid="{00000000-0004-0000-0E00-000023000000}"/>
    <hyperlink ref="G85" r:id="rId37" xr:uid="{00000000-0004-0000-0E00-000024000000}"/>
    <hyperlink ref="E155" r:id="rId38" xr:uid="{00000000-0004-0000-0E00-000025000000}"/>
    <hyperlink ref="E154" r:id="rId39" xr:uid="{00000000-0004-0000-0E00-000026000000}"/>
    <hyperlink ref="E150" r:id="rId40" xr:uid="{00000000-0004-0000-0E00-000027000000}"/>
    <hyperlink ref="E147" r:id="rId41" xr:uid="{00000000-0004-0000-0E00-000028000000}"/>
    <hyperlink ref="E148" r:id="rId42" xr:uid="{00000000-0004-0000-0E00-000029000000}"/>
    <hyperlink ref="E149" r:id="rId43" xr:uid="{00000000-0004-0000-0E00-00002A000000}"/>
    <hyperlink ref="E151" r:id="rId44" xr:uid="{00000000-0004-0000-0E00-00002B000000}"/>
    <hyperlink ref="E153" r:id="rId45" xr:uid="{00000000-0004-0000-0E00-00002C000000}"/>
    <hyperlink ref="E156" r:id="rId46" xr:uid="{00000000-0004-0000-0E00-00002D000000}"/>
    <hyperlink ref="E152" r:id="rId47" xr:uid="{00000000-0004-0000-0E00-00002E000000}"/>
    <hyperlink ref="A159" r:id="rId48" xr:uid="{00000000-0004-0000-0E00-00002F000000}"/>
    <hyperlink ref="B88" r:id="rId49" xr:uid="{00000000-0004-0000-0E00-000030000000}"/>
    <hyperlink ref="G84" r:id="rId50" xr:uid="{00000000-0004-0000-0E00-000031000000}"/>
    <hyperlink ref="B186" r:id="rId51" xr:uid="{00000000-0004-0000-0E00-000032000000}"/>
    <hyperlink ref="B185" r:id="rId52" xr:uid="{00000000-0004-0000-0E00-000033000000}"/>
    <hyperlink ref="C48" r:id="rId53" xr:uid="{00000000-0004-0000-0E00-000034000000}"/>
    <hyperlink ref="D251" r:id="rId54" xr:uid="{00000000-0004-0000-0E00-000035000000}"/>
    <hyperlink ref="D252" r:id="rId55" xr:uid="{00000000-0004-0000-0E00-000036000000}"/>
    <hyperlink ref="D253" r:id="rId56" xr:uid="{00000000-0004-0000-0E00-000037000000}"/>
    <hyperlink ref="D271" r:id="rId57" xr:uid="{00000000-0004-0000-0E00-000038000000}"/>
    <hyperlink ref="D274" r:id="rId58" xr:uid="{00000000-0004-0000-0E00-000039000000}"/>
    <hyperlink ref="D284" r:id="rId59" xr:uid="{00000000-0004-0000-0E00-00003A000000}"/>
    <hyperlink ref="D272" r:id="rId60" xr:uid="{00000000-0004-0000-0E00-00003B000000}"/>
    <hyperlink ref="D262" r:id="rId61" xr:uid="{00000000-0004-0000-0E00-00003C000000}"/>
    <hyperlink ref="D260" r:id="rId62" xr:uid="{00000000-0004-0000-0E00-00003D000000}"/>
    <hyperlink ref="D283" r:id="rId63" xr:uid="{00000000-0004-0000-0E00-00003E000000}"/>
    <hyperlink ref="D259" r:id="rId64" xr:uid="{00000000-0004-0000-0E00-00003F000000}"/>
    <hyperlink ref="D282" r:id="rId65" xr:uid="{00000000-0004-0000-0E00-000040000000}"/>
    <hyperlink ref="D266" r:id="rId66" xr:uid="{00000000-0004-0000-0E00-000041000000}"/>
    <hyperlink ref="D290" r:id="rId67" xr:uid="{00000000-0004-0000-0E00-000042000000}"/>
    <hyperlink ref="D291" r:id="rId68" xr:uid="{00000000-0004-0000-0E00-000043000000}"/>
    <hyperlink ref="D306" r:id="rId69" xr:uid="{00000000-0004-0000-0E00-000044000000}"/>
    <hyperlink ref="D305" r:id="rId70" xr:uid="{00000000-0004-0000-0E00-000045000000}"/>
    <hyperlink ref="D304" r:id="rId71" xr:uid="{00000000-0004-0000-0E00-000046000000}"/>
    <hyperlink ref="E244" r:id="rId72" xr:uid="{00000000-0004-0000-0E00-000047000000}"/>
    <hyperlink ref="D244" r:id="rId73" xr:uid="{00000000-0004-0000-0E00-000048000000}"/>
    <hyperlink ref="D297" r:id="rId74" xr:uid="{00000000-0004-0000-0E00-000049000000}"/>
    <hyperlink ref="D295" r:id="rId75" xr:uid="{00000000-0004-0000-0E00-00004A000000}"/>
    <hyperlink ref="D25" r:id="rId76" xr:uid="{00000000-0004-0000-0E00-00004B000000}"/>
    <hyperlink ref="D27" r:id="rId77" display="https://www.mdpi.com/2071-1050/11/2/377/pdf" xr:uid="{00000000-0004-0000-0E00-00004C000000}"/>
    <hyperlink ref="D28" r:id="rId78" xr:uid="{00000000-0004-0000-0E00-00004D000000}"/>
    <hyperlink ref="D29" r:id="rId79" xr:uid="{00000000-0004-0000-0E00-00004E000000}"/>
    <hyperlink ref="D242" r:id="rId80" xr:uid="{00000000-0004-0000-0E00-00004F000000}"/>
    <hyperlink ref="D30" r:id="rId81" xr:uid="{00000000-0004-0000-0E00-000050000000}"/>
  </hyperlinks>
  <pageMargins left="0.7" right="0.7" top="0.75" bottom="0.75" header="0.3" footer="0.3"/>
  <pageSetup paperSize="9" orientation="portrait" r:id="rId82"/>
  <legacyDrawing r:id="rId8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tint="0.34998626667073579"/>
  </sheetPr>
  <dimension ref="B10:W61"/>
  <sheetViews>
    <sheetView topLeftCell="A2" workbookViewId="0">
      <selection activeCell="P14" sqref="P14"/>
    </sheetView>
  </sheetViews>
  <sheetFormatPr defaultRowHeight="13.2" x14ac:dyDescent="0.25"/>
  <cols>
    <col min="14" max="14" width="10" customWidth="1"/>
    <col min="15" max="15" width="9.77734375" customWidth="1"/>
  </cols>
  <sheetData>
    <row r="10" spans="2:21" x14ac:dyDescent="0.25">
      <c r="C10" s="17" t="s">
        <v>993</v>
      </c>
      <c r="E10" s="17" t="s">
        <v>997</v>
      </c>
      <c r="K10" s="17" t="s">
        <v>1001</v>
      </c>
      <c r="L10" s="17"/>
      <c r="M10" s="17" t="s">
        <v>1340</v>
      </c>
      <c r="N10" s="17"/>
      <c r="O10" s="588" t="s">
        <v>1339</v>
      </c>
      <c r="R10" t="s">
        <v>1151</v>
      </c>
    </row>
    <row r="11" spans="2:21" x14ac:dyDescent="0.25">
      <c r="E11" t="s">
        <v>998</v>
      </c>
      <c r="G11" t="s">
        <v>999</v>
      </c>
      <c r="I11" t="s">
        <v>1003</v>
      </c>
      <c r="K11" t="s">
        <v>1002</v>
      </c>
      <c r="O11" t="s">
        <v>590</v>
      </c>
      <c r="R11" s="8" t="s">
        <v>1174</v>
      </c>
      <c r="T11" s="8" t="s">
        <v>1175</v>
      </c>
    </row>
    <row r="12" spans="2:21" x14ac:dyDescent="0.25">
      <c r="D12" t="s">
        <v>996</v>
      </c>
      <c r="F12" t="s">
        <v>996</v>
      </c>
      <c r="H12" t="s">
        <v>996</v>
      </c>
      <c r="J12" t="s">
        <v>996</v>
      </c>
      <c r="L12" t="s">
        <v>996</v>
      </c>
      <c r="N12" t="s">
        <v>996</v>
      </c>
      <c r="O12" t="s">
        <v>590</v>
      </c>
      <c r="P12" t="s">
        <v>996</v>
      </c>
      <c r="S12" t="s">
        <v>996</v>
      </c>
      <c r="U12" t="s">
        <v>996</v>
      </c>
    </row>
    <row r="13" spans="2:21" x14ac:dyDescent="0.25">
      <c r="B13" t="s">
        <v>991</v>
      </c>
      <c r="C13">
        <v>1</v>
      </c>
      <c r="E13" t="s">
        <v>1000</v>
      </c>
      <c r="G13">
        <v>1</v>
      </c>
      <c r="I13">
        <v>1</v>
      </c>
      <c r="K13">
        <v>1</v>
      </c>
      <c r="M13">
        <f>M21/M$21</f>
        <v>1</v>
      </c>
      <c r="O13">
        <v>1</v>
      </c>
    </row>
    <row r="14" spans="2:21" x14ac:dyDescent="0.25">
      <c r="B14" t="s">
        <v>994</v>
      </c>
      <c r="C14">
        <v>0.4</v>
      </c>
      <c r="D14" s="328">
        <f>C14/SUM(C$13:C$15)</f>
        <v>0.23668639053254439</v>
      </c>
      <c r="K14">
        <f>L14/(1-L14)</f>
        <v>0.81818181818181812</v>
      </c>
      <c r="L14" s="328">
        <v>0.45</v>
      </c>
      <c r="M14">
        <f>SUM(M19:M20)/M$21</f>
        <v>0.62835249042145591</v>
      </c>
      <c r="N14" s="328">
        <f>M14/SUM(M13:M14)</f>
        <v>0.38588235294117645</v>
      </c>
      <c r="O14">
        <f>M14</f>
        <v>0.62835249042145591</v>
      </c>
      <c r="P14" s="328">
        <f>O14/SUM(O13:O14)</f>
        <v>0.38588235294117645</v>
      </c>
      <c r="R14">
        <f>S14/(1-S14)</f>
        <v>0.93181818181818166</v>
      </c>
      <c r="S14" s="1">
        <f>P14*1.25</f>
        <v>0.48235294117647054</v>
      </c>
      <c r="T14">
        <f>U14/(1-U14)</f>
        <v>0.40728476821192056</v>
      </c>
      <c r="U14" s="1">
        <f>P14*0.75</f>
        <v>0.28941176470588237</v>
      </c>
    </row>
    <row r="15" spans="2:21" x14ac:dyDescent="0.25">
      <c r="B15" t="s">
        <v>992</v>
      </c>
      <c r="C15">
        <v>0.28999999999999998</v>
      </c>
      <c r="D15" s="328">
        <f>C15/SUM(C$13:C$15)</f>
        <v>0.17159763313609466</v>
      </c>
      <c r="K15" s="80">
        <f>C15</f>
        <v>0.28999999999999998</v>
      </c>
      <c r="L15" s="80"/>
      <c r="M15" s="80"/>
      <c r="N15" s="80"/>
      <c r="O15" s="80">
        <f>C15</f>
        <v>0.28999999999999998</v>
      </c>
    </row>
    <row r="16" spans="2:21" x14ac:dyDescent="0.25">
      <c r="B16" t="s">
        <v>995</v>
      </c>
      <c r="C16">
        <f>C14+C15</f>
        <v>0.69</v>
      </c>
      <c r="D16" s="328">
        <f>C16/SUM(C$13,C$16)</f>
        <v>0.40828402366863903</v>
      </c>
      <c r="E16">
        <f>F16/(1-F16)</f>
        <v>0.81159420289855055</v>
      </c>
      <c r="F16" s="110">
        <f>(1-55.2%)</f>
        <v>0.44799999999999995</v>
      </c>
      <c r="G16">
        <f>H16/(1-H16)</f>
        <v>0.55763239875389403</v>
      </c>
      <c r="H16" s="110">
        <f>(1-64.2%)</f>
        <v>0.35799999999999998</v>
      </c>
      <c r="I16">
        <f>J16/(1-J16)</f>
        <v>1.4999999999999998</v>
      </c>
      <c r="J16" s="110">
        <f>(1-40%)</f>
        <v>0.6</v>
      </c>
      <c r="K16" s="80">
        <f>K14+K15</f>
        <v>1.1081818181818182</v>
      </c>
      <c r="L16" s="80"/>
      <c r="M16" s="80"/>
      <c r="N16" s="80"/>
      <c r="O16" s="80">
        <f>O14+O15</f>
        <v>0.91835249042145595</v>
      </c>
      <c r="P16" s="328">
        <f>K16/SUM(K$13,K$16)</f>
        <v>0.52565761103924102</v>
      </c>
    </row>
    <row r="18" spans="2:18" x14ac:dyDescent="0.25">
      <c r="C18" s="17" t="s">
        <v>1257</v>
      </c>
      <c r="F18" s="17" t="s">
        <v>993</v>
      </c>
    </row>
    <row r="19" spans="2:18" x14ac:dyDescent="0.25">
      <c r="B19" s="17"/>
      <c r="D19" t="s">
        <v>1036</v>
      </c>
      <c r="F19" t="s">
        <v>1035</v>
      </c>
      <c r="G19" t="s">
        <v>1036</v>
      </c>
      <c r="M19">
        <v>1.18</v>
      </c>
      <c r="N19" t="s">
        <v>1343</v>
      </c>
    </row>
    <row r="20" spans="2:18" x14ac:dyDescent="0.25">
      <c r="B20" t="s">
        <v>1225</v>
      </c>
      <c r="D20">
        <v>1.55</v>
      </c>
      <c r="F20">
        <v>1.36</v>
      </c>
      <c r="G20">
        <v>1.31</v>
      </c>
      <c r="H20" t="s">
        <v>1038</v>
      </c>
      <c r="M20">
        <v>0.46</v>
      </c>
      <c r="N20" t="s">
        <v>1342</v>
      </c>
    </row>
    <row r="21" spans="2:18" x14ac:dyDescent="0.25">
      <c r="H21" t="s">
        <v>1037</v>
      </c>
      <c r="M21">
        <v>2.61</v>
      </c>
      <c r="N21" t="s">
        <v>1341</v>
      </c>
      <c r="R21">
        <f>(Tech_Spec_TNC!D20*Tech_Spec_TNC!O13+0*Tech_Spec_TNC!O14)/(Tech_Spec_TNC!O13+Tech_Spec_TNC!O14)</f>
        <v>0.95188235294117651</v>
      </c>
    </row>
    <row r="22" spans="2:18" x14ac:dyDescent="0.25">
      <c r="R22" s="170">
        <f>(Tech_Spec_TNC!D20*Tech_Spec_TNC!O13+0*Tech_Spec_TNC!O16)/(Tech_Spec_TNC!O13+Tech_Spec_TNC!O16)</f>
        <v>0.8079849807265973</v>
      </c>
    </row>
    <row r="31" spans="2:18" x14ac:dyDescent="0.25">
      <c r="F31" t="s">
        <v>1026</v>
      </c>
      <c r="G31" t="s">
        <v>1027</v>
      </c>
      <c r="H31" t="s">
        <v>1029</v>
      </c>
      <c r="I31" t="s">
        <v>1031</v>
      </c>
      <c r="J31" t="s">
        <v>1028</v>
      </c>
      <c r="P31" t="s">
        <v>453</v>
      </c>
    </row>
    <row r="32" spans="2:18" x14ac:dyDescent="0.25">
      <c r="B32" t="s">
        <v>1030</v>
      </c>
      <c r="F32" s="347">
        <f>8/60</f>
        <v>0.13333333333333333</v>
      </c>
      <c r="G32" s="80">
        <v>10</v>
      </c>
      <c r="H32">
        <f>F32*G32</f>
        <v>1.3333333333333333</v>
      </c>
      <c r="I32" s="80">
        <f>5*48</f>
        <v>240</v>
      </c>
      <c r="J32">
        <f>H32*I32</f>
        <v>320</v>
      </c>
      <c r="P32" s="17" t="s">
        <v>1033</v>
      </c>
    </row>
    <row r="33" spans="2:21" x14ac:dyDescent="0.25">
      <c r="B33" t="s">
        <v>1032</v>
      </c>
      <c r="F33" s="110">
        <v>0.05</v>
      </c>
      <c r="P33" s="17" t="s">
        <v>1034</v>
      </c>
    </row>
    <row r="37" spans="2:21" x14ac:dyDescent="0.25">
      <c r="B37" s="8" t="s">
        <v>1224</v>
      </c>
    </row>
    <row r="38" spans="2:21" x14ac:dyDescent="0.25">
      <c r="B38" s="8"/>
    </row>
    <row r="39" spans="2:21" x14ac:dyDescent="0.25">
      <c r="B39" s="109" t="s">
        <v>1246</v>
      </c>
    </row>
    <row r="40" spans="2:21" x14ac:dyDescent="0.25">
      <c r="D40" t="str">
        <f>D19</f>
        <v>VMT weighted</v>
      </c>
      <c r="P40" t="str">
        <f>P12</f>
        <v>Deadheading, % of total</v>
      </c>
      <c r="S40" s="17" t="s">
        <v>1236</v>
      </c>
    </row>
    <row r="41" spans="2:21" x14ac:dyDescent="0.25">
      <c r="B41" t="str">
        <f>B20</f>
        <v>Average load using passenger transport</v>
      </c>
      <c r="D41">
        <f>AVERAGE(3,6)</f>
        <v>4.5</v>
      </c>
      <c r="E41" s="17" t="s">
        <v>1242</v>
      </c>
      <c r="J41" t="str">
        <f>B13</f>
        <v>Travel with passenger on board</v>
      </c>
      <c r="O41">
        <v>1</v>
      </c>
      <c r="S41" s="17" t="s">
        <v>1240</v>
      </c>
    </row>
    <row r="42" spans="2:21" x14ac:dyDescent="0.25">
      <c r="J42" t="str">
        <f>B14</f>
        <v>Crusing and overheading</v>
      </c>
      <c r="O42">
        <f>P42/(1-P42)</f>
        <v>0.36577293875005995</v>
      </c>
      <c r="P42" s="328">
        <f>U43/AVERAGE(U44:U46)*P14</f>
        <v>0.26781387181738364</v>
      </c>
      <c r="Q42" s="17"/>
      <c r="T42" t="s">
        <v>1235</v>
      </c>
      <c r="U42" t="s">
        <v>1004</v>
      </c>
    </row>
    <row r="43" spans="2:21" x14ac:dyDescent="0.25">
      <c r="D43">
        <v>8</v>
      </c>
      <c r="E43" t="s">
        <v>1249</v>
      </c>
      <c r="J43" t="str">
        <f>B15</f>
        <v>Commuting</v>
      </c>
      <c r="O43">
        <f>'0_Total'!CY20/'0_Total'!CY6*SUM(O41:O42)</f>
        <v>0.13910650302083943</v>
      </c>
      <c r="P43" s="328" t="s">
        <v>1241</v>
      </c>
      <c r="S43" t="s">
        <v>1234</v>
      </c>
      <c r="T43" s="110">
        <v>0.69</v>
      </c>
      <c r="U43" s="110">
        <f>1-T43</f>
        <v>0.31000000000000005</v>
      </c>
    </row>
    <row r="44" spans="2:21" x14ac:dyDescent="0.25">
      <c r="E44" s="497" t="s">
        <v>1251</v>
      </c>
      <c r="F44" s="17" t="s">
        <v>1250</v>
      </c>
      <c r="J44" t="str">
        <f>B16</f>
        <v>Total deadhading</v>
      </c>
      <c r="L44" s="80"/>
      <c r="M44" s="80"/>
      <c r="N44" s="80"/>
      <c r="O44" s="80">
        <f>O42+O43</f>
        <v>0.50487944177089938</v>
      </c>
      <c r="P44" s="328">
        <f>O44/SUM(O44,O41)</f>
        <v>0.33549494248972639</v>
      </c>
      <c r="S44" t="s">
        <v>1237</v>
      </c>
      <c r="T44" s="110">
        <v>0.57999999999999996</v>
      </c>
      <c r="U44" s="110">
        <f>1-T44</f>
        <v>0.42000000000000004</v>
      </c>
    </row>
    <row r="45" spans="2:21" x14ac:dyDescent="0.25">
      <c r="S45" t="s">
        <v>1238</v>
      </c>
      <c r="T45" s="110">
        <v>0.57999999999999996</v>
      </c>
      <c r="U45" s="110">
        <f>1-T45</f>
        <v>0.42000000000000004</v>
      </c>
    </row>
    <row r="46" spans="2:21" x14ac:dyDescent="0.25">
      <c r="S46" t="s">
        <v>1239</v>
      </c>
      <c r="T46" s="110">
        <v>0.5</v>
      </c>
      <c r="U46" s="110">
        <f>1-T46</f>
        <v>0.5</v>
      </c>
    </row>
    <row r="47" spans="2:21" x14ac:dyDescent="0.25">
      <c r="B47" s="109" t="s">
        <v>1246</v>
      </c>
    </row>
    <row r="48" spans="2:21" x14ac:dyDescent="0.25">
      <c r="D48" t="str">
        <f>D40</f>
        <v>VMT weighted</v>
      </c>
      <c r="P48">
        <f>P20</f>
        <v>0</v>
      </c>
      <c r="S48" s="17"/>
    </row>
    <row r="49" spans="2:23" x14ac:dyDescent="0.25">
      <c r="B49" t="str">
        <f>B41</f>
        <v>Average load using passenger transport</v>
      </c>
      <c r="D49" s="3">
        <f>D51*(D41/D43*(Tech_Specs_Infra!$C$258-D51)/(Tech_Specs_Infra!$C$258-D43)+Tech_Specs_Infra!C263*(D51-D43)/(Tech_Specs_Infra!$C$258-D43))</f>
        <v>10.101924266227257</v>
      </c>
      <c r="E49" t="s">
        <v>1254</v>
      </c>
      <c r="J49">
        <f>B21</f>
        <v>0</v>
      </c>
      <c r="O49">
        <v>1</v>
      </c>
      <c r="S49" s="17"/>
    </row>
    <row r="50" spans="2:23" x14ac:dyDescent="0.25">
      <c r="J50">
        <f>B22</f>
        <v>0</v>
      </c>
      <c r="O50">
        <f>P50/(1-P50)</f>
        <v>0.36577293875005995</v>
      </c>
      <c r="P50" s="328">
        <f>P42</f>
        <v>0.26781387181738364</v>
      </c>
      <c r="Q50" s="328" t="s">
        <v>1247</v>
      </c>
    </row>
    <row r="51" spans="2:23" x14ac:dyDescent="0.25">
      <c r="D51">
        <v>20</v>
      </c>
      <c r="E51" t="s">
        <v>1253</v>
      </c>
      <c r="J51">
        <f>B23</f>
        <v>0</v>
      </c>
      <c r="O51">
        <f>O43</f>
        <v>0.13910650302083943</v>
      </c>
      <c r="P51" s="328" t="s">
        <v>1241</v>
      </c>
      <c r="T51" s="110"/>
      <c r="U51" s="110"/>
    </row>
    <row r="52" spans="2:23" x14ac:dyDescent="0.25">
      <c r="E52" s="497" t="s">
        <v>1252</v>
      </c>
      <c r="F52" s="17" t="s">
        <v>1248</v>
      </c>
      <c r="J52">
        <f>B24</f>
        <v>0</v>
      </c>
      <c r="L52" s="80"/>
      <c r="M52" s="80"/>
      <c r="N52" s="80"/>
      <c r="O52" s="80">
        <f>O50+O51</f>
        <v>0.50487944177089938</v>
      </c>
      <c r="P52" s="328">
        <f>O52/SUM(O52,O49)</f>
        <v>0.33549494248972639</v>
      </c>
      <c r="T52" s="110"/>
      <c r="U52" s="110"/>
    </row>
    <row r="53" spans="2:23" x14ac:dyDescent="0.25">
      <c r="T53" s="110"/>
      <c r="U53" s="110"/>
    </row>
    <row r="54" spans="2:23" x14ac:dyDescent="0.25">
      <c r="T54" s="110"/>
      <c r="U54" s="110"/>
    </row>
    <row r="55" spans="2:23" x14ac:dyDescent="0.25">
      <c r="B55" s="8" t="s">
        <v>1003</v>
      </c>
    </row>
    <row r="57" spans="2:23" x14ac:dyDescent="0.25">
      <c r="D57" t="str">
        <f>D40</f>
        <v>VMT weighted</v>
      </c>
      <c r="P57" t="str">
        <f>P40</f>
        <v>Deadheading, % of total</v>
      </c>
    </row>
    <row r="58" spans="2:23" x14ac:dyDescent="0.25">
      <c r="B58" t="str">
        <f>B41</f>
        <v>Average load using passenger transport</v>
      </c>
      <c r="D58">
        <f>D20</f>
        <v>1.55</v>
      </c>
      <c r="E58" t="s">
        <v>1233</v>
      </c>
      <c r="J58" t="str">
        <f>J41</f>
        <v>Travel with passenger on board</v>
      </c>
      <c r="O58">
        <v>1</v>
      </c>
      <c r="S58" t="s">
        <v>1229</v>
      </c>
      <c r="T58" t="s">
        <v>1230</v>
      </c>
      <c r="U58" t="s">
        <v>1231</v>
      </c>
      <c r="V58" t="s">
        <v>1232</v>
      </c>
    </row>
    <row r="59" spans="2:23" x14ac:dyDescent="0.25">
      <c r="J59" t="str">
        <f>J42</f>
        <v>Crusing and overheading</v>
      </c>
      <c r="O59">
        <f>P59/(1-P59)</f>
        <v>1.1153112196043418</v>
      </c>
      <c r="P59" s="517">
        <f>P14*AVERAGE(S59:V59)</f>
        <v>0.52725632486975371</v>
      </c>
      <c r="Q59">
        <f>P59/P14</f>
        <v>1.3663654760344228</v>
      </c>
      <c r="S59">
        <f>(1-50.9)/(1-48.3)</f>
        <v>1.054968287526427</v>
      </c>
      <c r="T59">
        <f>(1-54.3)/(1-38.5)</f>
        <v>1.4213333333333333</v>
      </c>
      <c r="U59">
        <f>64.2/40.7</f>
        <v>1.5773955773955775</v>
      </c>
      <c r="V59">
        <f>55.2/39.1</f>
        <v>1.411764705882353</v>
      </c>
      <c r="W59" s="17" t="s">
        <v>1228</v>
      </c>
    </row>
    <row r="60" spans="2:23" x14ac:dyDescent="0.25">
      <c r="J60" t="str">
        <f>J43</f>
        <v>Commuting</v>
      </c>
      <c r="L60" s="80"/>
      <c r="M60" s="80"/>
      <c r="N60" s="80"/>
      <c r="O60" s="80">
        <f>O15</f>
        <v>0.28999999999999998</v>
      </c>
      <c r="P60" t="s">
        <v>1233</v>
      </c>
    </row>
    <row r="61" spans="2:23" x14ac:dyDescent="0.25">
      <c r="J61" t="str">
        <f>J44</f>
        <v>Total deadhading</v>
      </c>
      <c r="L61" s="80"/>
      <c r="M61" s="80"/>
      <c r="N61" s="80"/>
      <c r="O61" s="80">
        <f>O59+O60</f>
        <v>1.4053112196043418</v>
      </c>
      <c r="P61" s="328">
        <f>O61/SUM(O61,O58)</f>
        <v>0.58425338399057825</v>
      </c>
    </row>
  </sheetData>
  <hyperlinks>
    <hyperlink ref="C10" r:id="rId1" xr:uid="{00000000-0004-0000-0F00-000000000000}"/>
    <hyperlink ref="E10" r:id="rId2" xr:uid="{00000000-0004-0000-0F00-000001000000}"/>
    <hyperlink ref="K10" r:id="rId3" xr:uid="{00000000-0004-0000-0F00-000002000000}"/>
    <hyperlink ref="P32" r:id="rId4" display="http://shoup.luskin.ucla.edu/wp-content/uploads/sites/2/2015/02/CruisingForParkingAccess.pdf" xr:uid="{00000000-0004-0000-0F00-000003000000}"/>
    <hyperlink ref="P33" r:id="rId5" display="https://medium.com/uber-under-the-hood/three-early-takeaways-from-the-2017-national-household-travel-survey-b23506efe8ad" xr:uid="{00000000-0004-0000-0F00-000004000000}"/>
    <hyperlink ref="C18" r:id="rId6" display="https://ww2.arb.ca.gov/sites/default/files/2019-12/SB%201014%20-%20Base%20year%20Emissions%20Inventory_December_2019.pdf" xr:uid="{00000000-0004-0000-0F00-000005000000}"/>
    <hyperlink ref="W59" r:id="rId7" xr:uid="{00000000-0004-0000-0F00-000006000000}"/>
    <hyperlink ref="S40" r:id="rId8" xr:uid="{00000000-0004-0000-0F00-000007000000}"/>
    <hyperlink ref="S41" r:id="rId9" xr:uid="{00000000-0004-0000-0F00-000008000000}"/>
    <hyperlink ref="E41" r:id="rId10" xr:uid="{00000000-0004-0000-0F00-000009000000}"/>
    <hyperlink ref="F52" r:id="rId11" xr:uid="{00000000-0004-0000-0F00-00000A000000}"/>
    <hyperlink ref="F44" r:id="rId12" xr:uid="{00000000-0004-0000-0F00-00000B000000}"/>
    <hyperlink ref="F18" r:id="rId13" xr:uid="{00000000-0004-0000-0F00-00000C000000}"/>
    <hyperlink ref="M10" r:id="rId14" xr:uid="{00000000-0004-0000-0F00-00000D000000}"/>
  </hyperlinks>
  <pageMargins left="0.7" right="0.7" top="0.75" bottom="0.75" header="0.3" footer="0.3"/>
  <pageSetup paperSize="9" orientation="portrait" r:id="rId15"/>
  <drawing r:id="rId16"/>
  <legacyDrawing r:id="rId17"/>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sheetPr>
  <dimension ref="A1:AG100"/>
  <sheetViews>
    <sheetView zoomScale="85" zoomScaleNormal="85" workbookViewId="0">
      <selection activeCell="H10" sqref="H10"/>
    </sheetView>
  </sheetViews>
  <sheetFormatPr defaultColWidth="9.109375" defaultRowHeight="14.4" x14ac:dyDescent="0.3"/>
  <cols>
    <col min="1" max="1" width="11.109375" style="125" customWidth="1"/>
    <col min="2" max="2" width="9.109375" style="125"/>
    <col min="3" max="3" width="13.5546875" style="125" customWidth="1"/>
    <col min="4" max="6" width="9.109375" style="125"/>
    <col min="7" max="7" width="9.109375" style="125" customWidth="1"/>
    <col min="8" max="8" width="9.109375" style="125"/>
    <col min="9" max="9" width="8.109375" style="125" customWidth="1"/>
    <col min="10" max="14" width="9.109375" style="125"/>
    <col min="15" max="15" width="12" style="125" bestFit="1" customWidth="1"/>
    <col min="16" max="16384" width="9.109375" style="125"/>
  </cols>
  <sheetData>
    <row r="1" spans="1:33" s="372" customFormat="1" ht="19.8" x14ac:dyDescent="0.4">
      <c r="A1" s="371" t="s">
        <v>1087</v>
      </c>
    </row>
    <row r="3" spans="1:33" x14ac:dyDescent="0.3">
      <c r="A3"/>
      <c r="C3" t="s">
        <v>1088</v>
      </c>
      <c r="D3" t="s">
        <v>1039</v>
      </c>
    </row>
    <row r="4" spans="1:33" x14ac:dyDescent="0.3">
      <c r="A4" s="378" t="s">
        <v>382</v>
      </c>
      <c r="C4" s="370">
        <f>[9]Petroleum!$G$263/1000000</f>
        <v>0.22172096119113635</v>
      </c>
      <c r="D4" s="370">
        <f>[9]Petroleum!$G$281/1055</f>
        <v>16.491161079378855</v>
      </c>
      <c r="G4" s="377"/>
    </row>
    <row r="5" spans="1:33" x14ac:dyDescent="0.3">
      <c r="A5" s="378" t="s">
        <v>381</v>
      </c>
      <c r="C5" s="370">
        <f>[9]Petroleum!$L$263/1000000</f>
        <v>0.19770297600991546</v>
      </c>
      <c r="D5" s="370">
        <f>[9]Petroleum!$L$281/1055</f>
        <v>13.820267371536112</v>
      </c>
      <c r="G5" s="377"/>
    </row>
    <row r="6" spans="1:33" x14ac:dyDescent="0.3">
      <c r="A6"/>
      <c r="C6"/>
      <c r="D6"/>
    </row>
    <row r="7" spans="1:33" x14ac:dyDescent="0.3">
      <c r="A7"/>
      <c r="C7"/>
      <c r="D7" t="s">
        <v>14</v>
      </c>
      <c r="F7" s="125" t="s">
        <v>1092</v>
      </c>
      <c r="I7" s="125" t="s">
        <v>1093</v>
      </c>
    </row>
    <row r="8" spans="1:33" x14ac:dyDescent="0.3">
      <c r="A8"/>
      <c r="C8" t="s">
        <v>1088</v>
      </c>
      <c r="D8" t="s">
        <v>1110</v>
      </c>
      <c r="E8" t="s">
        <v>1111</v>
      </c>
      <c r="F8" t="s">
        <v>1110</v>
      </c>
      <c r="G8" t="s">
        <v>1111</v>
      </c>
      <c r="H8" s="125" t="s">
        <v>3</v>
      </c>
      <c r="I8" t="s">
        <v>1110</v>
      </c>
      <c r="J8" t="s">
        <v>1111</v>
      </c>
    </row>
    <row r="9" spans="1:33" x14ac:dyDescent="0.3">
      <c r="A9" t="str">
        <f>[9]Electric!$J$201</f>
        <v>Oil-Fired Power Plant</v>
      </c>
      <c r="C9" s="3">
        <f>SUM([9]Electric!$J$204:$K$204)/10^6</f>
        <v>3.4941213145265122</v>
      </c>
      <c r="D9" s="369">
        <f>SUM([9]Electric!$J$222:$K$222)/1055</f>
        <v>287.09334739363374</v>
      </c>
      <c r="E9" s="166">
        <f>D9*Convert!$B$12</f>
        <v>1033.5360506170814</v>
      </c>
      <c r="F9" s="369">
        <f>SUM([9]Electric!$J$222)/1055</f>
        <v>40.822569189555026</v>
      </c>
      <c r="G9" s="166">
        <f>F9*Convert!$B$12</f>
        <v>146.9612490823981</v>
      </c>
      <c r="H9" s="252">
        <f>G9/E9</f>
        <v>0.14219266855244542</v>
      </c>
      <c r="I9" s="369">
        <f>D9-F9</f>
        <v>246.27077820407871</v>
      </c>
      <c r="J9" s="166">
        <f>I9*Convert!$B$12</f>
        <v>886.57480153468339</v>
      </c>
      <c r="AC9"/>
      <c r="AD9"/>
    </row>
    <row r="10" spans="1:33" x14ac:dyDescent="0.3">
      <c r="A10" t="str">
        <f>[9]Electric!$N$201</f>
        <v>NG-Fired Power Plant</v>
      </c>
      <c r="C10" s="3">
        <f>SUM([9]Electric!$N$204:$O$204)/10^6</f>
        <v>2.2814954890829569</v>
      </c>
      <c r="D10" s="369">
        <f>SUM([9]Electric!$N$222:$O$222)/1055</f>
        <v>140.85649682186519</v>
      </c>
      <c r="E10" s="166">
        <f>D10*Convert!$B$12</f>
        <v>507.08338855871472</v>
      </c>
      <c r="F10" s="369">
        <f>SUM([9]Electric!$N$222)/1055</f>
        <v>22.563453146702706</v>
      </c>
      <c r="G10" s="166">
        <f>F10*Convert!$B$12</f>
        <v>81.228431328129744</v>
      </c>
      <c r="H10" s="252">
        <f t="shared" ref="H10:H15" si="0">G10/E10</f>
        <v>0.16018752173879264</v>
      </c>
      <c r="I10" s="369">
        <f t="shared" ref="I10:I17" si="1">D10-F10</f>
        <v>118.29304367516249</v>
      </c>
      <c r="J10" s="166">
        <f>I10*Convert!$B$12</f>
        <v>425.854957230585</v>
      </c>
      <c r="AC10"/>
      <c r="AD10"/>
    </row>
    <row r="11" spans="1:33" x14ac:dyDescent="0.3">
      <c r="A11" t="str">
        <f>[9]Electric!$R$201</f>
        <v>Coal-Fired Power Plant</v>
      </c>
      <c r="C11" s="3">
        <f>SUM([9]Electric!$R$204:$S$204)/10^6</f>
        <v>2.982142386241021</v>
      </c>
      <c r="D11" s="369">
        <f>SUM([9]Electric!$R$222:$S$222)/1055</f>
        <v>294.94341640006837</v>
      </c>
      <c r="E11" s="166">
        <f>D11*Convert!$B$12</f>
        <v>1061.7962990402461</v>
      </c>
      <c r="F11" s="369">
        <f>SUM([9]Electric!$R$222)/1055</f>
        <v>16.932033766289848</v>
      </c>
      <c r="G11" s="166">
        <f>F11*Convert!$B$12</f>
        <v>60.955321558643455</v>
      </c>
      <c r="H11" s="383">
        <f t="shared" si="0"/>
        <v>5.7407735941197711E-2</v>
      </c>
      <c r="I11" s="369">
        <f t="shared" si="1"/>
        <v>278.01138263377851</v>
      </c>
      <c r="J11" s="166">
        <f>I11*Convert!$B$12</f>
        <v>1000.8409774816026</v>
      </c>
      <c r="AE11" s="387" t="s">
        <v>1106</v>
      </c>
      <c r="AF11" s="387" t="s">
        <v>1105</v>
      </c>
      <c r="AG11" s="387" t="s">
        <v>1104</v>
      </c>
    </row>
    <row r="12" spans="1:33" x14ac:dyDescent="0.3">
      <c r="A12" t="str">
        <f>[9]Electric!$V$201</f>
        <v>Biomass-Fired Power Plant</v>
      </c>
      <c r="C12" s="3">
        <f>SUM([9]Electric!$V$204:$W$204)/10^6</f>
        <v>4.8786519545045719</v>
      </c>
      <c r="D12" s="369">
        <f>SUM([9]Electric!$V$222:$W$222)/1055</f>
        <v>18.112272439938977</v>
      </c>
      <c r="E12" s="166">
        <f>D12*Convert!$B$12</f>
        <v>65.204180783780316</v>
      </c>
      <c r="F12" s="369">
        <f>SUM([9]Electric!$V$222)/1055</f>
        <v>9.1651474452082962</v>
      </c>
      <c r="G12" s="166">
        <f>F12*Convert!$B$12</f>
        <v>32.994530802749864</v>
      </c>
      <c r="H12" s="383">
        <f t="shared" si="0"/>
        <v>0.5060186387765695</v>
      </c>
      <c r="I12" s="369">
        <f t="shared" si="1"/>
        <v>8.9471249947306806</v>
      </c>
      <c r="J12" s="166">
        <f>I12*Convert!$B$12</f>
        <v>32.209649981030452</v>
      </c>
      <c r="AE12" s="369">
        <f>[9]Vehicles!DM60</f>
        <v>2047.8910280622597</v>
      </c>
      <c r="AF12"/>
      <c r="AG12"/>
    </row>
    <row r="13" spans="1:33" x14ac:dyDescent="0.3">
      <c r="A13" t="str">
        <f>[9]Electric!$Z$201</f>
        <v>Nuclear Power Plant (LWR): for electrolysis to G.H2 at refueling station</v>
      </c>
      <c r="C13" s="3">
        <f>SUM([9]Electric!$Z$204:$AA$204)/10^6</f>
        <v>1.0853584112360037</v>
      </c>
      <c r="D13" s="369">
        <f>SUM([9]Electric!$Z$222:$AA$222)/1055</f>
        <v>2.3122006351003996</v>
      </c>
      <c r="E13" s="166">
        <f>D13*Convert!$B$12</f>
        <v>8.323922286361439</v>
      </c>
      <c r="F13" s="369">
        <f>SUM([9]Electric!$Z$222)/1055</f>
        <v>2.3122006351003996</v>
      </c>
      <c r="G13" s="166">
        <f>F13*Convert!$B$12</f>
        <v>8.323922286361439</v>
      </c>
      <c r="H13" s="383">
        <f t="shared" si="0"/>
        <v>1</v>
      </c>
      <c r="I13" s="369">
        <f t="shared" si="1"/>
        <v>0</v>
      </c>
      <c r="J13" s="166">
        <f>I13*Convert!$B$12</f>
        <v>0</v>
      </c>
      <c r="M13" s="388"/>
      <c r="AC13"/>
      <c r="AD13"/>
    </row>
    <row r="14" spans="1:33" x14ac:dyDescent="0.3">
      <c r="A14" t="str">
        <f>[9]Electric!$DV$201</f>
        <v>Hydroelectric Power Plant</v>
      </c>
      <c r="C14" s="3">
        <f>SUM([9]Electric!$DV$204:$DW$204)/10^6</f>
        <v>1.0515247108307046</v>
      </c>
      <c r="D14" s="369">
        <f>SUM([9]Electric!$DV$222:$DW$222)/1055</f>
        <v>0</v>
      </c>
      <c r="E14" s="166">
        <f>D14*Convert!$B$12</f>
        <v>0</v>
      </c>
      <c r="F14" s="369">
        <f>SUM([9]Electric!$DV$222)/1055</f>
        <v>0</v>
      </c>
      <c r="G14" s="166">
        <f>F14*Convert!$B$12</f>
        <v>0</v>
      </c>
      <c r="H14" s="383" t="e">
        <f t="shared" si="0"/>
        <v>#DIV/0!</v>
      </c>
      <c r="I14" s="369">
        <f t="shared" si="1"/>
        <v>0</v>
      </c>
      <c r="J14" s="166">
        <f>I14*Convert!$B$12</f>
        <v>0</v>
      </c>
    </row>
    <row r="15" spans="1:33" x14ac:dyDescent="0.3">
      <c r="A15" t="str">
        <f>[9]Electric!$DZ$201</f>
        <v>Wind Power Plant</v>
      </c>
      <c r="C15" s="3">
        <f>SUM([9]Electric!$DZ$204:$EA$204)/10^6</f>
        <v>1.0515247108307046</v>
      </c>
      <c r="D15" s="369">
        <f>SUM([9]Electric!$DZ$222:$EA$222)/1055</f>
        <v>0</v>
      </c>
      <c r="E15" s="166">
        <f>D15*Convert!$B$12</f>
        <v>0</v>
      </c>
      <c r="F15" s="369">
        <f>SUM([9]Electric!$DZ$222)/1055</f>
        <v>0</v>
      </c>
      <c r="G15" s="166">
        <f>F15*Convert!$B$12</f>
        <v>0</v>
      </c>
      <c r="H15" s="383" t="e">
        <f t="shared" si="0"/>
        <v>#DIV/0!</v>
      </c>
      <c r="I15" s="369">
        <f t="shared" si="1"/>
        <v>0</v>
      </c>
      <c r="J15" s="166">
        <f>I15*Convert!$B$12</f>
        <v>0</v>
      </c>
    </row>
    <row r="16" spans="1:33" x14ac:dyDescent="0.3">
      <c r="A16" t="str">
        <f>[9]Electric!$ED$201</f>
        <v>PV Power Plant</v>
      </c>
      <c r="C16" s="3">
        <f>SUM([9]Electric!$ED$204:$EE$204)/10^6</f>
        <v>1.0515247108307046</v>
      </c>
      <c r="D16" s="369">
        <f>SUM([9]Electric!$ED$222:$EE$222)/1055</f>
        <v>0</v>
      </c>
      <c r="E16" s="166">
        <f>D16*Convert!$B$12</f>
        <v>0</v>
      </c>
      <c r="F16" s="369">
        <f>SUM([9]Electric!$ED$222)/1055</f>
        <v>0</v>
      </c>
      <c r="G16" s="166">
        <f>F16*Convert!$B$12</f>
        <v>0</v>
      </c>
      <c r="H16" s="383" t="e">
        <f>G16/E16</f>
        <v>#DIV/0!</v>
      </c>
      <c r="I16" s="369">
        <f t="shared" si="1"/>
        <v>0</v>
      </c>
      <c r="J16" s="166">
        <f>I16*Convert!$B$12</f>
        <v>0</v>
      </c>
    </row>
    <row r="17" spans="1:30" x14ac:dyDescent="0.3">
      <c r="A17" t="str">
        <f>[9]Electric!$EH$201</f>
        <v>Geothermal-Flash Power Plant</v>
      </c>
      <c r="C17" s="3">
        <f>SUM([9]Electric!$EG$204:$EH$204)/10^6</f>
        <v>0</v>
      </c>
      <c r="D17" s="369">
        <f>SUM([9]Electric!$EG$222:$EH$222)/1055</f>
        <v>0</v>
      </c>
      <c r="E17" s="166">
        <f>D17*Convert!$B$12</f>
        <v>0</v>
      </c>
      <c r="F17" s="369">
        <f>SUM([9]Electric!$EG$222)/1055</f>
        <v>0</v>
      </c>
      <c r="G17" s="166">
        <f>F17*Convert!$B$12</f>
        <v>0</v>
      </c>
      <c r="H17" s="383"/>
      <c r="I17" s="369">
        <f t="shared" si="1"/>
        <v>0</v>
      </c>
      <c r="J17" s="166">
        <f>I17*Convert!$B$12</f>
        <v>0</v>
      </c>
    </row>
    <row r="18" spans="1:30" x14ac:dyDescent="0.3">
      <c r="A18"/>
      <c r="C18"/>
      <c r="D18"/>
      <c r="P18" s="369"/>
      <c r="R18" s="369"/>
    </row>
    <row r="19" spans="1:30" s="372" customFormat="1" ht="19.8" x14ac:dyDescent="0.4">
      <c r="A19" s="385" t="s">
        <v>904</v>
      </c>
      <c r="B19" s="372" t="s">
        <v>1090</v>
      </c>
      <c r="O19" s="125"/>
      <c r="Y19"/>
      <c r="Z19"/>
      <c r="AA19"/>
      <c r="AB19"/>
      <c r="AC19" s="125"/>
      <c r="AD19" s="125"/>
    </row>
    <row r="20" spans="1:30" x14ac:dyDescent="0.3">
      <c r="A20" s="386"/>
      <c r="D20" t="s">
        <v>1094</v>
      </c>
      <c r="Y20"/>
      <c r="Z20"/>
      <c r="AA20"/>
      <c r="AB20"/>
    </row>
    <row r="21" spans="1:30" x14ac:dyDescent="0.3">
      <c r="A21" s="21" t="s">
        <v>932</v>
      </c>
      <c r="B21" s="21"/>
      <c r="C21" s="21"/>
      <c r="D21" s="42">
        <f>21.1*44/12</f>
        <v>77.366666666666674</v>
      </c>
      <c r="H21" s="21"/>
      <c r="T21"/>
      <c r="V21"/>
      <c r="W21"/>
      <c r="X21"/>
      <c r="Y21"/>
      <c r="Z21"/>
      <c r="AA21"/>
      <c r="AB21"/>
    </row>
    <row r="22" spans="1:30" x14ac:dyDescent="0.3">
      <c r="A22" s="21" t="s">
        <v>933</v>
      </c>
      <c r="B22" s="21"/>
      <c r="C22" s="21"/>
      <c r="D22" s="42">
        <f>15.3*44/12</f>
        <v>56.1</v>
      </c>
      <c r="T22" s="382"/>
      <c r="V22" s="369"/>
      <c r="W22"/>
      <c r="X22"/>
      <c r="Y22"/>
      <c r="Z22"/>
      <c r="AA22"/>
      <c r="AB22"/>
    </row>
    <row r="23" spans="1:30" x14ac:dyDescent="0.3">
      <c r="A23" s="21" t="s">
        <v>934</v>
      </c>
      <c r="B23" s="21"/>
      <c r="C23" s="21" t="s">
        <v>905</v>
      </c>
      <c r="D23" s="42">
        <f>26.2*44/12</f>
        <v>96.066666666666663</v>
      </c>
      <c r="P23"/>
      <c r="R23"/>
      <c r="T23"/>
      <c r="V23"/>
      <c r="W23"/>
      <c r="X23"/>
      <c r="Y23"/>
      <c r="Z23"/>
      <c r="AA23"/>
      <c r="AB23"/>
    </row>
    <row r="24" spans="1:30" ht="19.8" x14ac:dyDescent="0.4">
      <c r="A24" s="21" t="s">
        <v>938</v>
      </c>
      <c r="B24" s="21"/>
      <c r="C24" s="21"/>
      <c r="D24" s="42">
        <v>0</v>
      </c>
      <c r="O24" s="372"/>
      <c r="P24"/>
      <c r="Q24" s="372"/>
      <c r="R24"/>
      <c r="S24" s="372"/>
      <c r="T24"/>
      <c r="U24" s="372"/>
      <c r="V24"/>
      <c r="W24"/>
      <c r="X24"/>
      <c r="Y24"/>
      <c r="Z24"/>
      <c r="AA24"/>
      <c r="AB24"/>
      <c r="AC24" s="372"/>
      <c r="AD24" s="372"/>
    </row>
    <row r="25" spans="1:30" x14ac:dyDescent="0.3">
      <c r="A25" s="21" t="s">
        <v>936</v>
      </c>
      <c r="B25" s="21"/>
      <c r="C25" s="21"/>
      <c r="D25" s="42">
        <v>0</v>
      </c>
      <c r="T25" s="387"/>
      <c r="V25" s="387"/>
      <c r="X25"/>
      <c r="Y25"/>
      <c r="Z25" s="384"/>
      <c r="AA25" s="384"/>
      <c r="AB25" s="384"/>
    </row>
    <row r="26" spans="1:30" x14ac:dyDescent="0.3">
      <c r="A26" s="21" t="s">
        <v>1113</v>
      </c>
      <c r="B26" s="21"/>
      <c r="C26" s="21"/>
      <c r="D26" s="42">
        <v>0</v>
      </c>
      <c r="X26"/>
      <c r="Y26"/>
      <c r="Z26" s="369"/>
      <c r="AA26"/>
      <c r="AB26"/>
    </row>
    <row r="27" spans="1:30" x14ac:dyDescent="0.3">
      <c r="Y27"/>
      <c r="Z27"/>
      <c r="AA27"/>
      <c r="AB27"/>
    </row>
    <row r="28" spans="1:30" s="372" customFormat="1" ht="19.8" x14ac:dyDescent="0.4">
      <c r="A28" s="372" t="s">
        <v>1095</v>
      </c>
      <c r="AA28"/>
      <c r="AB28"/>
      <c r="AC28" s="125"/>
      <c r="AD28" s="125"/>
    </row>
    <row r="29" spans="1:30" s="372" customFormat="1" ht="19.8" x14ac:dyDescent="0.4">
      <c r="AA29" s="125"/>
      <c r="AB29" s="125"/>
      <c r="AC29" s="125"/>
      <c r="AD29" s="125"/>
    </row>
    <row r="30" spans="1:30" x14ac:dyDescent="0.3">
      <c r="D30" s="125" t="s">
        <v>3</v>
      </c>
      <c r="F30" s="125" t="s">
        <v>1096</v>
      </c>
      <c r="K30" s="278" t="s">
        <v>952</v>
      </c>
      <c r="P30"/>
      <c r="R30"/>
      <c r="T30"/>
      <c r="V30"/>
    </row>
    <row r="31" spans="1:30" x14ac:dyDescent="0.3">
      <c r="A31" s="125" t="str">
        <f t="shared" ref="A31:A36" si="2">A21</f>
        <v>Residual oil</v>
      </c>
      <c r="D31" s="290">
        <v>0.28999999999999998</v>
      </c>
      <c r="F31" s="373">
        <v>0.09</v>
      </c>
      <c r="K31" s="304">
        <f>HLOOKUP(K$30,Power_Gen_Mix!$B$3:$S$9,ROW(Power_Gen_Mix!$A4)-ROW(Power_Gen_Mix!$A$3)+1,FALSE)</f>
        <v>3.8726960370381153E-3</v>
      </c>
      <c r="P31" s="382"/>
      <c r="R31" s="369"/>
      <c r="T31" s="381"/>
      <c r="V31" s="381"/>
    </row>
    <row r="32" spans="1:30" x14ac:dyDescent="0.3">
      <c r="A32" s="125" t="str">
        <f t="shared" si="2"/>
        <v>Natural gas</v>
      </c>
      <c r="D32" s="289">
        <v>0.5</v>
      </c>
      <c r="K32" s="304">
        <f>HLOOKUP(K$30,Power_Gen_Mix!$B$3:$S$9,ROW(Power_Gen_Mix!$A5)-ROW(Power_Gen_Mix!$A$3)+1,FALSE)</f>
        <v>5.3897446350056777E-2</v>
      </c>
      <c r="P32" s="369"/>
      <c r="R32" s="369"/>
    </row>
    <row r="33" spans="1:30" ht="19.8" x14ac:dyDescent="0.4">
      <c r="A33" s="125" t="str">
        <f t="shared" si="2"/>
        <v>Coal</v>
      </c>
      <c r="D33" s="290">
        <v>0.38</v>
      </c>
      <c r="K33" s="304">
        <f>HLOOKUP(K$30,Power_Gen_Mix!$B$3:$S$9,ROW(Power_Gen_Mix!$A6)-ROW(Power_Gen_Mix!$A$3)+1,FALSE)</f>
        <v>7.9914393034970735E-2</v>
      </c>
      <c r="O33" s="372"/>
      <c r="P33" s="369"/>
      <c r="R33" s="369"/>
      <c r="T33" s="372"/>
      <c r="U33" s="372"/>
      <c r="V33" s="372"/>
      <c r="W33" s="372"/>
      <c r="X33" s="372"/>
      <c r="Y33" s="372"/>
      <c r="Z33" s="372"/>
      <c r="AA33" s="372"/>
      <c r="AB33" s="372"/>
      <c r="AC33" s="372"/>
      <c r="AD33" s="372"/>
    </row>
    <row r="34" spans="1:30" ht="19.8" x14ac:dyDescent="0.4">
      <c r="A34" s="125" t="str">
        <f t="shared" si="2"/>
        <v>Nuclear</v>
      </c>
      <c r="D34" s="289">
        <v>0.33</v>
      </c>
      <c r="F34" s="98">
        <v>518</v>
      </c>
      <c r="G34" s="22" t="s">
        <v>911</v>
      </c>
      <c r="H34" s="21"/>
      <c r="K34" s="304">
        <f>HLOOKUP(K$30,Power_Gen_Mix!$B$3:$S$9,ROW(Power_Gen_Mix!$A7)-ROW(Power_Gen_Mix!$A$3)+1,FALSE)</f>
        <v>0.33909384736336373</v>
      </c>
      <c r="O34" s="372"/>
      <c r="P34" s="372"/>
      <c r="Q34" s="372"/>
      <c r="R34" s="372"/>
      <c r="S34" s="372"/>
      <c r="T34" s="372"/>
      <c r="U34" s="372"/>
      <c r="V34" s="372"/>
      <c r="W34" s="372"/>
      <c r="X34" s="372"/>
      <c r="Y34" s="372"/>
      <c r="Z34" s="372"/>
      <c r="AA34" s="372"/>
      <c r="AB34" s="372"/>
      <c r="AC34" s="372"/>
      <c r="AD34" s="372"/>
    </row>
    <row r="35" spans="1:30" x14ac:dyDescent="0.3">
      <c r="A35" s="125" t="str">
        <f t="shared" si="2"/>
        <v>Biomass</v>
      </c>
      <c r="D35" s="289">
        <v>0.35</v>
      </c>
      <c r="F35" s="167">
        <f>D39*(1+F31)</f>
        <v>107.05997104648299</v>
      </c>
      <c r="K35" s="304">
        <f>HLOOKUP(K$30,Power_Gen_Mix!$B$3:$S$9,ROW(Power_Gen_Mix!$A8)-ROW(Power_Gen_Mix!$A$3)+1,FALSE)</f>
        <v>0.16009084820778616</v>
      </c>
    </row>
    <row r="36" spans="1:30" x14ac:dyDescent="0.3">
      <c r="A36" s="125" t="str">
        <f t="shared" si="2"/>
        <v>Other renewables (hydro, solar, wind)</v>
      </c>
      <c r="D36" s="289">
        <v>1</v>
      </c>
      <c r="K36" s="304">
        <f>HLOOKUP(K$30,Power_Gen_Mix!$B$3:$S$9,ROW(Power_Gen_Mix!$A9)-ROW(Power_Gen_Mix!$A$3)+1,FALSE)</f>
        <v>0.36313076900678448</v>
      </c>
      <c r="T36"/>
      <c r="V36"/>
      <c r="W36"/>
      <c r="X36"/>
      <c r="Y36"/>
      <c r="Z36"/>
    </row>
    <row r="37" spans="1:30" x14ac:dyDescent="0.3">
      <c r="T37" s="381"/>
      <c r="V37" s="381"/>
      <c r="W37"/>
      <c r="X37"/>
    </row>
    <row r="38" spans="1:30" x14ac:dyDescent="0.3">
      <c r="D38" s="178" t="s">
        <v>909</v>
      </c>
      <c r="E38" s="21"/>
      <c r="F38" s="21"/>
      <c r="G38" s="21"/>
    </row>
    <row r="39" spans="1:30" x14ac:dyDescent="0.3">
      <c r="D39" s="45">
        <f>(K31/D31*D21+K32/D32*D22+K33/D33*D23)*Convert!$B$12</f>
        <v>98.22015692337888</v>
      </c>
      <c r="E39" s="291">
        <f>475</f>
        <v>475</v>
      </c>
      <c r="F39" s="27" t="s">
        <v>910</v>
      </c>
      <c r="G39" s="21"/>
    </row>
    <row r="40" spans="1:30" x14ac:dyDescent="0.3">
      <c r="D40" s="45"/>
      <c r="E40" s="54"/>
      <c r="F40" s="21"/>
      <c r="G40" s="21"/>
    </row>
    <row r="41" spans="1:30" s="372" customFormat="1" ht="19.8" x14ac:dyDescent="0.4">
      <c r="A41" s="372" t="s">
        <v>1100</v>
      </c>
      <c r="D41" s="374"/>
      <c r="E41" s="375"/>
      <c r="F41" s="376"/>
      <c r="G41" s="376"/>
    </row>
    <row r="42" spans="1:30" x14ac:dyDescent="0.3">
      <c r="G42" s="21"/>
    </row>
    <row r="43" spans="1:30" x14ac:dyDescent="0.3">
      <c r="D43" s="45" t="str">
        <f>E8</f>
        <v>gCO2eq/kWh</v>
      </c>
      <c r="E43" s="54"/>
      <c r="F43" s="21"/>
      <c r="G43" s="21" t="str">
        <f>C8</f>
        <v>MJ/MJ</v>
      </c>
    </row>
    <row r="44" spans="1:30" x14ac:dyDescent="0.3">
      <c r="D44" s="125" t="s">
        <v>1097</v>
      </c>
      <c r="E44" s="256" t="s">
        <v>1098</v>
      </c>
      <c r="F44" s="21" t="s">
        <v>1099</v>
      </c>
      <c r="G44" s="125" t="s">
        <v>1097</v>
      </c>
      <c r="H44" s="125" t="str">
        <f>E44</f>
        <v>GREET1</v>
      </c>
      <c r="I44" s="256" t="s">
        <v>1101</v>
      </c>
    </row>
    <row r="45" spans="1:30" x14ac:dyDescent="0.3">
      <c r="A45" s="125" t="str">
        <f t="shared" ref="A45:A50" si="3">A31</f>
        <v>Residual oil</v>
      </c>
      <c r="D45" s="45">
        <f>D21/D31*Convert!$B$12*(1+$F$31)</f>
        <v>1046.8510344827589</v>
      </c>
      <c r="E45" s="46">
        <f>E9</f>
        <v>1033.5360506170814</v>
      </c>
      <c r="F45" s="41">
        <f>E45/D45</f>
        <v>0.98728091827099707</v>
      </c>
      <c r="G45" s="258">
        <f t="shared" ref="G45:G50" si="4">1/D31</f>
        <v>3.4482758620689657</v>
      </c>
      <c r="H45" s="23">
        <f>C9</f>
        <v>3.4941213145265122</v>
      </c>
      <c r="I45" s="379">
        <f>H45</f>
        <v>3.4941213145265122</v>
      </c>
    </row>
    <row r="46" spans="1:30" x14ac:dyDescent="0.3">
      <c r="A46" s="125" t="str">
        <f t="shared" si="3"/>
        <v>Natural gas</v>
      </c>
      <c r="D46" s="45">
        <f>D22/D32*Convert!$B$12*(1+$F$31)</f>
        <v>440.27280000000007</v>
      </c>
      <c r="E46" s="46">
        <f>E10</f>
        <v>507.08338855871472</v>
      </c>
      <c r="F46" s="41">
        <f>E46/D46</f>
        <v>1.1517481628633761</v>
      </c>
      <c r="G46" s="258">
        <f t="shared" si="4"/>
        <v>2</v>
      </c>
      <c r="H46" s="23">
        <f>C10</f>
        <v>2.2814954890829569</v>
      </c>
      <c r="I46" s="379">
        <f>H46</f>
        <v>2.2814954890829569</v>
      </c>
    </row>
    <row r="47" spans="1:30" x14ac:dyDescent="0.3">
      <c r="A47" s="125" t="str">
        <f t="shared" si="3"/>
        <v>Coal</v>
      </c>
      <c r="D47" s="45">
        <f>D23/D33*Convert!$B$12*(1+$F$31)</f>
        <v>992.01473684210532</v>
      </c>
      <c r="E47" s="46">
        <f>E11</f>
        <v>1061.7962990402461</v>
      </c>
      <c r="F47" s="41">
        <f>E47/D47</f>
        <v>1.0703432717343266</v>
      </c>
      <c r="G47" s="258">
        <f t="shared" si="4"/>
        <v>2.6315789473684212</v>
      </c>
      <c r="H47" s="23">
        <f>C11</f>
        <v>2.982142386241021</v>
      </c>
      <c r="I47" s="379">
        <f>H47</f>
        <v>2.982142386241021</v>
      </c>
    </row>
    <row r="48" spans="1:30" x14ac:dyDescent="0.3">
      <c r="A48" s="125" t="str">
        <f t="shared" si="3"/>
        <v>Nuclear</v>
      </c>
      <c r="D48" s="45">
        <f>D24/D34*Convert!$B$12*(1+$F$31)</f>
        <v>0</v>
      </c>
      <c r="E48" s="46">
        <f>E13</f>
        <v>8.323922286361439</v>
      </c>
      <c r="F48" s="41"/>
      <c r="G48" s="258">
        <f t="shared" si="4"/>
        <v>3.0303030303030303</v>
      </c>
      <c r="H48" s="23">
        <f>C13</f>
        <v>1.0853584112360037</v>
      </c>
      <c r="I48" s="379">
        <f>G48+H48-1</f>
        <v>3.115661441539034</v>
      </c>
    </row>
    <row r="49" spans="1:27" x14ac:dyDescent="0.3">
      <c r="A49" s="125" t="str">
        <f t="shared" si="3"/>
        <v>Biomass</v>
      </c>
      <c r="D49" s="45">
        <f>D25/D35*Convert!$B$12*(1+$F$31)</f>
        <v>0</v>
      </c>
      <c r="E49" s="46">
        <f>E12</f>
        <v>65.204180783780316</v>
      </c>
      <c r="F49" s="41"/>
      <c r="G49" s="258">
        <f t="shared" si="4"/>
        <v>2.8571428571428572</v>
      </c>
      <c r="H49" s="23">
        <f>C12</f>
        <v>4.8786519545045719</v>
      </c>
      <c r="I49" s="379">
        <f>H49</f>
        <v>4.8786519545045719</v>
      </c>
    </row>
    <row r="50" spans="1:27" x14ac:dyDescent="0.3">
      <c r="A50" s="125" t="str">
        <f t="shared" si="3"/>
        <v>Other renewables (hydro, solar, wind)</v>
      </c>
      <c r="D50" s="45">
        <f>D26/D36*Convert!$B$12*(1+$F$31)</f>
        <v>0</v>
      </c>
      <c r="E50" s="46">
        <f>AVERAGE(E14,E15,E16)</f>
        <v>0</v>
      </c>
      <c r="F50" s="41"/>
      <c r="G50" s="258">
        <f t="shared" si="4"/>
        <v>1</v>
      </c>
      <c r="H50" s="23">
        <f>AVERAGE(C14,C15,C16)</f>
        <v>1.0515247108307046</v>
      </c>
      <c r="I50" s="379">
        <f>H50</f>
        <v>1.0515247108307046</v>
      </c>
    </row>
    <row r="51" spans="1:27" x14ac:dyDescent="0.3">
      <c r="D51" s="45"/>
      <c r="E51" s="54"/>
      <c r="F51" s="21"/>
      <c r="G51" s="21"/>
    </row>
    <row r="52" spans="1:27" s="372" customFormat="1" ht="19.8" x14ac:dyDescent="0.4">
      <c r="A52" s="372" t="s">
        <v>863</v>
      </c>
      <c r="D52" s="374"/>
      <c r="E52" s="375"/>
      <c r="F52" s="376"/>
      <c r="G52" s="376"/>
    </row>
    <row r="53" spans="1:27" x14ac:dyDescent="0.3">
      <c r="D53" s="45"/>
      <c r="E53" s="54"/>
      <c r="F53" s="21"/>
      <c r="G53" s="21"/>
    </row>
    <row r="54" spans="1:27" x14ac:dyDescent="0.3">
      <c r="D54" t="s">
        <v>1116</v>
      </c>
      <c r="F54"/>
      <c r="N54" s="125" t="s">
        <v>151</v>
      </c>
      <c r="Q54" t="s">
        <v>1112</v>
      </c>
      <c r="S54"/>
      <c r="T54"/>
      <c r="U54"/>
      <c r="V54"/>
    </row>
    <row r="55" spans="1:27" x14ac:dyDescent="0.3">
      <c r="D55" t="s">
        <v>1092</v>
      </c>
      <c r="F55" t="s">
        <v>1108</v>
      </c>
      <c r="H55" s="125" t="s">
        <v>14</v>
      </c>
      <c r="K55" s="125" t="str">
        <f>H44</f>
        <v>GREET1</v>
      </c>
      <c r="L55" s="256" t="str">
        <f>I44</f>
        <v>GREET1 (Nuclear 33%)</v>
      </c>
      <c r="N55" s="125" t="s">
        <v>1098</v>
      </c>
      <c r="Q55" t="s">
        <v>1092</v>
      </c>
      <c r="S55" t="s">
        <v>1108</v>
      </c>
      <c r="T55"/>
      <c r="U55" s="125" t="s">
        <v>14</v>
      </c>
      <c r="V55"/>
      <c r="X55" s="256" t="str">
        <f>K55</f>
        <v>GREET1</v>
      </c>
      <c r="AA55" s="125" t="str">
        <f>X55</f>
        <v>GREET1</v>
      </c>
    </row>
    <row r="56" spans="1:27" x14ac:dyDescent="0.3">
      <c r="C56" s="125" t="s">
        <v>1125</v>
      </c>
      <c r="D56" s="387" t="s">
        <v>1107</v>
      </c>
      <c r="E56" s="125" t="s">
        <v>1088</v>
      </c>
      <c r="F56" s="387" t="s">
        <v>1107</v>
      </c>
      <c r="G56" s="125" t="s">
        <v>1088</v>
      </c>
      <c r="H56" s="387" t="str">
        <f>F56</f>
        <v>(Btu per mmBtu of H2 Throughput)</v>
      </c>
      <c r="I56" s="125" t="str">
        <f>G56</f>
        <v>MJ/MJ</v>
      </c>
      <c r="K56" s="125" t="str">
        <f>I56</f>
        <v>MJ/MJ</v>
      </c>
      <c r="L56" s="256" t="str">
        <f>K56</f>
        <v>MJ/MJ</v>
      </c>
      <c r="N56" s="125" t="s">
        <v>1117</v>
      </c>
      <c r="O56" s="125" t="s">
        <v>1118</v>
      </c>
      <c r="Q56" s="389" t="s">
        <v>1109</v>
      </c>
      <c r="R56" s="390" t="s">
        <v>1110</v>
      </c>
      <c r="S56" s="389" t="s">
        <v>1109</v>
      </c>
      <c r="T56" s="390" t="s">
        <v>1110</v>
      </c>
      <c r="U56" s="389" t="str">
        <f>S56</f>
        <v>(grams per mmBtu of H2 Throughput)</v>
      </c>
      <c r="V56" s="125" t="str">
        <f>T56</f>
        <v>gCO2eq/MJ</v>
      </c>
      <c r="X56" s="256" t="str">
        <f>V56</f>
        <v>gCO2eq/MJ</v>
      </c>
      <c r="Y56" s="125" t="s">
        <v>1089</v>
      </c>
      <c r="AA56" s="125" t="s">
        <v>1119</v>
      </c>
    </row>
    <row r="57" spans="1:27" x14ac:dyDescent="0.3">
      <c r="A57" s="125" t="s">
        <v>933</v>
      </c>
      <c r="C57" s="125" t="str">
        <f>A57</f>
        <v>Natural gas</v>
      </c>
      <c r="D57" s="369">
        <f>[9]Hydrogen!$Z$256</f>
        <v>106511.65405772217</v>
      </c>
      <c r="E57" s="125">
        <f>D57/10^6</f>
        <v>0.10651165405772217</v>
      </c>
      <c r="F57" s="369">
        <f>[9]Hydrogen!$AA$256</f>
        <v>687128.76495617686</v>
      </c>
      <c r="G57" s="125">
        <f t="shared" ref="G57:G63" si="5">F57/10^6</f>
        <v>0.68712876495617692</v>
      </c>
      <c r="H57" s="388">
        <f>D57+F57</f>
        <v>793640.41901389905</v>
      </c>
      <c r="I57" s="125">
        <f>E57+G57</f>
        <v>0.79364041901389903</v>
      </c>
      <c r="K57" s="166">
        <f>I57</f>
        <v>0.79364041901389903</v>
      </c>
      <c r="L57" s="379">
        <f>K57</f>
        <v>0.79364041901389903</v>
      </c>
      <c r="Q57" s="369">
        <f>[9]Hydrogen!Z274</f>
        <v>14191.659945221811</v>
      </c>
      <c r="R57" s="125">
        <f>Q57/1055</f>
        <v>13.45181037461783</v>
      </c>
      <c r="S57" s="369">
        <f>[9]Hydrogen!$AA$274</f>
        <v>106505.72412547216</v>
      </c>
      <c r="T57" s="125">
        <f>S57/1055</f>
        <v>100.95329300992621</v>
      </c>
      <c r="U57" s="388">
        <f>Q57+S57</f>
        <v>120697.38407069397</v>
      </c>
      <c r="V57" s="125">
        <f>R57+T57</f>
        <v>114.40510338454405</v>
      </c>
      <c r="X57" s="256">
        <f>V57</f>
        <v>114.40510338454405</v>
      </c>
      <c r="Y57" s="125">
        <f>X57*Convert!$B$12</f>
        <v>411.85837218435859</v>
      </c>
    </row>
    <row r="58" spans="1:27" x14ac:dyDescent="0.3">
      <c r="A58" s="125" t="s">
        <v>1114</v>
      </c>
      <c r="B58" s="125" t="s">
        <v>360</v>
      </c>
      <c r="C58" s="125" t="str">
        <f t="shared" ref="C58:C63" si="6">A58&amp;" ("&amp;B58&amp;")"</f>
        <v>Electrolysis (Oil)</v>
      </c>
      <c r="D58" s="369">
        <f>[10]Hydrogen!$AB$256</f>
        <v>3988580.0438515176</v>
      </c>
      <c r="E58" s="125">
        <f>D58/10^6</f>
        <v>3.9885800438515178</v>
      </c>
      <c r="F58" s="369">
        <f>[10]Hydrogen!$AC$256</f>
        <v>1599192.4773750291</v>
      </c>
      <c r="G58" s="125">
        <f t="shared" si="5"/>
        <v>1.5991924773750292</v>
      </c>
      <c r="H58" s="388">
        <f t="shared" ref="H58:H63" si="7">D58+F58</f>
        <v>5587772.5212265467</v>
      </c>
      <c r="I58" s="125">
        <f t="shared" ref="I58:I63" si="8">E58+G58</f>
        <v>5.5877725212265474</v>
      </c>
      <c r="K58" s="166">
        <f t="shared" ref="K58:K63" si="9">I58</f>
        <v>5.5877725212265474</v>
      </c>
      <c r="L58" s="379">
        <f>K58</f>
        <v>5.5877725212265474</v>
      </c>
      <c r="N58" s="166">
        <f t="shared" ref="N58:N63" si="10">D58/F58+1</f>
        <v>3.4941213145265122</v>
      </c>
      <c r="O58" s="166">
        <f>C9</f>
        <v>3.4941213145265122</v>
      </c>
      <c r="Q58" s="369">
        <f>[10]Hydrogen!$AB$274</f>
        <v>484368.98513641238</v>
      </c>
      <c r="R58" s="125">
        <f>Q58/1055</f>
        <v>459.11752145631505</v>
      </c>
      <c r="S58" s="369">
        <f>[10]Hydrogen!$AC$274</f>
        <v>0</v>
      </c>
      <c r="T58" s="125">
        <f>S58/1055</f>
        <v>0</v>
      </c>
      <c r="U58" s="388">
        <f t="shared" ref="U58:U63" si="11">Q58+S58</f>
        <v>484368.98513641238</v>
      </c>
      <c r="V58" s="125">
        <f>R58+T58</f>
        <v>459.11752145631505</v>
      </c>
      <c r="X58" s="256">
        <f t="shared" ref="X58:X63" si="12">V58</f>
        <v>459.11752145631505</v>
      </c>
      <c r="Y58" s="125">
        <f>X58*Convert!$B$12</f>
        <v>1652.8230772427341</v>
      </c>
      <c r="AA58" s="125">
        <f>Y58/E45</f>
        <v>1.5991924773750295</v>
      </c>
    </row>
    <row r="59" spans="1:27" x14ac:dyDescent="0.3">
      <c r="A59" s="125" t="s">
        <v>1114</v>
      </c>
      <c r="B59" s="125" t="s">
        <v>933</v>
      </c>
      <c r="C59" s="125" t="str">
        <f t="shared" si="6"/>
        <v>Electrolysis (Natural gas)</v>
      </c>
      <c r="D59" s="369">
        <f>[11]Hydrogen!$AB$256</f>
        <v>2049357.9459314989</v>
      </c>
      <c r="E59" s="125">
        <f>D59/10^6</f>
        <v>2.049357945931499</v>
      </c>
      <c r="F59" s="369">
        <f>[11]Hydrogen!$AC$256</f>
        <v>1599192.4773750291</v>
      </c>
      <c r="G59" s="125">
        <f t="shared" si="5"/>
        <v>1.5991924773750292</v>
      </c>
      <c r="H59" s="388">
        <f t="shared" si="7"/>
        <v>3648550.423306528</v>
      </c>
      <c r="I59" s="125">
        <f t="shared" si="8"/>
        <v>3.6485504233065282</v>
      </c>
      <c r="K59" s="166">
        <f t="shared" si="9"/>
        <v>3.6485504233065282</v>
      </c>
      <c r="L59" s="379">
        <f>K59</f>
        <v>3.6485504233065282</v>
      </c>
      <c r="N59" s="166">
        <f t="shared" si="10"/>
        <v>2.2814954890829573</v>
      </c>
      <c r="O59" s="166">
        <f>C10</f>
        <v>2.2814954890829569</v>
      </c>
      <c r="Q59" s="369">
        <f>[11]Hydrogen!$AB$274</f>
        <v>237645.76586280757</v>
      </c>
      <c r="R59" s="125">
        <f>Q59/1055</f>
        <v>225.2566501069266</v>
      </c>
      <c r="S59" s="369">
        <f>[11]Hydrogen!$AC$274</f>
        <v>0</v>
      </c>
      <c r="T59" s="125">
        <f>S59/1055</f>
        <v>0</v>
      </c>
      <c r="U59" s="388">
        <f t="shared" si="11"/>
        <v>237645.76586280757</v>
      </c>
      <c r="V59" s="125">
        <f>R59+T59</f>
        <v>225.2566501069266</v>
      </c>
      <c r="X59" s="256">
        <f t="shared" si="12"/>
        <v>225.2566501069266</v>
      </c>
      <c r="Y59" s="125">
        <f>X59*Convert!$B$12</f>
        <v>810.9239403849358</v>
      </c>
      <c r="AA59" s="125">
        <f>Y59/E46</f>
        <v>1.5991924773750297</v>
      </c>
    </row>
    <row r="60" spans="1:27" x14ac:dyDescent="0.3">
      <c r="A60" s="125" t="s">
        <v>1114</v>
      </c>
      <c r="B60" s="125" t="s">
        <v>934</v>
      </c>
      <c r="C60" s="125" t="str">
        <f t="shared" si="6"/>
        <v>Electrolysis (Coal)</v>
      </c>
      <c r="D60" s="369">
        <f>[12]Hydrogen!$AB$256</f>
        <v>3169827.193162831</v>
      </c>
      <c r="E60" s="125">
        <f>D60/10^6</f>
        <v>3.1698271931628308</v>
      </c>
      <c r="F60" s="369">
        <f>[12]Hydrogen!$AC$256</f>
        <v>1599192.4773750291</v>
      </c>
      <c r="G60" s="125">
        <f t="shared" si="5"/>
        <v>1.5991924773750292</v>
      </c>
      <c r="H60" s="388">
        <f t="shared" si="7"/>
        <v>4769019.6705378601</v>
      </c>
      <c r="I60" s="125">
        <f t="shared" si="8"/>
        <v>4.76901967053786</v>
      </c>
      <c r="K60" s="166">
        <f>I60</f>
        <v>4.76901967053786</v>
      </c>
      <c r="L60" s="379">
        <f>K60</f>
        <v>4.76901967053786</v>
      </c>
      <c r="N60" s="166">
        <f t="shared" si="10"/>
        <v>2.9821423862410215</v>
      </c>
      <c r="O60" s="166">
        <f>C11</f>
        <v>2.982142386241021</v>
      </c>
      <c r="Q60" s="369">
        <f>[12]Hydrogen!$AB$274</f>
        <v>497613.21385998558</v>
      </c>
      <c r="R60" s="125">
        <f>Q60/1055</f>
        <v>471.67129275828017</v>
      </c>
      <c r="S60" s="369">
        <f>[12]Hydrogen!$AC$274</f>
        <v>0</v>
      </c>
      <c r="T60" s="125">
        <f>S60/1055</f>
        <v>0</v>
      </c>
      <c r="U60" s="388">
        <f t="shared" si="11"/>
        <v>497613.21385998558</v>
      </c>
      <c r="V60" s="125">
        <f>R60+T60</f>
        <v>471.67129275828017</v>
      </c>
      <c r="X60" s="256">
        <f t="shared" si="12"/>
        <v>471.67129275828017</v>
      </c>
      <c r="Y60" s="125">
        <f>X60*Convert!$B$12</f>
        <v>1698.0166539298086</v>
      </c>
      <c r="AA60" s="125">
        <f>Y60/E47</f>
        <v>1.5991924773750292</v>
      </c>
    </row>
    <row r="61" spans="1:27" x14ac:dyDescent="0.3">
      <c r="A61" s="125" t="s">
        <v>1114</v>
      </c>
      <c r="B61" s="125" t="s">
        <v>938</v>
      </c>
      <c r="C61" s="125" t="str">
        <f t="shared" si="6"/>
        <v>Electrolysis (Nuclear)</v>
      </c>
      <c r="D61" s="369">
        <f>[13]Hydrogen!$AB$256</f>
        <v>136504.52912930143</v>
      </c>
      <c r="E61" s="125">
        <f>D61/10^6</f>
        <v>0.13650452912930144</v>
      </c>
      <c r="F61" s="369">
        <f>[13]Hydrogen!$AC$256</f>
        <v>1599192.4773750291</v>
      </c>
      <c r="G61" s="125">
        <f t="shared" si="5"/>
        <v>1.5991924773750292</v>
      </c>
      <c r="H61" s="388">
        <f t="shared" si="7"/>
        <v>1735697.0065043306</v>
      </c>
      <c r="I61" s="125">
        <f t="shared" si="8"/>
        <v>1.7356970065043307</v>
      </c>
      <c r="K61" s="166">
        <f>I61</f>
        <v>1.7356970065043307</v>
      </c>
      <c r="L61" s="379">
        <f>(1+F61*I48)/10^6</f>
        <v>4.9825433393566625</v>
      </c>
      <c r="N61" s="166">
        <f t="shared" si="10"/>
        <v>1.0853584112360037</v>
      </c>
      <c r="O61" s="166">
        <f>C13</f>
        <v>1.0853584112360037</v>
      </c>
      <c r="Q61" s="369">
        <f>[13]Hydrogen!$AB$274</f>
        <v>3901.0248242352109</v>
      </c>
      <c r="R61" s="125">
        <f>Q61/1055</f>
        <v>3.6976538618343233</v>
      </c>
      <c r="S61" s="369">
        <f>[13]Hydrogen!$AC$274</f>
        <v>0</v>
      </c>
      <c r="T61" s="125">
        <f>S61/1055</f>
        <v>0</v>
      </c>
      <c r="U61" s="388">
        <f t="shared" si="11"/>
        <v>3901.0248242352109</v>
      </c>
      <c r="V61" s="125">
        <f>R61+T61</f>
        <v>3.6976538618343233</v>
      </c>
      <c r="X61" s="256">
        <f t="shared" si="12"/>
        <v>3.6976538618343233</v>
      </c>
      <c r="Y61" s="125">
        <f>X61*Convert!$B$12</f>
        <v>13.311553902603563</v>
      </c>
      <c r="AA61" s="125">
        <f>Y61/E48</f>
        <v>1.5991924773750288</v>
      </c>
    </row>
    <row r="62" spans="1:27" x14ac:dyDescent="0.3">
      <c r="A62" s="391" t="s">
        <v>1114</v>
      </c>
      <c r="B62" s="391" t="s">
        <v>936</v>
      </c>
      <c r="C62" s="125" t="str">
        <f t="shared" si="6"/>
        <v>Electrolysis (Biomass)</v>
      </c>
      <c r="D62" s="392">
        <f>E62*10^6</f>
        <v>6202712.0279996647</v>
      </c>
      <c r="E62" s="393">
        <f>I62-G62</f>
        <v>6.2027120279996648</v>
      </c>
      <c r="F62" s="394">
        <f>F63</f>
        <v>1599192.4773750291</v>
      </c>
      <c r="G62" s="391">
        <f t="shared" si="5"/>
        <v>1.5991924773750292</v>
      </c>
      <c r="H62" s="392">
        <f>I62*10^6</f>
        <v>7801904.5053746942</v>
      </c>
      <c r="I62" s="393">
        <f>L62</f>
        <v>7.8019045053746945</v>
      </c>
      <c r="J62" s="391"/>
      <c r="K62" s="393">
        <f>I62</f>
        <v>7.8019045053746945</v>
      </c>
      <c r="L62" s="395">
        <f>(1+F62*I49)/10^6</f>
        <v>7.8019045053746945</v>
      </c>
      <c r="N62" s="393">
        <f t="shared" si="10"/>
        <v>4.8786525798201694</v>
      </c>
      <c r="O62" s="393">
        <f>C12</f>
        <v>4.8786519545045719</v>
      </c>
      <c r="Q62" s="394">
        <f>U62</f>
        <v>30558.085374993938</v>
      </c>
      <c r="R62" s="394">
        <f>V62</f>
        <v>28.965009834117478</v>
      </c>
      <c r="S62" s="369"/>
      <c r="U62" s="392">
        <f>V62*1055</f>
        <v>30558.085374993938</v>
      </c>
      <c r="V62" s="391">
        <f>X62</f>
        <v>28.965009834117478</v>
      </c>
      <c r="X62" s="396">
        <f>Y62/Convert!$B$12</f>
        <v>28.965009834117478</v>
      </c>
      <c r="Y62" s="391">
        <f>E49*AA62</f>
        <v>104.27403540282292</v>
      </c>
      <c r="AA62" s="391">
        <f>AA60</f>
        <v>1.5991924773750292</v>
      </c>
    </row>
    <row r="63" spans="1:27" x14ac:dyDescent="0.3">
      <c r="A63" s="125" t="s">
        <v>1114</v>
      </c>
      <c r="B63" s="125" t="s">
        <v>1115</v>
      </c>
      <c r="C63" s="125" t="str">
        <f t="shared" si="6"/>
        <v>Electrolysis (Renewables)</v>
      </c>
      <c r="D63" s="369">
        <f>[14]Hydrogen!$AB$256</f>
        <v>82397.929959386587</v>
      </c>
      <c r="E63" s="125">
        <f>D63/10^6</f>
        <v>8.2397929959386593E-2</v>
      </c>
      <c r="F63" s="369">
        <f>[14]Hydrogen!$AC$256</f>
        <v>1599192.4773750291</v>
      </c>
      <c r="G63" s="125">
        <f t="shared" si="5"/>
        <v>1.5991924773750292</v>
      </c>
      <c r="H63" s="388">
        <f t="shared" si="7"/>
        <v>1681590.4073344157</v>
      </c>
      <c r="I63" s="125">
        <f t="shared" si="8"/>
        <v>1.6815904073344159</v>
      </c>
      <c r="K63" s="166">
        <f t="shared" si="9"/>
        <v>1.6815904073344159</v>
      </c>
      <c r="L63" s="379">
        <f>K63</f>
        <v>1.6815904073344159</v>
      </c>
      <c r="N63" s="166">
        <f t="shared" si="10"/>
        <v>1.0515247108307046</v>
      </c>
      <c r="O63" s="166">
        <f>C14</f>
        <v>1.0515247108307046</v>
      </c>
      <c r="Q63" s="369">
        <f>[14]Hydrogen!$AB$274</f>
        <v>1221.4616769716354</v>
      </c>
      <c r="R63" s="125">
        <f>Q63/1055</f>
        <v>1.1577835800679008</v>
      </c>
      <c r="S63" s="369">
        <f>[14]Hydrogen!$AC$274</f>
        <v>0</v>
      </c>
      <c r="T63" s="125">
        <f>S63/1055</f>
        <v>0</v>
      </c>
      <c r="U63" s="388">
        <f t="shared" si="11"/>
        <v>1221.4616769716354</v>
      </c>
      <c r="V63" s="125">
        <f>R63+T63</f>
        <v>1.1577835800679008</v>
      </c>
      <c r="X63" s="256">
        <f t="shared" si="12"/>
        <v>1.1577835800679008</v>
      </c>
      <c r="Y63" s="125">
        <f>X63*Convert!$B$12</f>
        <v>4.1680208882444427</v>
      </c>
    </row>
    <row r="64" spans="1:27" x14ac:dyDescent="0.3">
      <c r="C64" s="125" t="s">
        <v>1148</v>
      </c>
      <c r="D64" s="369"/>
      <c r="F64" s="369"/>
      <c r="H64" s="388"/>
      <c r="K64" s="166"/>
      <c r="L64" s="379"/>
      <c r="N64" s="166"/>
      <c r="O64" s="166"/>
      <c r="Q64" s="369"/>
      <c r="S64" s="369"/>
      <c r="U64" s="388"/>
      <c r="X64" s="256"/>
    </row>
    <row r="65" spans="1:23" x14ac:dyDescent="0.3">
      <c r="C65" s="369"/>
      <c r="E65" s="369"/>
      <c r="G65" s="388"/>
      <c r="J65" s="166"/>
      <c r="K65" s="379"/>
      <c r="M65" s="166"/>
      <c r="N65" s="166"/>
      <c r="P65" s="369"/>
      <c r="R65" s="369"/>
      <c r="T65" s="388"/>
      <c r="W65" s="256"/>
    </row>
    <row r="66" spans="1:23" x14ac:dyDescent="0.3">
      <c r="A66" s="125" t="s">
        <v>1120</v>
      </c>
      <c r="C66" s="369">
        <f>[9]Vehicles!$DM$60</f>
        <v>2047.8910280622597</v>
      </c>
      <c r="D66" s="125" t="str">
        <f>[9]Vehicles!$A$60</f>
        <v>Total fuel use (Btu/mile)</v>
      </c>
      <c r="E66" s="369"/>
      <c r="G66" s="388" t="s">
        <v>1122</v>
      </c>
      <c r="I66" s="388">
        <f>[9]Vehicles!$B$60</f>
        <v>4301.8987730061353</v>
      </c>
      <c r="J66" s="166" t="str">
        <f>D66</f>
        <v>Total fuel use (Btu/mile)</v>
      </c>
      <c r="K66" s="379"/>
      <c r="M66" s="388" t="s">
        <v>1123</v>
      </c>
      <c r="O66" s="388">
        <f>[9]Vehicles!$DL$60</f>
        <v>1190.8525948104077</v>
      </c>
      <c r="P66" s="166" t="str">
        <f>J66</f>
        <v>Total fuel use (Btu/mile)</v>
      </c>
      <c r="R66" s="369"/>
      <c r="T66" s="388"/>
      <c r="W66" s="256"/>
    </row>
    <row r="67" spans="1:23" x14ac:dyDescent="0.3">
      <c r="C67" s="369">
        <f>C66/10^6*1055</f>
        <v>2.1605250346056839</v>
      </c>
      <c r="D67" s="125" t="s">
        <v>1121</v>
      </c>
      <c r="E67" s="369"/>
      <c r="G67" s="388"/>
      <c r="I67" s="369">
        <f>I66/10^6*1055</f>
        <v>4.5385032055214722</v>
      </c>
      <c r="J67" s="125" t="s">
        <v>1121</v>
      </c>
      <c r="K67" s="379"/>
      <c r="M67" s="388"/>
      <c r="O67" s="369">
        <f>O66/10^6*1055</f>
        <v>1.2563494875249803</v>
      </c>
      <c r="P67" s="125" t="s">
        <v>1121</v>
      </c>
      <c r="R67" s="369"/>
      <c r="T67" s="388"/>
      <c r="W67" s="256"/>
    </row>
    <row r="68" spans="1:23" x14ac:dyDescent="0.3">
      <c r="C68" s="397">
        <f>C67/Tech_Spec_Escoot!$F$6</f>
        <v>1.3424880166115409</v>
      </c>
      <c r="D68" s="125" t="s">
        <v>279</v>
      </c>
      <c r="E68" s="369"/>
      <c r="G68" s="388"/>
      <c r="I68" s="397">
        <f>I67/Tech_Spec_Escoot!$F$6</f>
        <v>2.8200951477878391</v>
      </c>
      <c r="J68" s="125" t="s">
        <v>279</v>
      </c>
      <c r="K68" s="379"/>
      <c r="M68" s="388"/>
      <c r="O68" s="397">
        <f>O67/Tech_Spec_Escoot!$F$6</f>
        <v>0.78065937893016046</v>
      </c>
      <c r="P68" s="125" t="s">
        <v>279</v>
      </c>
      <c r="R68" s="369"/>
      <c r="T68" s="388"/>
      <c r="W68" s="256"/>
    </row>
    <row r="69" spans="1:23" x14ac:dyDescent="0.3">
      <c r="C69" s="370">
        <f>C68/Convert!$B$12</f>
        <v>0.37291333794765025</v>
      </c>
      <c r="D69" s="377" t="s">
        <v>2</v>
      </c>
      <c r="E69" s="370"/>
      <c r="F69" s="377"/>
      <c r="G69" s="377"/>
      <c r="H69" s="377"/>
      <c r="I69" s="370">
        <f>I68/Convert!$B$12</f>
        <v>0.78335976327439971</v>
      </c>
      <c r="J69" s="377" t="s">
        <v>2</v>
      </c>
      <c r="K69" s="398"/>
      <c r="L69" s="377"/>
      <c r="M69" s="377"/>
      <c r="N69" s="377"/>
      <c r="O69" s="370">
        <f>O68/Convert!$B$12</f>
        <v>0.21684982748060011</v>
      </c>
      <c r="P69" s="377" t="s">
        <v>2</v>
      </c>
      <c r="R69" s="369"/>
      <c r="T69" s="388"/>
      <c r="W69" s="256"/>
    </row>
    <row r="70" spans="1:23" x14ac:dyDescent="0.3">
      <c r="C70" s="166">
        <f>C68*100/Convert!$C$17</f>
        <v>4.0088629258586383</v>
      </c>
      <c r="D70" s="45" t="s">
        <v>94</v>
      </c>
      <c r="E70" s="54"/>
      <c r="F70" s="21"/>
      <c r="G70" s="21"/>
      <c r="I70" s="166">
        <f>I68*100/Convert!$C$17</f>
        <v>8.4212110242111784</v>
      </c>
      <c r="J70" s="45" t="s">
        <v>94</v>
      </c>
      <c r="M70" s="21"/>
      <c r="O70" s="166">
        <f>O68*100/Convert!$C$17</f>
        <v>2.3311615472114204</v>
      </c>
      <c r="P70" s="45" t="s">
        <v>94</v>
      </c>
    </row>
    <row r="71" spans="1:23" x14ac:dyDescent="0.3">
      <c r="D71" s="45"/>
      <c r="E71" s="54"/>
      <c r="F71" s="21"/>
      <c r="G71" s="21"/>
    </row>
    <row r="72" spans="1:23" s="371" customFormat="1" ht="19.8" x14ac:dyDescent="0.4">
      <c r="A72" s="371" t="s">
        <v>1091</v>
      </c>
    </row>
    <row r="74" spans="1:23" x14ac:dyDescent="0.3">
      <c r="A74" s="125" t="str">
        <f>WTW_Fuel_properties!A93</f>
        <v>kg CO2/Lge</v>
      </c>
      <c r="C74" s="125" t="s">
        <v>346</v>
      </c>
      <c r="D74" s="125" t="s">
        <v>347</v>
      </c>
      <c r="E74" s="125" t="s">
        <v>348</v>
      </c>
      <c r="G74" s="125" t="s">
        <v>347</v>
      </c>
      <c r="H74" s="125" t="s">
        <v>348</v>
      </c>
      <c r="J74" s="125" t="s">
        <v>1039</v>
      </c>
      <c r="K74" s="125" t="str">
        <f>C74</f>
        <v>WTW</v>
      </c>
      <c r="L74" s="125" t="str">
        <f>D74</f>
        <v>TTW</v>
      </c>
      <c r="M74" s="125" t="str">
        <f>E74</f>
        <v>WTT</v>
      </c>
    </row>
    <row r="75" spans="1:23" x14ac:dyDescent="0.3">
      <c r="A75" s="125" t="s">
        <v>382</v>
      </c>
      <c r="C75" s="127">
        <f>WTW_Fuel_properties!B94+Convert!$F$17</f>
        <v>2.7712969199999997</v>
      </c>
      <c r="D75" s="127">
        <f>Convert!$F$17</f>
        <v>2.3207183999999996</v>
      </c>
      <c r="E75" s="127">
        <f t="shared" ref="E75:E90" si="13">C75-D75</f>
        <v>0.45057852000000009</v>
      </c>
      <c r="G75" s="127">
        <f t="shared" ref="G75:G90" si="14">D75/$D$75</f>
        <v>1</v>
      </c>
      <c r="H75" s="127">
        <f t="shared" ref="H75:H90" si="15">E75/$D$75</f>
        <v>0.19415475828519313</v>
      </c>
      <c r="K75" s="166">
        <f>C75/Convert!$C$17*1000</f>
        <v>82.754924749163877</v>
      </c>
      <c r="L75" s="166">
        <f>D75/Convert!$C$17*1000</f>
        <v>69.299999999999983</v>
      </c>
      <c r="M75" s="166">
        <f>E75/Convert!$C$17*1000</f>
        <v>13.454924749163881</v>
      </c>
    </row>
    <row r="76" spans="1:23" x14ac:dyDescent="0.3">
      <c r="A76" s="125" t="s">
        <v>380</v>
      </c>
      <c r="C76" s="127">
        <f>WTW_Fuel_properties!C97+Convert!$F$17</f>
        <v>3.2463419849999995</v>
      </c>
      <c r="D76" s="127">
        <f>Convert!$F$17</f>
        <v>2.3207183999999996</v>
      </c>
      <c r="E76" s="127">
        <f t="shared" si="13"/>
        <v>0.92562358499999986</v>
      </c>
      <c r="G76" s="127">
        <f t="shared" si="14"/>
        <v>1</v>
      </c>
      <c r="H76" s="127">
        <f t="shared" si="15"/>
        <v>0.39885217655015792</v>
      </c>
      <c r="K76" s="166">
        <f>C76/Convert!$C$17*1000</f>
        <v>96.940455834925928</v>
      </c>
      <c r="L76" s="166">
        <f>D76/Convert!$C$17*1000</f>
        <v>69.299999999999983</v>
      </c>
      <c r="M76" s="166">
        <f>E76/Convert!$C$17*1000</f>
        <v>27.640455834925937</v>
      </c>
    </row>
    <row r="77" spans="1:23" x14ac:dyDescent="0.3">
      <c r="A77" s="125" t="s">
        <v>381</v>
      </c>
      <c r="C77" s="127">
        <f>WTW_Fuel_properties!B97+Convert!$F$18</f>
        <v>2.9834686533333334</v>
      </c>
      <c r="D77" s="127">
        <f>Convert!$F$18</f>
        <v>2.4803445333333332</v>
      </c>
      <c r="E77" s="127">
        <f t="shared" si="13"/>
        <v>0.50312412000000029</v>
      </c>
      <c r="G77" s="127">
        <f t="shared" si="14"/>
        <v>1.0687830687830688</v>
      </c>
      <c r="H77" s="127">
        <f t="shared" si="15"/>
        <v>0.21679671260416619</v>
      </c>
      <c r="K77" s="166">
        <f>C77/Convert!$C$17*1000</f>
        <v>89.090678850135376</v>
      </c>
      <c r="L77" s="166">
        <f>D77/Convert!$C$17*1000</f>
        <v>74.066666666666649</v>
      </c>
      <c r="M77" s="166">
        <f>E77/Convert!$C$17*1000</f>
        <v>15.024012183468715</v>
      </c>
    </row>
    <row r="78" spans="1:23" x14ac:dyDescent="0.3">
      <c r="A78" s="125" t="s">
        <v>383</v>
      </c>
      <c r="C78" s="127">
        <f>WTW_Fuel_properties!C97+Convert!$F$18</f>
        <v>3.405968118333333</v>
      </c>
      <c r="D78" s="127">
        <f>Convert!$F$18</f>
        <v>2.4803445333333332</v>
      </c>
      <c r="E78" s="127">
        <f t="shared" si="13"/>
        <v>0.92562358499999986</v>
      </c>
      <c r="G78" s="127">
        <f t="shared" si="14"/>
        <v>1.0687830687830688</v>
      </c>
      <c r="H78" s="127">
        <f t="shared" si="15"/>
        <v>0.39885217655015792</v>
      </c>
      <c r="K78" s="166">
        <f>C78/Convert!$C$17*1000</f>
        <v>101.70712250159259</v>
      </c>
      <c r="L78" s="166">
        <f>D78/Convert!$C$17*1000</f>
        <v>74.066666666666649</v>
      </c>
      <c r="M78" s="166">
        <f>E78/Convert!$C$17*1000</f>
        <v>27.640455834925937</v>
      </c>
    </row>
    <row r="79" spans="1:23" x14ac:dyDescent="0.3">
      <c r="A79" s="125" t="s">
        <v>379</v>
      </c>
      <c r="C79" s="127">
        <f>WTW_Fuel_properties!E97+Convert!$F$18</f>
        <v>6.3371915733333335</v>
      </c>
      <c r="D79" s="127">
        <f>Convert!$F$18</f>
        <v>2.4803445333333332</v>
      </c>
      <c r="E79" s="127">
        <f t="shared" si="13"/>
        <v>3.8568470400000003</v>
      </c>
      <c r="G79" s="127">
        <f t="shared" si="14"/>
        <v>1.0687830687830688</v>
      </c>
      <c r="H79" s="127">
        <f t="shared" si="15"/>
        <v>1.6619194470126151</v>
      </c>
      <c r="K79" s="166">
        <f>C79/Convert!$C$17*1000</f>
        <v>189.23768434464085</v>
      </c>
      <c r="L79" s="166">
        <f>D79/Convert!$C$17*1000</f>
        <v>74.066666666666649</v>
      </c>
      <c r="M79" s="166">
        <f>E79/Convert!$C$17*1000</f>
        <v>115.17101767797421</v>
      </c>
    </row>
    <row r="80" spans="1:23" x14ac:dyDescent="0.3">
      <c r="A80" s="125" t="s">
        <v>349</v>
      </c>
      <c r="C80" s="127">
        <f>WTW_Fuel_properties!I94</f>
        <v>1.0464784649999999</v>
      </c>
      <c r="D80" s="127">
        <f>Convert!$F$24</f>
        <v>2.3360074906367041</v>
      </c>
      <c r="E80" s="127">
        <f t="shared" si="13"/>
        <v>-1.2895290256367042</v>
      </c>
      <c r="G80" s="127">
        <f t="shared" si="14"/>
        <v>1.0065880852397708</v>
      </c>
      <c r="H80" s="127">
        <f t="shared" si="15"/>
        <v>-0.55565941375597505</v>
      </c>
      <c r="K80" s="166">
        <f>C80/Convert!$C$17*1000</f>
        <v>31.249356933827038</v>
      </c>
      <c r="L80" s="166">
        <f>D80/Convert!$C$17*1000</f>
        <v>69.756554307116104</v>
      </c>
      <c r="M80" s="166">
        <f>E80/Convert!$C$17*1000</f>
        <v>-38.507197373289067</v>
      </c>
    </row>
    <row r="81" spans="1:28" x14ac:dyDescent="0.3">
      <c r="A81" s="125" t="s">
        <v>350</v>
      </c>
      <c r="C81" s="127">
        <f>D81+WTW_Fuel_properties!G94</f>
        <v>2.7738874906367039</v>
      </c>
      <c r="D81" s="127">
        <f>Convert!$F$24</f>
        <v>2.3360074906367041</v>
      </c>
      <c r="E81" s="127">
        <f t="shared" si="13"/>
        <v>0.43787999999999982</v>
      </c>
      <c r="G81" s="127">
        <f t="shared" si="14"/>
        <v>1.0065880852397708</v>
      </c>
      <c r="H81" s="127">
        <f t="shared" si="15"/>
        <v>0.18868295265810789</v>
      </c>
      <c r="K81" s="166">
        <f>C81/Convert!$C$17*1000</f>
        <v>82.832282926322989</v>
      </c>
      <c r="L81" s="166">
        <f>D81/Convert!$C$17*1000</f>
        <v>69.756554307116104</v>
      </c>
      <c r="M81" s="166">
        <f>E81/Convert!$C$17*1000</f>
        <v>13.075728619206876</v>
      </c>
    </row>
    <row r="82" spans="1:28" x14ac:dyDescent="0.3">
      <c r="A82" s="125" t="s">
        <v>351</v>
      </c>
      <c r="C82" s="127">
        <f>WTW_Fuel_properties!H94</f>
        <v>0.19638918000000005</v>
      </c>
      <c r="D82" s="127">
        <f>Convert!$F$24</f>
        <v>2.3360074906367041</v>
      </c>
      <c r="E82" s="127">
        <f t="shared" si="13"/>
        <v>-2.1396183106367039</v>
      </c>
      <c r="G82" s="127">
        <f t="shared" si="14"/>
        <v>1.0065880852397708</v>
      </c>
      <c r="H82" s="127">
        <f t="shared" si="15"/>
        <v>-0.92196378097260934</v>
      </c>
      <c r="K82" s="166">
        <f>C82/Convert!$C$17*1000</f>
        <v>5.8644642857142868</v>
      </c>
      <c r="L82" s="166">
        <f>D82/Convert!$C$17*1000</f>
        <v>69.756554307116104</v>
      </c>
      <c r="M82" s="166">
        <f>E82/Convert!$C$17*1000</f>
        <v>-63.892090021401806</v>
      </c>
    </row>
    <row r="83" spans="1:28" x14ac:dyDescent="0.3">
      <c r="A83" s="125" t="s">
        <v>352</v>
      </c>
      <c r="C83" s="127">
        <f>WTW_Fuel_properties!M94</f>
        <v>0.64778872500000007</v>
      </c>
      <c r="D83" s="127">
        <f>Convert!$F$24</f>
        <v>2.3360074906367041</v>
      </c>
      <c r="E83" s="127">
        <f t="shared" si="13"/>
        <v>-1.688218765636704</v>
      </c>
      <c r="G83" s="127">
        <f t="shared" si="14"/>
        <v>1.0065880852397708</v>
      </c>
      <c r="H83" s="127">
        <f t="shared" si="15"/>
        <v>-0.72745524215118229</v>
      </c>
      <c r="K83" s="166">
        <f>C83/Convert!$C$17*1000</f>
        <v>19.343906026039178</v>
      </c>
      <c r="L83" s="166">
        <f>D83/Convert!$C$17*1000</f>
        <v>69.756554307116104</v>
      </c>
      <c r="M83" s="166">
        <f>E83/Convert!$C$17*1000</f>
        <v>-50.412648281076926</v>
      </c>
    </row>
    <row r="84" spans="1:28" x14ac:dyDescent="0.3">
      <c r="A84" s="125" t="s">
        <v>384</v>
      </c>
      <c r="C84" s="127">
        <f>D84+E84</f>
        <v>2.4134924849999999</v>
      </c>
      <c r="D84" s="127">
        <f>Convert!F20</f>
        <v>1.8786768</v>
      </c>
      <c r="E84" s="127">
        <f>B95</f>
        <v>0.5348156850000001</v>
      </c>
      <c r="G84" s="127">
        <f t="shared" si="14"/>
        <v>0.80952380952380965</v>
      </c>
      <c r="H84" s="127">
        <f t="shared" si="15"/>
        <v>0.23045264130279666</v>
      </c>
      <c r="K84" s="166">
        <f>C84/Convert!$C$17*1000</f>
        <v>72.070368042283803</v>
      </c>
      <c r="L84" s="166">
        <f>D84/Convert!$C$17*1000</f>
        <v>56.1</v>
      </c>
      <c r="M84" s="166">
        <f>E84/Convert!$C$17*1000</f>
        <v>15.970368042283807</v>
      </c>
    </row>
    <row r="85" spans="1:28" x14ac:dyDescent="0.3">
      <c r="A85" s="125" t="s">
        <v>353</v>
      </c>
      <c r="C85" s="127">
        <f>D85+E85</f>
        <v>2.661406463333333</v>
      </c>
      <c r="D85" s="127">
        <f>Convert!F21</f>
        <v>2.1119765333333329</v>
      </c>
      <c r="E85" s="127">
        <f>B96</f>
        <v>0.54942992999999996</v>
      </c>
      <c r="G85" s="127">
        <f t="shared" si="14"/>
        <v>0.91005291005291</v>
      </c>
      <c r="H85" s="127">
        <f t="shared" si="15"/>
        <v>0.23674993484776094</v>
      </c>
      <c r="K85" s="166">
        <f>C85/Convert!$C$17*1000</f>
        <v>79.473437151616494</v>
      </c>
      <c r="L85" s="166">
        <f>D85/Convert!$C$17*1000</f>
        <v>63.066666666666663</v>
      </c>
      <c r="M85" s="166">
        <f>E85/Convert!$C$17*1000</f>
        <v>16.406770484949831</v>
      </c>
    </row>
    <row r="86" spans="1:28" x14ac:dyDescent="0.3">
      <c r="A86" s="125" t="s">
        <v>385</v>
      </c>
      <c r="C86" s="127">
        <f>WTW_Fuel_properties!C99</f>
        <v>3.173042685</v>
      </c>
      <c r="D86" s="125">
        <v>0</v>
      </c>
      <c r="E86" s="127">
        <f t="shared" si="13"/>
        <v>3.173042685</v>
      </c>
      <c r="G86" s="127">
        <f t="shared" si="14"/>
        <v>0</v>
      </c>
      <c r="H86" s="127">
        <f t="shared" si="15"/>
        <v>1.3672674310678972</v>
      </c>
      <c r="K86" s="166">
        <f>C86/Convert!$C$17*1000</f>
        <v>94.751632973005258</v>
      </c>
      <c r="L86" s="166">
        <f>D86/Convert!$C$17*1000</f>
        <v>0</v>
      </c>
      <c r="M86" s="166">
        <f>E86/Convert!$C$17*1000</f>
        <v>94.751632973005258</v>
      </c>
    </row>
    <row r="87" spans="1:28" x14ac:dyDescent="0.3">
      <c r="A87" s="125" t="s">
        <v>386</v>
      </c>
      <c r="C87" s="127">
        <v>0</v>
      </c>
      <c r="D87" s="125">
        <v>0</v>
      </c>
      <c r="E87" s="127">
        <f t="shared" si="13"/>
        <v>0</v>
      </c>
      <c r="G87" s="127">
        <f t="shared" si="14"/>
        <v>0</v>
      </c>
      <c r="H87" s="127">
        <f t="shared" si="15"/>
        <v>0</v>
      </c>
      <c r="K87" s="166">
        <f>C87/Convert!$C$17*1000</f>
        <v>0</v>
      </c>
      <c r="L87" s="166">
        <f>D87/Convert!$C$17*1000</f>
        <v>0</v>
      </c>
      <c r="M87" s="166">
        <f>E87/Convert!$C$17*1000</f>
        <v>0</v>
      </c>
    </row>
    <row r="88" spans="1:28" x14ac:dyDescent="0.3">
      <c r="A88" s="125" t="s">
        <v>387</v>
      </c>
      <c r="C88" s="127">
        <f>WTW_Fuel_properties!M99</f>
        <v>0.37252641000000009</v>
      </c>
      <c r="D88" s="125">
        <v>0</v>
      </c>
      <c r="E88" s="127">
        <f t="shared" si="13"/>
        <v>0.37252641000000009</v>
      </c>
      <c r="G88" s="127">
        <f t="shared" si="14"/>
        <v>0</v>
      </c>
      <c r="H88" s="127">
        <f t="shared" si="15"/>
        <v>0.1605220219738854</v>
      </c>
      <c r="K88" s="166">
        <f>C88/Convert!$C$17*1000</f>
        <v>11.124176122790256</v>
      </c>
      <c r="L88" s="166">
        <f>D88/Convert!$C$17*1000</f>
        <v>0</v>
      </c>
      <c r="M88" s="166">
        <f>E88/Convert!$C$17*1000</f>
        <v>11.124176122790256</v>
      </c>
    </row>
    <row r="89" spans="1:28" x14ac:dyDescent="0.3">
      <c r="A89" s="125" t="s">
        <v>388</v>
      </c>
      <c r="C89" s="127">
        <f>WTW_Fuel_properties!J97</f>
        <v>0.50687346750000006</v>
      </c>
      <c r="D89" s="127">
        <f>Convert!$F$25</f>
        <v>2.5249952000000002</v>
      </c>
      <c r="E89" s="127">
        <f t="shared" si="13"/>
        <v>-2.0181217325</v>
      </c>
      <c r="G89" s="127">
        <f t="shared" si="14"/>
        <v>1.0880230880230883</v>
      </c>
      <c r="H89" s="127">
        <f t="shared" si="15"/>
        <v>-0.86961077763678707</v>
      </c>
      <c r="K89" s="166">
        <f>C89/Convert!$C$17*1000</f>
        <v>15.135973109770667</v>
      </c>
      <c r="L89" s="166">
        <f>D89/Convert!$C$17*1000</f>
        <v>75.400000000000006</v>
      </c>
      <c r="M89" s="166">
        <f>E89/Convert!$C$17*1000</f>
        <v>-60.264026890229339</v>
      </c>
    </row>
    <row r="90" spans="1:28" x14ac:dyDescent="0.3">
      <c r="A90" s="125" t="s">
        <v>389</v>
      </c>
      <c r="C90" s="127">
        <f>WTW_Fuel_properties!M97</f>
        <v>0.34351686000000003</v>
      </c>
      <c r="D90" s="126">
        <f>D$77</f>
        <v>2.4803445333333332</v>
      </c>
      <c r="E90" s="127">
        <f t="shared" si="13"/>
        <v>-2.1368276733333333</v>
      </c>
      <c r="G90" s="127">
        <f t="shared" si="14"/>
        <v>1.0687830687830688</v>
      </c>
      <c r="H90" s="127">
        <f t="shared" si="15"/>
        <v>-0.92076129242278326</v>
      </c>
      <c r="K90" s="166">
        <f>C90/Convert!$C$17*1000</f>
        <v>10.257909101767797</v>
      </c>
      <c r="L90" s="166">
        <f>D90/Convert!$C$17*1000</f>
        <v>74.066666666666649</v>
      </c>
      <c r="M90" s="166">
        <f>E90/Convert!$C$17*1000</f>
        <v>-63.808757564898869</v>
      </c>
    </row>
    <row r="91" spans="1:28" ht="14.25" customHeight="1" x14ac:dyDescent="0.3"/>
    <row r="92" spans="1:28" x14ac:dyDescent="0.3">
      <c r="A92" s="132" t="s">
        <v>359</v>
      </c>
      <c r="M92" s="152"/>
    </row>
    <row r="93" spans="1:28" x14ac:dyDescent="0.3">
      <c r="A93" s="132" t="s">
        <v>896</v>
      </c>
      <c r="B93" s="135" t="s">
        <v>360</v>
      </c>
      <c r="C93" s="136" t="s">
        <v>361</v>
      </c>
      <c r="D93" s="136" t="s">
        <v>362</v>
      </c>
      <c r="E93" s="136" t="s">
        <v>363</v>
      </c>
      <c r="F93" s="136" t="s">
        <v>364</v>
      </c>
      <c r="G93" s="136" t="s">
        <v>365</v>
      </c>
      <c r="H93" s="136" t="s">
        <v>366</v>
      </c>
      <c r="I93" s="136" t="s">
        <v>367</v>
      </c>
      <c r="J93" s="136" t="s">
        <v>368</v>
      </c>
      <c r="K93" s="136" t="s">
        <v>369</v>
      </c>
      <c r="L93" s="136" t="s">
        <v>370</v>
      </c>
      <c r="M93" s="137" t="s">
        <v>371</v>
      </c>
      <c r="P93" s="138" t="s">
        <v>372</v>
      </c>
      <c r="Q93" s="136"/>
      <c r="R93" s="139">
        <v>2010</v>
      </c>
      <c r="U93" s="125" t="s">
        <v>373</v>
      </c>
      <c r="V93" s="125">
        <v>32.841000000000001</v>
      </c>
      <c r="Z93" s="128" t="s">
        <v>354</v>
      </c>
      <c r="AA93" s="129">
        <v>0.65</v>
      </c>
      <c r="AB93" s="125" t="s">
        <v>355</v>
      </c>
    </row>
    <row r="94" spans="1:28" x14ac:dyDescent="0.3">
      <c r="A94" s="140" t="s">
        <v>897</v>
      </c>
      <c r="B94" s="132">
        <v>0.45057852000000009</v>
      </c>
      <c r="C94" s="141"/>
      <c r="E94" s="142">
        <v>3.8568470400000008</v>
      </c>
      <c r="F94" s="142">
        <v>0.86765922000000018</v>
      </c>
      <c r="G94" s="141">
        <v>0.43788000000000005</v>
      </c>
      <c r="H94" s="141">
        <v>0.19638918000000005</v>
      </c>
      <c r="I94" s="141">
        <v>1.0464784649999999</v>
      </c>
      <c r="J94" s="141"/>
      <c r="K94" s="141"/>
      <c r="L94" s="141"/>
      <c r="M94" s="143">
        <v>0.64778872500000007</v>
      </c>
      <c r="P94" s="144" t="s">
        <v>374</v>
      </c>
      <c r="Q94" s="133" t="s">
        <v>375</v>
      </c>
      <c r="R94" s="134">
        <v>3789.4630000000002</v>
      </c>
      <c r="S94" s="145">
        <f>R94/(R94+R95)</f>
        <v>0.17786517092308113</v>
      </c>
      <c r="V94" s="145"/>
      <c r="Y94" s="130"/>
      <c r="Z94" s="130" t="s">
        <v>356</v>
      </c>
    </row>
    <row r="95" spans="1:28" x14ac:dyDescent="0.3">
      <c r="A95" s="146" t="s">
        <v>898</v>
      </c>
      <c r="B95" s="147">
        <v>0.5348156850000001</v>
      </c>
      <c r="C95" s="127"/>
      <c r="E95" s="127"/>
      <c r="F95" s="127"/>
      <c r="G95" s="127"/>
      <c r="I95" s="127"/>
      <c r="J95" s="127"/>
      <c r="K95" s="127"/>
      <c r="L95" s="127"/>
      <c r="M95" s="148">
        <v>0.24433703999999998</v>
      </c>
      <c r="P95" s="149"/>
      <c r="Q95" s="150" t="s">
        <v>376</v>
      </c>
      <c r="R95" s="151">
        <v>17515.793000000001</v>
      </c>
      <c r="Y95" s="130" t="s">
        <v>357</v>
      </c>
      <c r="Z95" s="130">
        <f>352</f>
        <v>352</v>
      </c>
    </row>
    <row r="96" spans="1:28" x14ac:dyDescent="0.3">
      <c r="A96" s="146" t="s">
        <v>353</v>
      </c>
      <c r="B96" s="147">
        <v>0.54942992999999996</v>
      </c>
      <c r="F96" s="127"/>
      <c r="G96" s="127"/>
      <c r="H96" s="127"/>
      <c r="I96" s="127"/>
      <c r="J96" s="127"/>
      <c r="K96" s="127"/>
      <c r="L96" s="127"/>
      <c r="M96" s="152"/>
      <c r="P96" s="149"/>
      <c r="Q96" s="132" t="s">
        <v>377</v>
      </c>
      <c r="R96" s="134">
        <v>2033.193</v>
      </c>
      <c r="S96" s="145">
        <f>R96/(R96+R97)</f>
        <v>6.2293145037366673E-2</v>
      </c>
      <c r="Y96" s="131" t="s">
        <v>358</v>
      </c>
      <c r="Z96" s="130"/>
    </row>
    <row r="97" spans="1:27" x14ac:dyDescent="0.3">
      <c r="A97" s="146" t="s">
        <v>899</v>
      </c>
      <c r="B97" s="147">
        <v>0.50312412000000006</v>
      </c>
      <c r="C97" s="127">
        <v>0.92562358499999997</v>
      </c>
      <c r="D97" s="127">
        <v>0.61002157499999998</v>
      </c>
      <c r="E97" s="127">
        <v>3.8568470400000008</v>
      </c>
      <c r="F97" s="127">
        <v>0.86765922000000018</v>
      </c>
      <c r="G97" s="127"/>
      <c r="H97" s="127"/>
      <c r="I97" s="127"/>
      <c r="J97" s="127">
        <v>0.50687346750000006</v>
      </c>
      <c r="K97" s="127">
        <v>1.1446456875</v>
      </c>
      <c r="L97" s="127">
        <v>1.5469479374999997</v>
      </c>
      <c r="M97" s="148">
        <v>0.34351686000000003</v>
      </c>
      <c r="P97" s="153"/>
      <c r="Q97" s="154" t="s">
        <v>378</v>
      </c>
      <c r="R97" s="151">
        <v>30605.919999999998</v>
      </c>
    </row>
    <row r="98" spans="1:27" x14ac:dyDescent="0.3">
      <c r="A98" s="146" t="s">
        <v>900</v>
      </c>
      <c r="B98" s="147"/>
      <c r="C98" s="127">
        <v>1.0290727350000002</v>
      </c>
      <c r="E98" s="127">
        <v>3.8483083799999998</v>
      </c>
      <c r="F98" s="155">
        <v>0.62397191985074629</v>
      </c>
      <c r="G98" s="127"/>
      <c r="H98" s="127"/>
      <c r="I98" s="127"/>
      <c r="J98" s="127"/>
      <c r="K98" s="127"/>
      <c r="L98" s="127"/>
      <c r="M98" s="148">
        <v>0.46601378999999993</v>
      </c>
      <c r="P98" s="156" t="s">
        <v>358</v>
      </c>
      <c r="Q98" s="157"/>
      <c r="R98" s="158"/>
      <c r="AA98" s="127"/>
    </row>
    <row r="99" spans="1:27" x14ac:dyDescent="0.3">
      <c r="A99" s="146" t="s">
        <v>901</v>
      </c>
      <c r="B99" s="147"/>
      <c r="C99" s="127">
        <v>3.173042685</v>
      </c>
      <c r="D99" s="127">
        <v>1.185505365</v>
      </c>
      <c r="E99" s="127">
        <v>7.0760313299999993</v>
      </c>
      <c r="F99" s="127">
        <v>1.0566044399999999</v>
      </c>
      <c r="G99" s="127"/>
      <c r="H99" s="127"/>
      <c r="I99" s="127"/>
      <c r="J99" s="127"/>
      <c r="K99" s="127"/>
      <c r="L99" s="127"/>
      <c r="M99" s="148">
        <v>0.37252641000000009</v>
      </c>
    </row>
    <row r="100" spans="1:27" x14ac:dyDescent="0.3">
      <c r="A100" s="159" t="s">
        <v>902</v>
      </c>
      <c r="B100" s="160">
        <v>0.50312412000000006</v>
      </c>
      <c r="C100" s="150"/>
      <c r="D100" s="150"/>
      <c r="E100" s="150"/>
      <c r="F100" s="150"/>
      <c r="G100" s="150"/>
      <c r="H100" s="150"/>
      <c r="I100" s="150"/>
      <c r="J100" s="161">
        <v>0.50687346750000006</v>
      </c>
      <c r="K100" s="161">
        <v>1.1446456875</v>
      </c>
      <c r="L100" s="161">
        <v>1.5469479374999997</v>
      </c>
      <c r="M100" s="162">
        <v>0.34351686000000003</v>
      </c>
    </row>
  </sheetData>
  <hyperlinks>
    <hyperlink ref="A19" r:id="rId1" xr:uid="{00000000-0004-0000-1000-000000000000}"/>
    <hyperlink ref="E39" r:id="rId2" display="https://www.iea.org/geco/emissions/" xr:uid="{00000000-0004-0000-1000-000001000000}"/>
    <hyperlink ref="F34" r:id="rId3" display="IEA" xr:uid="{00000000-0004-0000-1000-000002000000}"/>
  </hyperlinks>
  <pageMargins left="0.7" right="0.7" top="0.75" bottom="0.75" header="0.3" footer="0.3"/>
  <pageSetup paperSize="9" orientation="portrait" r:id="rId4"/>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A1:T22"/>
  <sheetViews>
    <sheetView workbookViewId="0">
      <selection activeCell="U3" sqref="U3"/>
    </sheetView>
  </sheetViews>
  <sheetFormatPr defaultRowHeight="13.2" x14ac:dyDescent="0.25"/>
  <cols>
    <col min="1" max="1" width="23.109375" bestFit="1" customWidth="1"/>
  </cols>
  <sheetData>
    <row r="1" spans="1:20" ht="13.8" x14ac:dyDescent="0.3">
      <c r="A1" s="12" t="s">
        <v>947</v>
      </c>
      <c r="B1" s="21"/>
      <c r="C1" s="21"/>
      <c r="D1" s="21"/>
      <c r="E1" s="21"/>
      <c r="F1" s="21"/>
      <c r="G1" s="21"/>
      <c r="H1" s="21"/>
      <c r="I1" s="21"/>
      <c r="J1" s="21"/>
      <c r="K1" s="21"/>
      <c r="L1" s="21"/>
      <c r="M1" s="21"/>
      <c r="N1" s="21"/>
      <c r="O1" s="21"/>
      <c r="P1" s="21"/>
      <c r="Q1" s="21"/>
      <c r="R1" s="21"/>
      <c r="S1" s="21"/>
    </row>
    <row r="2" spans="1:20" ht="13.8" x14ac:dyDescent="0.3">
      <c r="A2" s="21"/>
      <c r="B2" s="21"/>
      <c r="C2" s="21"/>
      <c r="D2" s="21"/>
      <c r="E2" s="21"/>
      <c r="F2" s="21"/>
      <c r="G2" s="21"/>
      <c r="H2" s="21"/>
      <c r="I2" s="21"/>
      <c r="J2" s="21"/>
      <c r="K2" s="21"/>
      <c r="L2" s="21"/>
      <c r="M2" s="21"/>
      <c r="N2" s="21"/>
      <c r="O2" s="21"/>
      <c r="P2" s="21"/>
      <c r="Q2" s="21"/>
      <c r="R2" s="21"/>
      <c r="S2" s="21"/>
    </row>
    <row r="3" spans="1:20" ht="13.8" x14ac:dyDescent="0.3">
      <c r="A3" s="21"/>
      <c r="B3" s="21" t="s">
        <v>918</v>
      </c>
      <c r="C3" s="21" t="s">
        <v>461</v>
      </c>
      <c r="D3" s="21" t="s">
        <v>945</v>
      </c>
      <c r="E3" s="21" t="s">
        <v>917</v>
      </c>
      <c r="F3" s="21" t="s">
        <v>919</v>
      </c>
      <c r="G3" s="21" t="s">
        <v>456</v>
      </c>
      <c r="H3" s="21" t="s">
        <v>922</v>
      </c>
      <c r="I3" s="21" t="s">
        <v>921</v>
      </c>
      <c r="J3" s="21" t="s">
        <v>926</v>
      </c>
      <c r="K3" s="21" t="s">
        <v>920</v>
      </c>
      <c r="L3" s="21" t="s">
        <v>931</v>
      </c>
      <c r="M3" s="21" t="s">
        <v>916</v>
      </c>
      <c r="N3" s="21" t="s">
        <v>1153</v>
      </c>
      <c r="O3" s="21" t="s">
        <v>1154</v>
      </c>
      <c r="P3" s="21" t="s">
        <v>1156</v>
      </c>
      <c r="Q3" s="21" t="s">
        <v>1155</v>
      </c>
      <c r="R3" s="21" t="s">
        <v>1172</v>
      </c>
      <c r="S3" s="21" t="s">
        <v>952</v>
      </c>
      <c r="T3" s="170" t="s">
        <v>1488</v>
      </c>
    </row>
    <row r="4" spans="1:20" ht="13.8" x14ac:dyDescent="0.3">
      <c r="A4" s="21" t="s">
        <v>932</v>
      </c>
      <c r="B4" s="276">
        <f t="shared" ref="B4:M4" si="0">B13/SUM(B12:B22)</f>
        <v>2.6329575493970338E-2</v>
      </c>
      <c r="C4" s="276">
        <f t="shared" si="0"/>
        <v>1.7151112328756613E-3</v>
      </c>
      <c r="D4" s="276">
        <f t="shared" si="0"/>
        <v>1.8294767547678427E-2</v>
      </c>
      <c r="E4" s="276">
        <f t="shared" si="0"/>
        <v>4.4597967865555675E-3</v>
      </c>
      <c r="F4" s="276">
        <f t="shared" si="0"/>
        <v>9.0347666971637691E-3</v>
      </c>
      <c r="G4" s="276">
        <f t="shared" si="0"/>
        <v>1.5854473985560016E-2</v>
      </c>
      <c r="H4" s="276">
        <f t="shared" si="0"/>
        <v>4.1971131224224308E-2</v>
      </c>
      <c r="I4" s="276">
        <f t="shared" si="0"/>
        <v>8.1871643932847793E-2</v>
      </c>
      <c r="J4" s="276">
        <f t="shared" si="0"/>
        <v>3.1776226078802608E-2</v>
      </c>
      <c r="K4" s="276">
        <f t="shared" si="0"/>
        <v>0.10641147484936594</v>
      </c>
      <c r="L4" s="276">
        <f t="shared" si="0"/>
        <v>5.4184013506227181E-3</v>
      </c>
      <c r="M4" s="276">
        <f t="shared" si="0"/>
        <v>8.1444657981173466E-3</v>
      </c>
      <c r="N4" s="276">
        <v>1</v>
      </c>
      <c r="O4" s="276"/>
      <c r="P4" s="276"/>
      <c r="Q4" s="276"/>
      <c r="R4" s="276"/>
      <c r="S4" s="276">
        <f>S13/SUM(S12:S22)</f>
        <v>3.8726960370381153E-3</v>
      </c>
    </row>
    <row r="5" spans="1:20" ht="13.8" x14ac:dyDescent="0.3">
      <c r="A5" s="21" t="s">
        <v>933</v>
      </c>
      <c r="B5" s="276">
        <f t="shared" ref="B5:S5" si="1">B14/SUM(B12:B22)</f>
        <v>9.7336196230212751E-2</v>
      </c>
      <c r="C5" s="276">
        <f t="shared" si="1"/>
        <v>2.9332717832713198E-2</v>
      </c>
      <c r="D5" s="276">
        <f t="shared" si="1"/>
        <v>0.1877853081081613</v>
      </c>
      <c r="E5" s="276">
        <f t="shared" si="1"/>
        <v>6.1287487255212179E-2</v>
      </c>
      <c r="F5" s="276">
        <f t="shared" si="1"/>
        <v>0.12718219134047129</v>
      </c>
      <c r="G5" s="276">
        <f t="shared" si="1"/>
        <v>4.8213816795753012E-2</v>
      </c>
      <c r="H5" s="276">
        <f t="shared" si="1"/>
        <v>0.43644994325887793</v>
      </c>
      <c r="I5" s="276">
        <f t="shared" si="1"/>
        <v>0.39202143253919269</v>
      </c>
      <c r="J5" s="276">
        <f t="shared" si="1"/>
        <v>0.22647786204354223</v>
      </c>
      <c r="K5" s="276">
        <f t="shared" si="1"/>
        <v>0.60303495086553816</v>
      </c>
      <c r="L5" s="276">
        <f t="shared" si="1"/>
        <v>0.42239959457747372</v>
      </c>
      <c r="M5" s="276">
        <f t="shared" si="1"/>
        <v>0.33227845876780715</v>
      </c>
      <c r="N5" s="276"/>
      <c r="O5" s="276">
        <v>1</v>
      </c>
      <c r="P5" s="276"/>
      <c r="Q5" s="276"/>
      <c r="R5" s="276"/>
      <c r="S5" s="276">
        <f t="shared" si="1"/>
        <v>5.3897446350056777E-2</v>
      </c>
    </row>
    <row r="6" spans="1:20" ht="13.8" x14ac:dyDescent="0.3">
      <c r="A6" s="21" t="s">
        <v>934</v>
      </c>
      <c r="B6" s="276">
        <f t="shared" ref="B6:S6" si="2">B12/SUM(B12:B22)</f>
        <v>4.7466991097677401E-2</v>
      </c>
      <c r="C6" s="276">
        <f t="shared" si="2"/>
        <v>0.68197729787342187</v>
      </c>
      <c r="D6" s="276">
        <f t="shared" si="2"/>
        <v>0.22621274392613472</v>
      </c>
      <c r="E6" s="276">
        <f t="shared" si="2"/>
        <v>1.8493126604085364E-2</v>
      </c>
      <c r="F6" s="276">
        <f t="shared" si="2"/>
        <v>0.4222138423876759</v>
      </c>
      <c r="G6" s="276">
        <f t="shared" si="2"/>
        <v>0.74773613867148903</v>
      </c>
      <c r="H6" s="276">
        <f t="shared" si="2"/>
        <v>0.13286764095325085</v>
      </c>
      <c r="I6" s="276">
        <f t="shared" si="2"/>
        <v>0.33697132298481669</v>
      </c>
      <c r="J6" s="276">
        <f t="shared" si="2"/>
        <v>0.41999484622790412</v>
      </c>
      <c r="K6" s="276">
        <f t="shared" si="2"/>
        <v>0.10849729783984016</v>
      </c>
      <c r="L6" s="276">
        <f t="shared" si="2"/>
        <v>9.2755134811829149E-2</v>
      </c>
      <c r="M6" s="276">
        <f t="shared" si="2"/>
        <v>0.3172669985467943</v>
      </c>
      <c r="N6" s="276"/>
      <c r="O6" s="276"/>
      <c r="P6" s="276">
        <v>1</v>
      </c>
      <c r="Q6" s="276"/>
      <c r="R6" s="276"/>
      <c r="S6" s="276">
        <f t="shared" si="2"/>
        <v>7.9914393034970735E-2</v>
      </c>
    </row>
    <row r="7" spans="1:20" ht="13.8" x14ac:dyDescent="0.3">
      <c r="A7" s="21" t="s">
        <v>935</v>
      </c>
      <c r="B7" s="276">
        <f t="shared" ref="B7:S7" si="3">B17/SUM(B12:B22)</f>
        <v>2.7337678227393511E-2</v>
      </c>
      <c r="C7" s="276">
        <f t="shared" si="3"/>
        <v>3.4092351307208869E-2</v>
      </c>
      <c r="D7" s="276">
        <f t="shared" si="3"/>
        <v>0.25815587660916234</v>
      </c>
      <c r="E7" s="276">
        <f t="shared" si="3"/>
        <v>0.70877720352986673</v>
      </c>
      <c r="F7" s="276">
        <f t="shared" si="3"/>
        <v>0.13079857075739967</v>
      </c>
      <c r="G7" s="276">
        <f t="shared" si="3"/>
        <v>2.5661155794266779E-2</v>
      </c>
      <c r="H7" s="276">
        <f t="shared" si="3"/>
        <v>0</v>
      </c>
      <c r="I7" s="276">
        <f t="shared" si="3"/>
        <v>1.7416831255400569E-2</v>
      </c>
      <c r="J7" s="276">
        <f t="shared" si="3"/>
        <v>0.28989073287355005</v>
      </c>
      <c r="K7" s="276">
        <f t="shared" si="3"/>
        <v>3.3144197805024166E-2</v>
      </c>
      <c r="L7" s="276">
        <f t="shared" si="3"/>
        <v>0.21133238459747966</v>
      </c>
      <c r="M7" s="276">
        <f t="shared" si="3"/>
        <v>0.1968032286378528</v>
      </c>
      <c r="N7" s="276"/>
      <c r="O7" s="276"/>
      <c r="P7" s="276"/>
      <c r="Q7" s="276">
        <v>1</v>
      </c>
      <c r="R7" s="276"/>
      <c r="S7" s="276">
        <f t="shared" si="3"/>
        <v>0.33909384736336373</v>
      </c>
    </row>
    <row r="8" spans="1:20" ht="13.8" x14ac:dyDescent="0.3">
      <c r="A8" s="21" t="s">
        <v>936</v>
      </c>
      <c r="B8" s="276">
        <f t="shared" ref="B8:S8" si="4">B15/SUM(B12:B22)</f>
        <v>8.7268954916267155E-2</v>
      </c>
      <c r="C8" s="276">
        <f t="shared" si="4"/>
        <v>1.035796113714592E-2</v>
      </c>
      <c r="D8" s="276">
        <f t="shared" si="4"/>
        <v>4.9018577001215022E-2</v>
      </c>
      <c r="E8" s="276">
        <f t="shared" si="4"/>
        <v>8.7385296909608685E-3</v>
      </c>
      <c r="F8" s="276">
        <f t="shared" si="4"/>
        <v>6.953648525011745E-2</v>
      </c>
      <c r="G8" s="276">
        <f t="shared" si="4"/>
        <v>2.8406214553142874E-2</v>
      </c>
      <c r="H8" s="276">
        <f t="shared" si="4"/>
        <v>5.9142240305571699E-2</v>
      </c>
      <c r="I8" s="276">
        <f t="shared" si="4"/>
        <v>1.4484130045673374E-2</v>
      </c>
      <c r="J8" s="276">
        <f t="shared" si="4"/>
        <v>9.9335378140132501E-3</v>
      </c>
      <c r="K8" s="276">
        <f t="shared" si="4"/>
        <v>0</v>
      </c>
      <c r="L8" s="276">
        <f t="shared" si="4"/>
        <v>8.0445139791219186E-2</v>
      </c>
      <c r="M8" s="276">
        <f t="shared" si="4"/>
        <v>1.4174261904125914E-2</v>
      </c>
      <c r="N8" s="276"/>
      <c r="O8" s="276"/>
      <c r="P8" s="276"/>
      <c r="Q8" s="276"/>
      <c r="R8" s="276"/>
      <c r="S8" s="276">
        <f t="shared" si="4"/>
        <v>0.16009084820778616</v>
      </c>
    </row>
    <row r="9" spans="1:20" ht="13.8" x14ac:dyDescent="0.3">
      <c r="A9" s="21" t="s">
        <v>292</v>
      </c>
      <c r="B9" s="276">
        <f t="shared" ref="B9:S9" si="5">SUM(B16,B18:B22)/SUM(B12:B22)</f>
        <v>0.71426060403447889</v>
      </c>
      <c r="C9" s="276">
        <f t="shared" si="5"/>
        <v>0.24252456061663444</v>
      </c>
      <c r="D9" s="276">
        <f t="shared" si="5"/>
        <v>0.26053272680764822</v>
      </c>
      <c r="E9" s="276">
        <f t="shared" si="5"/>
        <v>0.19824385613331927</v>
      </c>
      <c r="F9" s="276">
        <f t="shared" si="5"/>
        <v>0.24123414356717193</v>
      </c>
      <c r="G9" s="276">
        <f t="shared" si="5"/>
        <v>0.1341282001997883</v>
      </c>
      <c r="H9" s="276">
        <f t="shared" si="5"/>
        <v>0.32956904425807521</v>
      </c>
      <c r="I9" s="276">
        <f t="shared" si="5"/>
        <v>0.15723463924206887</v>
      </c>
      <c r="J9" s="276">
        <f t="shared" si="5"/>
        <v>2.1926794962187777E-2</v>
      </c>
      <c r="K9" s="276">
        <f t="shared" si="5"/>
        <v>0.14891207864023159</v>
      </c>
      <c r="L9" s="276">
        <f t="shared" si="5"/>
        <v>0.18764934487137558</v>
      </c>
      <c r="M9" s="276">
        <f t="shared" si="5"/>
        <v>0.13133258634530248</v>
      </c>
      <c r="N9" s="276"/>
      <c r="O9" s="276"/>
      <c r="P9" s="276"/>
      <c r="Q9" s="276"/>
      <c r="R9" s="276">
        <v>1</v>
      </c>
      <c r="S9" s="276">
        <f t="shared" si="5"/>
        <v>0.36313076900678448</v>
      </c>
    </row>
    <row r="10" spans="1:20" ht="13.8" x14ac:dyDescent="0.3">
      <c r="A10" s="21"/>
      <c r="B10" s="21"/>
      <c r="C10" s="21"/>
      <c r="D10" s="21"/>
      <c r="E10" s="21"/>
      <c r="F10" s="21"/>
      <c r="G10" s="21"/>
      <c r="H10" s="21"/>
      <c r="I10" s="21"/>
      <c r="J10" s="21"/>
      <c r="K10" s="21"/>
      <c r="L10" s="21"/>
      <c r="M10" s="21"/>
      <c r="N10" s="21"/>
      <c r="O10" s="21"/>
      <c r="P10" s="21"/>
      <c r="Q10" s="21"/>
      <c r="R10" s="21"/>
      <c r="S10" s="21"/>
    </row>
    <row r="11" spans="1:20" ht="13.8" x14ac:dyDescent="0.3">
      <c r="A11" s="21" t="s">
        <v>949</v>
      </c>
      <c r="B11" s="21" t="s">
        <v>948</v>
      </c>
      <c r="C11" s="21"/>
      <c r="D11" s="21"/>
      <c r="E11" s="21"/>
      <c r="F11" s="21"/>
      <c r="G11" s="21"/>
      <c r="H11" s="21"/>
      <c r="I11" s="21"/>
      <c r="J11" s="21"/>
      <c r="K11" s="21"/>
      <c r="L11" s="21"/>
      <c r="M11" s="21"/>
      <c r="N11" s="21"/>
      <c r="O11" s="21"/>
      <c r="P11" s="21"/>
      <c r="Q11" s="21"/>
      <c r="R11" s="21"/>
      <c r="S11" s="21"/>
    </row>
    <row r="12" spans="1:20" ht="13.8" x14ac:dyDescent="0.3">
      <c r="A12" s="21" t="s">
        <v>934</v>
      </c>
      <c r="B12" s="35">
        <v>27545</v>
      </c>
      <c r="C12" s="35">
        <v>4266555</v>
      </c>
      <c r="D12" s="35">
        <v>735785</v>
      </c>
      <c r="E12" s="35">
        <v>10520</v>
      </c>
      <c r="F12" s="35">
        <v>273196</v>
      </c>
      <c r="G12" s="35">
        <v>1104828</v>
      </c>
      <c r="H12" s="35">
        <v>38403</v>
      </c>
      <c r="I12" s="35">
        <v>349415</v>
      </c>
      <c r="J12" s="35">
        <v>234699</v>
      </c>
      <c r="K12" s="35">
        <v>34591</v>
      </c>
      <c r="L12" s="35">
        <v>31481</v>
      </c>
      <c r="M12" s="35">
        <v>1354034</v>
      </c>
      <c r="N12" s="35"/>
      <c r="O12" s="35"/>
      <c r="P12" s="35"/>
      <c r="Q12" s="35"/>
      <c r="R12" s="35"/>
      <c r="S12" s="35">
        <v>5489</v>
      </c>
    </row>
    <row r="13" spans="1:20" ht="13.8" x14ac:dyDescent="0.3">
      <c r="A13" s="21" t="s">
        <v>360</v>
      </c>
      <c r="B13" s="35">
        <v>15279</v>
      </c>
      <c r="C13" s="35">
        <v>10730</v>
      </c>
      <c r="D13" s="35">
        <v>59506</v>
      </c>
      <c r="E13" s="35">
        <v>2537</v>
      </c>
      <c r="F13" s="35">
        <v>5846</v>
      </c>
      <c r="G13" s="35">
        <v>23426</v>
      </c>
      <c r="H13" s="35">
        <v>12131</v>
      </c>
      <c r="I13" s="35">
        <v>84895</v>
      </c>
      <c r="J13" s="35">
        <v>17757</v>
      </c>
      <c r="K13" s="35">
        <v>33926</v>
      </c>
      <c r="L13" s="35">
        <v>1839</v>
      </c>
      <c r="M13" s="35">
        <v>34759</v>
      </c>
      <c r="N13" s="35"/>
      <c r="O13" s="35"/>
      <c r="P13" s="35"/>
      <c r="Q13" s="35"/>
      <c r="R13" s="35"/>
      <c r="S13" s="35">
        <v>266</v>
      </c>
    </row>
    <row r="14" spans="1:20" ht="13.8" x14ac:dyDescent="0.3">
      <c r="A14" s="21" t="s">
        <v>937</v>
      </c>
      <c r="B14" s="35">
        <v>56484</v>
      </c>
      <c r="C14" s="35">
        <v>183510</v>
      </c>
      <c r="D14" s="35">
        <v>610795</v>
      </c>
      <c r="E14" s="35">
        <v>34864</v>
      </c>
      <c r="F14" s="35">
        <v>82294</v>
      </c>
      <c r="G14" s="35">
        <v>71239</v>
      </c>
      <c r="H14" s="35">
        <v>126148</v>
      </c>
      <c r="I14" s="35">
        <v>406498</v>
      </c>
      <c r="J14" s="35">
        <v>126559</v>
      </c>
      <c r="K14" s="35">
        <v>192259</v>
      </c>
      <c r="L14" s="35">
        <v>143362</v>
      </c>
      <c r="M14" s="35">
        <v>1418100</v>
      </c>
      <c r="N14" s="35"/>
      <c r="O14" s="35"/>
      <c r="P14" s="35"/>
      <c r="Q14" s="35"/>
      <c r="R14" s="35"/>
      <c r="S14" s="35">
        <v>3702</v>
      </c>
    </row>
    <row r="15" spans="1:20" ht="13.8" x14ac:dyDescent="0.3">
      <c r="A15" s="21" t="s">
        <v>939</v>
      </c>
      <c r="B15" s="35">
        <v>50642</v>
      </c>
      <c r="C15" s="35">
        <v>64801</v>
      </c>
      <c r="D15" s="35">
        <v>159439</v>
      </c>
      <c r="E15" s="35">
        <v>4971</v>
      </c>
      <c r="F15" s="35">
        <v>44994</v>
      </c>
      <c r="G15" s="35">
        <v>41972</v>
      </c>
      <c r="H15" s="35">
        <v>17094</v>
      </c>
      <c r="I15" s="35">
        <v>15019</v>
      </c>
      <c r="J15" s="35">
        <v>5551</v>
      </c>
      <c r="K15" s="35"/>
      <c r="L15" s="35">
        <v>27303</v>
      </c>
      <c r="M15" s="35">
        <v>60493</v>
      </c>
      <c r="N15" s="35"/>
      <c r="O15" s="35"/>
      <c r="P15" s="35"/>
      <c r="Q15" s="35"/>
      <c r="R15" s="35"/>
      <c r="S15" s="35">
        <v>10996</v>
      </c>
    </row>
    <row r="16" spans="1:20" ht="13.8" x14ac:dyDescent="0.3">
      <c r="A16" s="21" t="s">
        <v>940</v>
      </c>
      <c r="B16" s="35"/>
      <c r="C16" s="35">
        <v>11413</v>
      </c>
      <c r="D16" s="35">
        <v>46902</v>
      </c>
      <c r="E16" s="35">
        <v>4579</v>
      </c>
      <c r="F16" s="35">
        <v>13261</v>
      </c>
      <c r="G16" s="35">
        <v>1664</v>
      </c>
      <c r="H16" s="35">
        <v>4917</v>
      </c>
      <c r="I16" s="35">
        <v>18546</v>
      </c>
      <c r="J16" s="35"/>
      <c r="K16" s="35"/>
      <c r="L16" s="35">
        <v>7546</v>
      </c>
      <c r="M16" s="35"/>
      <c r="N16" s="35"/>
      <c r="O16" s="35"/>
      <c r="P16" s="35"/>
      <c r="Q16" s="35"/>
      <c r="R16" s="35"/>
      <c r="S16" s="35">
        <v>892</v>
      </c>
    </row>
    <row r="17" spans="1:19" ht="13.8" x14ac:dyDescent="0.3">
      <c r="A17" s="21" t="s">
        <v>938</v>
      </c>
      <c r="B17" s="35">
        <v>15864</v>
      </c>
      <c r="C17" s="35">
        <v>213287</v>
      </c>
      <c r="D17" s="35">
        <v>839684</v>
      </c>
      <c r="E17" s="35">
        <v>403195</v>
      </c>
      <c r="F17" s="35">
        <v>84634</v>
      </c>
      <c r="G17" s="35">
        <v>37916</v>
      </c>
      <c r="H17" s="35"/>
      <c r="I17" s="35">
        <v>18060</v>
      </c>
      <c r="J17" s="35">
        <v>161995</v>
      </c>
      <c r="K17" s="35">
        <v>10567</v>
      </c>
      <c r="L17" s="35">
        <v>71726</v>
      </c>
      <c r="M17" s="35">
        <v>839918</v>
      </c>
      <c r="N17" s="35"/>
      <c r="O17" s="35"/>
      <c r="P17" s="35"/>
      <c r="Q17" s="35"/>
      <c r="R17" s="35"/>
      <c r="S17" s="35">
        <v>23291</v>
      </c>
    </row>
    <row r="18" spans="1:19" ht="13.8" x14ac:dyDescent="0.3">
      <c r="A18" s="21" t="s">
        <v>944</v>
      </c>
      <c r="B18" s="35">
        <v>380911</v>
      </c>
      <c r="C18" s="35">
        <v>1193374</v>
      </c>
      <c r="D18" s="35">
        <v>380180</v>
      </c>
      <c r="E18" s="35">
        <v>64889</v>
      </c>
      <c r="F18" s="35">
        <v>26135</v>
      </c>
      <c r="G18" s="35">
        <v>137533</v>
      </c>
      <c r="H18" s="35">
        <v>44257</v>
      </c>
      <c r="I18" s="35">
        <v>85083</v>
      </c>
      <c r="J18" s="35">
        <v>6634</v>
      </c>
      <c r="K18" s="35">
        <v>30698</v>
      </c>
      <c r="L18" s="35">
        <v>8354</v>
      </c>
      <c r="M18" s="35">
        <v>292113</v>
      </c>
      <c r="N18" s="35"/>
      <c r="O18" s="35"/>
      <c r="P18" s="35"/>
      <c r="Q18" s="35"/>
      <c r="R18" s="35"/>
      <c r="S18" s="35">
        <v>15856</v>
      </c>
    </row>
    <row r="19" spans="1:19" ht="13.8" x14ac:dyDescent="0.3">
      <c r="A19" s="21" t="s">
        <v>941</v>
      </c>
      <c r="B19" s="35"/>
      <c r="C19" s="35">
        <v>125</v>
      </c>
      <c r="D19" s="35">
        <v>6640</v>
      </c>
      <c r="E19" s="35">
        <v>4</v>
      </c>
      <c r="F19" s="35"/>
      <c r="G19" s="35"/>
      <c r="H19" s="35">
        <v>6289</v>
      </c>
      <c r="I19" s="35">
        <v>2509</v>
      </c>
      <c r="J19" s="35"/>
      <c r="K19" s="35">
        <v>6148</v>
      </c>
      <c r="L19" s="35"/>
      <c r="M19" s="35">
        <v>18584</v>
      </c>
      <c r="N19" s="35"/>
      <c r="O19" s="35"/>
      <c r="P19" s="35"/>
      <c r="Q19" s="35"/>
      <c r="R19" s="35"/>
      <c r="S19" s="35"/>
    </row>
    <row r="20" spans="1:19" ht="13.8" x14ac:dyDescent="0.3">
      <c r="A20" s="21" t="s">
        <v>942</v>
      </c>
      <c r="B20" s="35">
        <v>85</v>
      </c>
      <c r="C20" s="35">
        <v>75257</v>
      </c>
      <c r="D20" s="35">
        <v>105220</v>
      </c>
      <c r="E20" s="35">
        <v>21400</v>
      </c>
      <c r="F20" s="35">
        <v>38098</v>
      </c>
      <c r="G20" s="35">
        <v>14130</v>
      </c>
      <c r="H20" s="35">
        <v>22104</v>
      </c>
      <c r="I20" s="35">
        <v>50952</v>
      </c>
      <c r="J20" s="35">
        <v>5123</v>
      </c>
      <c r="K20" s="35">
        <v>252</v>
      </c>
      <c r="L20" s="35">
        <v>10421</v>
      </c>
      <c r="M20" s="35">
        <v>16633</v>
      </c>
      <c r="N20" s="35"/>
      <c r="O20" s="35"/>
      <c r="P20" s="35"/>
      <c r="Q20" s="35"/>
      <c r="R20" s="35"/>
      <c r="S20" s="35">
        <v>256</v>
      </c>
    </row>
    <row r="21" spans="1:19" ht="13.8" x14ac:dyDescent="0.3">
      <c r="A21" s="21" t="s">
        <v>946</v>
      </c>
      <c r="B21" s="35"/>
      <c r="C21" s="35">
        <v>29</v>
      </c>
      <c r="D21" s="35">
        <v>5579</v>
      </c>
      <c r="E21" s="35">
        <v>501</v>
      </c>
      <c r="F21" s="35"/>
      <c r="G21" s="35"/>
      <c r="H21" s="35"/>
      <c r="I21" s="35"/>
      <c r="J21" s="35">
        <v>496</v>
      </c>
      <c r="K21" s="35"/>
      <c r="L21" s="35"/>
      <c r="M21" s="35">
        <v>3701</v>
      </c>
      <c r="N21" s="35"/>
      <c r="O21" s="35"/>
      <c r="P21" s="35"/>
      <c r="Q21" s="35"/>
      <c r="R21" s="35"/>
      <c r="S21" s="35"/>
    </row>
    <row r="22" spans="1:19" ht="13.8" x14ac:dyDescent="0.3">
      <c r="A22" s="21" t="s">
        <v>943</v>
      </c>
      <c r="B22" s="35">
        <v>33488</v>
      </c>
      <c r="C22" s="35">
        <v>237073</v>
      </c>
      <c r="D22" s="35">
        <v>302894</v>
      </c>
      <c r="E22" s="35">
        <v>21400</v>
      </c>
      <c r="F22" s="35">
        <v>78598</v>
      </c>
      <c r="G22" s="35">
        <v>44856</v>
      </c>
      <c r="H22" s="35">
        <v>17689</v>
      </c>
      <c r="I22" s="35">
        <v>5951</v>
      </c>
      <c r="J22" s="35"/>
      <c r="K22" s="35">
        <v>10378</v>
      </c>
      <c r="L22" s="35">
        <v>37367</v>
      </c>
      <c r="M22" s="35">
        <v>229471</v>
      </c>
      <c r="N22" s="35"/>
      <c r="O22" s="35"/>
      <c r="P22" s="35"/>
      <c r="Q22" s="35"/>
      <c r="R22" s="35"/>
      <c r="S22" s="35">
        <v>7938</v>
      </c>
    </row>
  </sheetData>
  <hyperlinks>
    <hyperlink ref="A1" r:id="rId1"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tint="0.34998626667073579"/>
  </sheetPr>
  <dimension ref="A1:Q27"/>
  <sheetViews>
    <sheetView workbookViewId="0">
      <selection activeCell="E51" sqref="E51"/>
    </sheetView>
  </sheetViews>
  <sheetFormatPr defaultRowHeight="13.2" x14ac:dyDescent="0.25"/>
  <cols>
    <col min="11" max="12" width="9.21875" bestFit="1" customWidth="1"/>
  </cols>
  <sheetData>
    <row r="1" spans="1:17" x14ac:dyDescent="0.25">
      <c r="A1" s="52" t="s">
        <v>894</v>
      </c>
      <c r="B1" s="52"/>
      <c r="C1" s="52"/>
      <c r="D1" s="52"/>
      <c r="E1" s="52"/>
      <c r="F1" s="52"/>
      <c r="G1" s="52"/>
      <c r="H1" s="52"/>
      <c r="I1" s="52"/>
      <c r="J1" s="52"/>
      <c r="K1" s="52"/>
      <c r="L1" s="52"/>
      <c r="M1" s="52"/>
      <c r="N1" s="52"/>
      <c r="O1" s="52"/>
      <c r="P1" s="52"/>
      <c r="Q1" s="52"/>
    </row>
    <row r="2" spans="1:17" ht="15.6" x14ac:dyDescent="0.3">
      <c r="A2" s="288" t="s">
        <v>893</v>
      </c>
      <c r="B2" s="52"/>
      <c r="C2" s="52"/>
      <c r="D2" s="52"/>
      <c r="E2" s="52"/>
      <c r="F2" s="52"/>
      <c r="G2" s="52"/>
      <c r="H2" s="52"/>
      <c r="I2" s="52"/>
      <c r="J2" s="52"/>
      <c r="K2" s="52"/>
      <c r="L2" s="52"/>
      <c r="M2" s="52"/>
      <c r="N2" s="52"/>
      <c r="O2" s="52"/>
      <c r="P2" s="52"/>
      <c r="Q2" s="52"/>
    </row>
    <row r="3" spans="1:17" ht="15.6" x14ac:dyDescent="0.3">
      <c r="A3" s="288"/>
      <c r="B3" s="52"/>
      <c r="C3" s="52"/>
      <c r="D3" s="52"/>
      <c r="E3" s="52"/>
      <c r="F3" s="52"/>
      <c r="G3" s="52"/>
      <c r="H3" s="52"/>
      <c r="I3" s="52"/>
      <c r="J3" s="52"/>
      <c r="K3" s="52">
        <f>K4*0.75</f>
        <v>26.581610504774901</v>
      </c>
      <c r="L3" s="52"/>
      <c r="M3" s="52"/>
      <c r="N3" s="52"/>
      <c r="O3" s="52"/>
      <c r="P3" s="52"/>
      <c r="Q3" s="52"/>
    </row>
    <row r="4" spans="1:17" x14ac:dyDescent="0.25">
      <c r="A4" s="52" t="s">
        <v>892</v>
      </c>
      <c r="B4" s="52">
        <v>2.2046000000000001</v>
      </c>
      <c r="C4" s="52" t="s">
        <v>891</v>
      </c>
      <c r="D4" s="52"/>
      <c r="E4" s="52"/>
      <c r="F4" s="52"/>
      <c r="G4">
        <v>1</v>
      </c>
      <c r="H4" t="s">
        <v>890</v>
      </c>
      <c r="I4">
        <f>B9/1000</f>
        <v>3.3487999999999997E-2</v>
      </c>
      <c r="J4" s="52"/>
      <c r="K4" s="504">
        <f>K5/G7*G4</f>
        <v>35.442147339699865</v>
      </c>
      <c r="L4" s="505">
        <f>K4/18*6</f>
        <v>11.814049113233288</v>
      </c>
      <c r="M4" s="52" t="str">
        <f>H4</f>
        <v>EJ</v>
      </c>
      <c r="N4" s="52"/>
      <c r="O4" s="52"/>
      <c r="P4" s="52"/>
      <c r="Q4" s="52"/>
    </row>
    <row r="5" spans="1:17" x14ac:dyDescent="0.25">
      <c r="A5" s="52"/>
      <c r="B5" s="52"/>
      <c r="C5" s="52"/>
      <c r="D5" s="52"/>
      <c r="E5" s="52"/>
      <c r="F5" s="52"/>
      <c r="G5">
        <f>1000/B6</f>
        <v>23.884589662749594</v>
      </c>
      <c r="H5" t="s">
        <v>889</v>
      </c>
      <c r="I5">
        <f>1000/B8</f>
        <v>0.79984713862615842</v>
      </c>
      <c r="J5" s="52"/>
      <c r="K5" s="506">
        <v>17</v>
      </c>
      <c r="L5" s="3">
        <f>L4/G4*G7</f>
        <v>5.666666666666667</v>
      </c>
      <c r="M5" s="52" t="str">
        <f>H7</f>
        <v>mboe/d</v>
      </c>
      <c r="N5" s="52"/>
      <c r="O5" s="52"/>
      <c r="P5" s="52"/>
      <c r="Q5" s="52"/>
    </row>
    <row r="6" spans="1:17" x14ac:dyDescent="0.25">
      <c r="A6" s="52" t="s">
        <v>888</v>
      </c>
      <c r="B6" s="52">
        <v>41.868000000000002</v>
      </c>
      <c r="C6" s="52" t="s">
        <v>887</v>
      </c>
      <c r="D6" s="52"/>
      <c r="E6" s="52"/>
      <c r="F6" s="52"/>
      <c r="G6">
        <f>1000/B9</f>
        <v>29.861442904921166</v>
      </c>
      <c r="H6" t="s">
        <v>886</v>
      </c>
      <c r="I6">
        <v>1</v>
      </c>
      <c r="J6" s="52"/>
      <c r="K6" s="52"/>
      <c r="L6" s="52"/>
      <c r="M6" s="52"/>
      <c r="N6" s="52" t="s">
        <v>885</v>
      </c>
      <c r="O6" s="52">
        <v>41.868000000000002</v>
      </c>
      <c r="P6" s="52" t="s">
        <v>884</v>
      </c>
      <c r="Q6" s="52"/>
    </row>
    <row r="7" spans="1:17" x14ac:dyDescent="0.25">
      <c r="A7" s="52" t="s">
        <v>883</v>
      </c>
      <c r="B7" s="52">
        <v>1055</v>
      </c>
      <c r="C7" s="52" t="s">
        <v>882</v>
      </c>
      <c r="D7" s="52"/>
      <c r="E7" s="52"/>
      <c r="F7" s="52"/>
      <c r="G7">
        <f>1000/B6*7.33/365</f>
        <v>0.47965491021357404</v>
      </c>
      <c r="H7" t="s">
        <v>881</v>
      </c>
      <c r="J7" s="52"/>
      <c r="K7" s="52"/>
      <c r="L7" s="52"/>
      <c r="M7" s="52"/>
      <c r="N7" s="52"/>
      <c r="O7" s="52">
        <f>O6*10^3</f>
        <v>41868</v>
      </c>
      <c r="P7" s="52" t="s">
        <v>880</v>
      </c>
      <c r="Q7" s="52"/>
    </row>
    <row r="8" spans="1:17" x14ac:dyDescent="0.25">
      <c r="A8" s="52" t="s">
        <v>879</v>
      </c>
      <c r="B8" s="52">
        <f>B6/B9*10^3</f>
        <v>1250.2388915432393</v>
      </c>
      <c r="C8" s="52" t="s">
        <v>878</v>
      </c>
      <c r="D8" s="52"/>
      <c r="E8" s="52"/>
      <c r="F8" s="52"/>
      <c r="G8" s="52">
        <f>(1/10^9)/(0.0373/10^9)</f>
        <v>26.809651474530831</v>
      </c>
      <c r="H8" s="52" t="s">
        <v>877</v>
      </c>
      <c r="I8" s="52"/>
      <c r="J8" s="52"/>
      <c r="K8" s="52"/>
      <c r="L8" s="52"/>
      <c r="M8" s="52"/>
      <c r="N8" s="52"/>
      <c r="O8" s="52">
        <f>O7*10^3</f>
        <v>41868000</v>
      </c>
      <c r="P8" s="52" t="s">
        <v>869</v>
      </c>
      <c r="Q8" s="52"/>
    </row>
    <row r="9" spans="1:17" ht="13.8" x14ac:dyDescent="0.3">
      <c r="A9" s="52" t="s">
        <v>876</v>
      </c>
      <c r="B9" s="52">
        <f>C17</f>
        <v>33.488</v>
      </c>
      <c r="C9" s="52" t="s">
        <v>875</v>
      </c>
      <c r="D9" s="52"/>
      <c r="E9" s="280"/>
      <c r="F9" s="280"/>
      <c r="G9" s="21">
        <f>2110.11170524/2</f>
        <v>1055.05585262</v>
      </c>
      <c r="H9" s="21" t="s">
        <v>153</v>
      </c>
      <c r="I9" s="52"/>
      <c r="J9" s="52"/>
      <c r="K9" s="52"/>
      <c r="L9" s="52"/>
      <c r="M9" s="52"/>
      <c r="N9" s="52"/>
      <c r="O9" s="52"/>
      <c r="P9" s="52"/>
      <c r="Q9" s="52"/>
    </row>
    <row r="10" spans="1:17" ht="13.8" x14ac:dyDescent="0.3">
      <c r="A10" s="52" t="s">
        <v>874</v>
      </c>
      <c r="B10" s="52">
        <v>3.7850000000000001</v>
      </c>
      <c r="C10" s="52" t="s">
        <v>873</v>
      </c>
      <c r="D10" s="52"/>
      <c r="E10" s="52"/>
      <c r="F10" s="52"/>
      <c r="G10" s="21">
        <f>Tech_Spec_Escoot!F5</f>
        <v>0.453592</v>
      </c>
      <c r="H10" s="21" t="str">
        <f>Tech_Spec_Escoot!G5</f>
        <v>kg/lb</v>
      </c>
      <c r="I10" s="52"/>
      <c r="J10" s="52"/>
      <c r="K10" s="52"/>
      <c r="L10" s="52"/>
      <c r="M10" s="52"/>
      <c r="N10" s="52"/>
      <c r="O10" s="52"/>
      <c r="P10" s="52"/>
      <c r="Q10" s="52"/>
    </row>
    <row r="11" spans="1:17" x14ac:dyDescent="0.25">
      <c r="A11" s="52" t="s">
        <v>872</v>
      </c>
      <c r="B11" s="52">
        <v>235.24</v>
      </c>
      <c r="C11" s="52" t="s">
        <v>871</v>
      </c>
      <c r="D11" s="52"/>
      <c r="E11" s="52"/>
      <c r="F11" s="52"/>
      <c r="G11" s="52"/>
      <c r="H11" s="52"/>
      <c r="I11" s="52"/>
      <c r="J11" s="52"/>
      <c r="K11" s="52"/>
      <c r="L11" s="52"/>
      <c r="M11" s="52"/>
      <c r="N11" s="52"/>
      <c r="O11" s="52"/>
      <c r="P11" s="52"/>
      <c r="Q11" s="52"/>
    </row>
    <row r="12" spans="1:17" x14ac:dyDescent="0.25">
      <c r="A12" t="s">
        <v>870</v>
      </c>
      <c r="B12">
        <v>3.6</v>
      </c>
      <c r="C12" s="286" t="s">
        <v>869</v>
      </c>
      <c r="D12" s="52"/>
      <c r="E12" s="52"/>
      <c r="F12" s="52"/>
      <c r="G12" s="52"/>
      <c r="H12" s="52"/>
      <c r="I12" s="52"/>
      <c r="J12" s="52"/>
      <c r="K12" s="52"/>
      <c r="L12" s="52"/>
      <c r="M12" s="52"/>
      <c r="N12" s="52"/>
      <c r="O12" s="52"/>
      <c r="P12" s="52"/>
      <c r="Q12" s="52"/>
    </row>
    <row r="13" spans="1:17" x14ac:dyDescent="0.25">
      <c r="A13" t="s">
        <v>868</v>
      </c>
      <c r="B13">
        <f>B9/B12</f>
        <v>9.3022222222222215</v>
      </c>
      <c r="C13" t="s">
        <v>30</v>
      </c>
      <c r="D13" s="52"/>
      <c r="E13" s="52"/>
      <c r="F13" s="52"/>
      <c r="O13" s="52"/>
      <c r="P13" s="52"/>
      <c r="Q13" s="52"/>
    </row>
    <row r="14" spans="1:17" ht="15.6" x14ac:dyDescent="0.3">
      <c r="A14" s="288" t="s">
        <v>867</v>
      </c>
      <c r="B14" s="52"/>
      <c r="C14" s="52"/>
      <c r="D14" s="52"/>
      <c r="E14" s="52"/>
      <c r="F14" s="52"/>
      <c r="O14" s="52"/>
      <c r="P14" s="52"/>
      <c r="Q14" s="52"/>
    </row>
    <row r="15" spans="1:17" x14ac:dyDescent="0.25">
      <c r="A15" s="287"/>
      <c r="B15" s="52"/>
      <c r="C15" s="52"/>
      <c r="D15" s="52"/>
      <c r="E15" s="52"/>
      <c r="F15" s="52"/>
      <c r="O15" s="52"/>
      <c r="P15" s="52"/>
      <c r="Q15" s="52"/>
    </row>
    <row r="16" spans="1:17" ht="79.2" x14ac:dyDescent="0.25">
      <c r="A16" s="52"/>
      <c r="B16" s="280"/>
      <c r="C16" s="280" t="s">
        <v>865</v>
      </c>
      <c r="D16" s="280" t="s">
        <v>864</v>
      </c>
      <c r="E16" s="280"/>
      <c r="F16" s="286" t="s">
        <v>866</v>
      </c>
      <c r="G16" s="52"/>
      <c r="H16" s="280"/>
      <c r="I16" s="280"/>
      <c r="J16" s="280"/>
      <c r="K16" s="280" t="s">
        <v>865</v>
      </c>
      <c r="L16" s="280" t="s">
        <v>864</v>
      </c>
      <c r="M16" s="52"/>
      <c r="N16" s="52"/>
      <c r="O16" s="52"/>
      <c r="P16" s="52"/>
      <c r="Q16" s="52"/>
    </row>
    <row r="17" spans="1:17" x14ac:dyDescent="0.25">
      <c r="A17" s="52" t="s">
        <v>376</v>
      </c>
      <c r="B17" s="285"/>
      <c r="C17" s="282">
        <v>33.488</v>
      </c>
      <c r="D17" s="18">
        <v>44.8</v>
      </c>
      <c r="E17" s="280"/>
      <c r="F17" s="281">
        <v>2.3207183999999996</v>
      </c>
      <c r="G17" s="280">
        <f t="shared" ref="G17:G27" si="0">F17/B$13</f>
        <v>0.24947999999999998</v>
      </c>
      <c r="H17" s="280"/>
      <c r="I17" s="280"/>
      <c r="J17" s="280"/>
      <c r="K17" s="280"/>
      <c r="L17" s="280"/>
      <c r="N17" s="52"/>
      <c r="O17" s="52"/>
      <c r="P17" s="52"/>
      <c r="Q17" s="52"/>
    </row>
    <row r="18" spans="1:17" x14ac:dyDescent="0.25">
      <c r="A18" s="52" t="s">
        <v>1419</v>
      </c>
      <c r="B18" s="285"/>
      <c r="C18" s="282">
        <v>36.072224999999996</v>
      </c>
      <c r="D18" s="18">
        <v>43.33</v>
      </c>
      <c r="E18" s="280"/>
      <c r="F18" s="281">
        <v>2.4803445333333332</v>
      </c>
      <c r="G18" s="280">
        <f t="shared" si="0"/>
        <v>0.26663999999999999</v>
      </c>
      <c r="H18" s="280"/>
      <c r="I18" s="280"/>
      <c r="J18" s="280"/>
      <c r="N18" s="52"/>
      <c r="O18" s="52"/>
      <c r="P18" s="52"/>
      <c r="Q18" s="52"/>
    </row>
    <row r="19" spans="1:17" x14ac:dyDescent="0.25">
      <c r="A19" s="52" t="s">
        <v>1420</v>
      </c>
      <c r="B19" s="285"/>
      <c r="C19" s="282">
        <v>37.121175000000001</v>
      </c>
      <c r="D19" s="18">
        <v>44.59</v>
      </c>
      <c r="E19" s="280"/>
      <c r="F19" s="281">
        <v>2.3943919999999999</v>
      </c>
      <c r="G19" s="280">
        <f t="shared" si="0"/>
        <v>0.25740000000000002</v>
      </c>
      <c r="H19" s="280"/>
      <c r="I19" s="280"/>
      <c r="J19" s="280"/>
      <c r="N19" s="52"/>
      <c r="O19" s="52"/>
      <c r="P19" s="52"/>
      <c r="Q19" s="52"/>
    </row>
    <row r="20" spans="1:17" x14ac:dyDescent="0.25">
      <c r="A20" s="52" t="s">
        <v>933</v>
      </c>
      <c r="B20" s="52"/>
      <c r="C20" s="282">
        <v>8.3886000000000021</v>
      </c>
      <c r="D20" s="18">
        <v>45.1</v>
      </c>
      <c r="E20" s="280"/>
      <c r="F20" s="281">
        <v>1.8786768</v>
      </c>
      <c r="G20" s="280">
        <f t="shared" si="0"/>
        <v>0.20196000000000003</v>
      </c>
      <c r="H20" s="280"/>
      <c r="I20" s="280"/>
      <c r="J20" s="280"/>
      <c r="N20" s="52"/>
      <c r="O20" s="52"/>
      <c r="P20" s="52"/>
      <c r="Q20" s="52"/>
    </row>
    <row r="21" spans="1:17" x14ac:dyDescent="0.25">
      <c r="A21" s="52" t="s">
        <v>1421</v>
      </c>
      <c r="B21" s="285"/>
      <c r="C21" s="282">
        <v>26.351670000000002</v>
      </c>
      <c r="D21" s="18">
        <v>47.31</v>
      </c>
      <c r="E21" s="280"/>
      <c r="F21" s="281">
        <v>2.1119765333333329</v>
      </c>
      <c r="G21" s="280">
        <f t="shared" si="0"/>
        <v>0.22703999999999996</v>
      </c>
      <c r="H21" s="280"/>
      <c r="I21" s="280"/>
      <c r="J21" s="280"/>
      <c r="N21" s="52"/>
      <c r="O21" s="52"/>
      <c r="P21" s="52"/>
      <c r="Q21" s="52"/>
    </row>
    <row r="22" spans="1:17" x14ac:dyDescent="0.25">
      <c r="A22" s="52"/>
      <c r="B22" s="52"/>
      <c r="E22" s="280"/>
      <c r="G22" s="280">
        <f t="shared" si="0"/>
        <v>0</v>
      </c>
      <c r="H22" s="280"/>
      <c r="I22" s="280"/>
      <c r="J22" s="280"/>
      <c r="N22" s="52"/>
      <c r="O22" s="52"/>
      <c r="P22" s="52"/>
      <c r="Q22" s="52"/>
    </row>
    <row r="23" spans="1:17" x14ac:dyDescent="0.25">
      <c r="A23" s="52" t="s">
        <v>863</v>
      </c>
      <c r="B23" s="52"/>
      <c r="C23" s="282">
        <v>2.7022500000000003</v>
      </c>
      <c r="D23" s="18">
        <v>120.1</v>
      </c>
      <c r="E23" s="280"/>
      <c r="F23" s="281">
        <v>0</v>
      </c>
      <c r="G23" s="280">
        <f t="shared" si="0"/>
        <v>0</v>
      </c>
      <c r="H23" s="280"/>
      <c r="I23" s="280"/>
      <c r="J23" s="280"/>
      <c r="N23" s="52"/>
      <c r="O23" s="52"/>
      <c r="P23" s="52"/>
      <c r="Q23" s="52"/>
    </row>
    <row r="24" spans="1:17" x14ac:dyDescent="0.25">
      <c r="A24" s="52" t="s">
        <v>862</v>
      </c>
      <c r="B24" s="285"/>
      <c r="C24" s="282">
        <v>21.133049999999997</v>
      </c>
      <c r="D24" s="18">
        <v>26.7</v>
      </c>
      <c r="E24" s="280"/>
      <c r="F24" s="281">
        <v>2.3360074906367041</v>
      </c>
      <c r="G24" s="280">
        <f t="shared" si="0"/>
        <v>0.25112359550561797</v>
      </c>
      <c r="H24" s="280"/>
      <c r="I24" s="52"/>
      <c r="J24" s="52"/>
      <c r="K24" s="52"/>
      <c r="L24" s="52"/>
      <c r="N24" s="52"/>
      <c r="O24" s="52"/>
      <c r="P24" s="52"/>
      <c r="Q24" s="52"/>
    </row>
    <row r="25" spans="1:17" x14ac:dyDescent="0.25">
      <c r="A25" s="52" t="s">
        <v>861</v>
      </c>
      <c r="B25" s="285"/>
      <c r="C25" s="282">
        <v>32.692</v>
      </c>
      <c r="D25" s="18">
        <v>37.15</v>
      </c>
      <c r="E25" s="280"/>
      <c r="F25" s="281">
        <v>2.5249952000000002</v>
      </c>
      <c r="G25" s="280">
        <f t="shared" si="0"/>
        <v>0.27144000000000007</v>
      </c>
      <c r="H25" s="280"/>
      <c r="I25" s="280"/>
      <c r="J25" s="284" t="s">
        <v>860</v>
      </c>
      <c r="K25" s="52">
        <v>34.4</v>
      </c>
      <c r="L25" s="283">
        <v>44.102564102564102</v>
      </c>
      <c r="N25" s="52"/>
      <c r="O25" s="52"/>
      <c r="P25" s="52"/>
      <c r="Q25" s="52"/>
    </row>
    <row r="26" spans="1:17" x14ac:dyDescent="0.25">
      <c r="A26" s="52" t="s">
        <v>859</v>
      </c>
      <c r="B26" s="52"/>
      <c r="C26" s="282">
        <v>33.458174999999997</v>
      </c>
      <c r="D26" s="18">
        <v>40.19</v>
      </c>
      <c r="E26" s="280"/>
      <c r="F26" s="281">
        <v>2.5908549333333335</v>
      </c>
      <c r="G26" s="280">
        <f t="shared" si="0"/>
        <v>0.27852000000000005</v>
      </c>
      <c r="H26" s="280"/>
      <c r="I26" s="280"/>
      <c r="J26" s="280"/>
      <c r="K26" s="52"/>
      <c r="L26" s="52"/>
      <c r="N26" s="52"/>
      <c r="O26" s="52"/>
      <c r="P26" s="52"/>
      <c r="Q26" s="52"/>
    </row>
    <row r="27" spans="1:17" x14ac:dyDescent="0.25">
      <c r="A27" t="s">
        <v>858</v>
      </c>
      <c r="C27" s="282">
        <v>15.9</v>
      </c>
      <c r="D27" s="18">
        <v>20.100000000000001</v>
      </c>
      <c r="E27" s="280"/>
      <c r="F27" s="281">
        <v>1.993334222470031</v>
      </c>
      <c r="G27" s="280">
        <f t="shared" si="0"/>
        <v>0.21428580986897133</v>
      </c>
      <c r="H27" s="280"/>
      <c r="I27" s="280"/>
      <c r="J27" s="280"/>
      <c r="L27" s="5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EG126"/>
  <sheetViews>
    <sheetView zoomScale="70" zoomScaleNormal="70" workbookViewId="0">
      <pane xSplit="3" ySplit="2" topLeftCell="BG3" activePane="bottomRight" state="frozen"/>
      <selection activeCell="AJ4" sqref="AJ4"/>
      <selection pane="topRight" activeCell="AJ4" sqref="AJ4"/>
      <selection pane="bottomLeft" activeCell="AJ4" sqref="AJ4"/>
      <selection pane="bottomRight" activeCell="BI16" sqref="BI16"/>
    </sheetView>
  </sheetViews>
  <sheetFormatPr defaultColWidth="9.109375" defaultRowHeight="13.8" x14ac:dyDescent="0.3"/>
  <cols>
    <col min="1" max="1" width="33" style="21" customWidth="1"/>
    <col min="2" max="2" width="11.5546875" style="21" customWidth="1"/>
    <col min="3" max="3" width="14.109375" style="21" customWidth="1"/>
    <col min="4" max="40" width="9.21875" style="21" customWidth="1"/>
    <col min="41" max="41" width="9.21875" style="21" bestFit="1" customWidth="1"/>
    <col min="42" max="98" width="9.21875" style="21" customWidth="1"/>
    <col min="99" max="99" width="10" style="21" customWidth="1"/>
    <col min="100" max="104" width="9.21875" style="21" customWidth="1"/>
    <col min="105" max="105" width="10" style="21" customWidth="1"/>
    <col min="106" max="110" width="9.21875" style="21" customWidth="1"/>
    <col min="111" max="111" width="10" style="21" customWidth="1"/>
    <col min="112" max="114" width="9.21875" style="21" customWidth="1"/>
    <col min="115" max="127" width="10" style="21" customWidth="1"/>
    <col min="128" max="134" width="11" style="21" customWidth="1"/>
    <col min="135" max="137" width="9.109375" style="21"/>
    <col min="138" max="138" width="15.109375" style="21" bestFit="1" customWidth="1"/>
    <col min="139" max="16384" width="9.109375" style="21"/>
  </cols>
  <sheetData>
    <row r="1" spans="1:137" x14ac:dyDescent="0.3">
      <c r="D1" s="21" t="str">
        <f>'1_Manufacturing'!D1</f>
        <v>Vehicle</v>
      </c>
      <c r="DE1" s="21">
        <v>20</v>
      </c>
      <c r="DF1" s="21">
        <v>20</v>
      </c>
      <c r="DH1" s="21">
        <v>20</v>
      </c>
      <c r="DI1" s="21">
        <v>20</v>
      </c>
      <c r="DJ1" s="21">
        <v>20</v>
      </c>
    </row>
    <row r="2" spans="1:137" s="124" customFormat="1" ht="105" customHeight="1" x14ac:dyDescent="0.3">
      <c r="C2" s="124" t="str">
        <f>'1_Manufacturing'!C2</f>
        <v>Notes</v>
      </c>
      <c r="D2" s="124" t="str">
        <f>'1_Manufacturing'!D2</f>
        <v>Private e-scooter</v>
      </c>
      <c r="E2" s="124" t="str">
        <f>'1_Manufacturing'!E2</f>
        <v>Shared e-scooter (first generation, worst case)</v>
      </c>
      <c r="F2" s="124" t="str">
        <f>'1_Manufacturing'!F2</f>
        <v>Shared e-scooter (first generation, best case)</v>
      </c>
      <c r="G2" s="124" t="str">
        <f>'1_Manufacturing'!G2</f>
        <v>Shared e-scooter (first generation central case, daily distance 50% lower)</v>
      </c>
      <c r="H2" s="124" t="str">
        <f>'1_Manufacturing'!H2</f>
        <v>Shared e-scooter (first generation central case, daily distance 50% higher)</v>
      </c>
      <c r="I2" s="124" t="str">
        <f>'1_Manufacturing'!I2</f>
        <v>Shared e-scooter (first generation central case, low-carbon EVs for operational services)</v>
      </c>
      <c r="J2" s="124" t="str">
        <f>'1_Manufacturing'!J2</f>
        <v>Shared e-scooter (first generation central case, EVs for operational services)</v>
      </c>
      <c r="K2" s="124" t="str">
        <f>'1_Manufacturing'!K2</f>
        <v>Shared e-scooter (first generation central case, 50% more vehicles per servicing trip)</v>
      </c>
      <c r="L2" s="124" t="str">
        <f>'1_Manufacturing'!L2</f>
        <v>Shared e-scooter (first generation central case, 50% less vehicles per servcing trip)</v>
      </c>
      <c r="M2" s="124" t="str">
        <f>'1_Manufacturing'!M2</f>
        <v>Shared e-scooter (first generation central case, vehicle servicing distance 50% down)</v>
      </c>
      <c r="N2" s="124" t="str">
        <f>'1_Manufacturing'!N2</f>
        <v>Shared e-scooter (first generation central case, vehicle servicing distance 50% up)</v>
      </c>
      <c r="O2" s="124" t="str">
        <f>'1_Manufacturing'!O2</f>
        <v>Shared e-scooter (first generation central case, 50% higher lifetime)</v>
      </c>
      <c r="P2" s="124" t="str">
        <f>'1_Manufacturing'!P2</f>
        <v>Shared e-scooter (first generation central case, 50% lower lifetime)</v>
      </c>
      <c r="Q2" s="124" t="str">
        <f>'1_Manufacturing'!Q2</f>
        <v>Shared e-scooter (first generation central case, 25% less battery capacity)</v>
      </c>
      <c r="R2" s="124" t="str">
        <f>'1_Manufacturing'!R2</f>
        <v>Shared e-scooter (first generation central case, 25% more battery capacity)</v>
      </c>
      <c r="S2" s="124" t="str">
        <f>'1_Manufacturing'!S2</f>
        <v>Shared e-scooter (first generation central case, 25% heavier vehicle)</v>
      </c>
      <c r="T2" s="124" t="str">
        <f>'1_Manufacturing'!T2</f>
        <v>Shared e-scooter (first generation central case, low carbon Al smelting)</v>
      </c>
      <c r="U2" s="124" t="str">
        <f>'1_Manufacturing'!U2</f>
        <v>Shared e-scooter (first generation central case, high carbon electricity in use phase)</v>
      </c>
      <c r="V2" s="124" t="str">
        <f>'1_Manufacturing'!V2</f>
        <v>Shared e-scooter (first generation central case, low carbon electricity in use phase)</v>
      </c>
      <c r="W2" s="124" t="str">
        <f>'1_Manufacturing'!W2</f>
        <v>Shared e-scooter (first generation, central case)</v>
      </c>
      <c r="X2" s="124" t="str">
        <f>'1_Manufacturing'!X2</f>
        <v>Shared e-scooter (new generation),- All improvements combined</v>
      </c>
      <c r="Y2" s="124" t="str">
        <f>'1_Manufacturing'!Y2</f>
        <v>Shared e-scooter (new generation) - Low-carbon electricity in use phase</v>
      </c>
      <c r="Z2" s="124" t="str">
        <f>'1_Manufacturing'!Z2</f>
        <v>Shared e-scooter (new generation) - 50% lower service distance</v>
      </c>
      <c r="AA2" s="124" t="str">
        <f>'1_Manufacturing'!AA2</f>
        <v>Shared e-scooter (new generation) - 50% higher daily e-scooter distance</v>
      </c>
      <c r="AB2" s="124" t="str">
        <f>'1_Manufacturing'!AB2</f>
        <v>Shared e-scooter (new generation) - Low carbon Al smelting</v>
      </c>
      <c r="AC2" s="124" t="str">
        <f>'1_Manufacturing'!AC2</f>
        <v>Shared e-scooter (new generation) - Low-carbon EVs for operational services</v>
      </c>
      <c r="AD2" s="124" t="str">
        <f>'1_Manufacturing'!AD2</f>
        <v>Shared e-scooter (new generation) - 50% more vehicles per servicing trip</v>
      </c>
      <c r="AE2" s="124" t="str">
        <f>'1_Manufacturing'!AE2</f>
        <v>Shared e-scooter (new generation) - Central case</v>
      </c>
      <c r="AF2" s="124" t="str">
        <f>'1_Manufacturing'!AF2</f>
        <v>Shared e-scooter (Hollingsworth et al. 2019 simulation)</v>
      </c>
      <c r="AG2" s="124" t="str">
        <f>'1_Manufacturing'!AG2</f>
        <v>Private bike</v>
      </c>
      <c r="AH2" s="124" t="str">
        <f>'1_Manufacturing'!AH2</f>
        <v>Private e-bike</v>
      </c>
      <c r="AI2" s="124" t="str">
        <f>'1_Manufacturing'!AI2</f>
        <v>Shared bike</v>
      </c>
      <c r="AJ2" s="124" t="str">
        <f>'1_Manufacturing'!AJ2</f>
        <v>Shared e-bike</v>
      </c>
      <c r="AK2" s="124" t="str">
        <f>'1_Manufacturing'!AK2</f>
        <v>Private moped - ICE</v>
      </c>
      <c r="AL2" s="124" t="str">
        <f>'1_Manufacturing'!AL2</f>
        <v>Private moped - BEV</v>
      </c>
      <c r="AM2" s="124" t="str">
        <f>'1_Manufacturing'!AM2</f>
        <v>Shared moped - ICE</v>
      </c>
      <c r="AN2" s="124" t="str">
        <f>'1_Manufacturing'!AN2</f>
        <v>Shared moped - BEV</v>
      </c>
      <c r="AO2" s="124" t="str">
        <f>'1_Manufacturing'!AO2</f>
        <v>Private car - ICE</v>
      </c>
      <c r="AP2" s="124" t="str">
        <f>'1_Manufacturing'!AP2</f>
        <v>Private car - HEV</v>
      </c>
      <c r="AQ2" s="124" t="str">
        <f>'1_Manufacturing'!AQ2</f>
        <v>Private car - PHEV</v>
      </c>
      <c r="AR2" s="124" t="str">
        <f>'1_Manufacturing'!AR2</f>
        <v>AVAILABLE</v>
      </c>
      <c r="AS2" s="124" t="str">
        <f>'1_Manufacturing'!AS2</f>
        <v>Private car - BEV (high carbon intensity of electricity in use phase)</v>
      </c>
      <c r="AT2" s="124" t="str">
        <f>'1_Manufacturing'!AT2</f>
        <v>Private car - BEV (low carbon intensity of electricity in use phase)</v>
      </c>
      <c r="AU2" s="124" t="str">
        <f>'1_Manufacturing'!AU2</f>
        <v>Private car - BEV (Lower carbon intensity of battery manufacturing)</v>
      </c>
      <c r="AV2" s="124" t="str">
        <f>'1_Manufacturing'!AV2</f>
        <v>Private car - BEV (25% smaller battery)</v>
      </c>
      <c r="AW2" s="124" t="str">
        <f>'1_Manufacturing'!AW2</f>
        <v>Private car - BEV (25% larger battery)</v>
      </c>
      <c r="AX2" s="124" t="str">
        <f>'1_Manufacturing'!AX2</f>
        <v>Private car - BEV</v>
      </c>
      <c r="AY2" s="321" t="str">
        <f>'1_Manufacturing'!AY2</f>
        <v>Private car - FCEV (hydrogen from electrolysis, 100% natural gas electricity)</v>
      </c>
      <c r="AZ2" s="321" t="str">
        <f>'1_Manufacturing'!AZ2</f>
        <v>Private car - FCEV (hydrogen from electrolysis, 100% renewable electricity)</v>
      </c>
      <c r="BA2" s="321" t="str">
        <f>'1_Manufacturing'!BA2</f>
        <v>Private car - FCEV (hydrogen from electrolysis, global grid mix)</v>
      </c>
      <c r="BB2" s="321" t="str">
        <f>'1_Manufacturing'!BB2</f>
        <v>Private car - FCEV</v>
      </c>
      <c r="BC2" s="124" t="str">
        <f>'1_Manufacturing'!BC2</f>
        <v>Ridesourcing - car - ICE (25% lower deadheading km share and 2.25 passengers)</v>
      </c>
      <c r="BD2" s="124" t="str">
        <f>'1_Manufacturing'!BD2</f>
        <v>Ridesourcing - car - ICE (average load, 25% higher deadheading km share)</v>
      </c>
      <c r="BE2" s="124" t="str">
        <f>'1_Manufacturing'!BE2</f>
        <v>Ridesourcing - car - ICE (average load, 25% lower deadheading km share)</v>
      </c>
      <c r="BF2" s="124" t="str">
        <f>'1_Manufacturing'!BF2</f>
        <v>Ridesourcing - car - ICE (single passenger on board, no change in deadheading km share)</v>
      </c>
      <c r="BG2" s="124" t="str">
        <f>'1_Manufacturing'!BG2</f>
        <v>Ridesourcing - car - ICE (two passengers on board, no change in deadheading km share)</v>
      </c>
      <c r="BH2" s="124" t="str">
        <f>'1_Manufacturing'!BH2</f>
        <v>Ridesourcing - car - ICE (25% higher average load: 1,94 passengers on board, no change in deadheading km share)</v>
      </c>
      <c r="BI2" s="124" t="str">
        <f>'1_Manufacturing'!BI2</f>
        <v>Ridesourcing - car - ICE</v>
      </c>
      <c r="BJ2" s="124" t="str">
        <f>'1_Manufacturing'!BJ2</f>
        <v>Ridesourcing - car - HEV</v>
      </c>
      <c r="BK2" s="124" t="str">
        <f>'1_Manufacturing'!BK2</f>
        <v>Ridesourcing - car - PHEV</v>
      </c>
      <c r="BL2" s="124" t="str">
        <f>'1_Manufacturing'!BL2</f>
        <v>Ridesourcing - car - BEV single passenger on board, no change in deadheading km share)</v>
      </c>
      <c r="BM2" s="124" t="str">
        <f>'1_Manufacturing'!BM2</f>
        <v>Ridesourcing - car - BEV two passengers on board, no change in deadheading km share)</v>
      </c>
      <c r="BN2" s="124" t="str">
        <f>'1_Manufacturing'!BN2</f>
        <v>Ridesourcing - car - BEV 25% higher average load: 1,94 passengers on board, no change in deadheading km share)</v>
      </c>
      <c r="BO2" s="124" t="str">
        <f>'1_Manufacturing'!BO2</f>
        <v>Ridesourcing - car - BEV (high carbon intensity of electricity in use phase)</v>
      </c>
      <c r="BP2" s="124" t="str">
        <f>'1_Manufacturing'!BP2</f>
        <v>Ridesourcing - car - BEV (low carbon intensity of electricity in use phase)</v>
      </c>
      <c r="BQ2" s="124" t="str">
        <f>'1_Manufacturing'!BQ2</f>
        <v>Ridesourcing - car - BEV (Lower carbon intensity of battery manufacturing)</v>
      </c>
      <c r="BR2" s="124" t="str">
        <f>'1_Manufacturing'!BR2</f>
        <v>Ridesourcing - car - BEV (25% smaller battery)</v>
      </c>
      <c r="BS2" s="124" t="str">
        <f>'1_Manufacturing'!BS2</f>
        <v>Ridesourcing - car - BEV (25% larger battery)</v>
      </c>
      <c r="BT2" s="124" t="str">
        <f>'1_Manufacturing'!BT2</f>
        <v>Ridesourcing - car - BEV</v>
      </c>
      <c r="BU2" s="471" t="str">
        <f>'1_Manufacturing'!BU2</f>
        <v>Ridesourcing - car - BEV (two packs) single passenger on board, no change in deadheading km share)</v>
      </c>
      <c r="BV2" s="471" t="str">
        <f>'1_Manufacturing'!BV2</f>
        <v>Ridesourcing - car - BEV (two packs) two passengers on board, no change in deadheading km share)</v>
      </c>
      <c r="BW2" s="471" t="str">
        <f>'1_Manufacturing'!BW2</f>
        <v>Ridesourcing - car - BEV (two packs) 25% higher average load: 1,94 passengers on board, no change in deadheading km share)</v>
      </c>
      <c r="BX2" s="471" t="str">
        <f>'1_Manufacturing'!BX2</f>
        <v>Ridesourcing - car - BEV (two packs) (high carbon intensity of electricity in use phase)</v>
      </c>
      <c r="BY2" s="471" t="str">
        <f>'1_Manufacturing'!BY2</f>
        <v>Ridesourcing - car - BEV (two packs) (low carbon intensity of electricity in use phase)</v>
      </c>
      <c r="BZ2" s="471" t="str">
        <f>'1_Manufacturing'!BZ2</f>
        <v>Ridesourcing - car - BEV (two packs) (Lower carbon intensity of battery manufacturing)</v>
      </c>
      <c r="CA2" s="471" t="str">
        <f>'1_Manufacturing'!CA2</f>
        <v>Ridesourcing - car - BEV (two packs) (25% smaller battery)</v>
      </c>
      <c r="CB2" s="471" t="str">
        <f>'1_Manufacturing'!CB2</f>
        <v>Ridesourcing - car - BEV (two packs) (25% larger battery)</v>
      </c>
      <c r="CC2" s="471" t="str">
        <f>'1_Manufacturing'!CC2</f>
        <v>Ridesourcing - car - BEV (two packs)</v>
      </c>
      <c r="CD2" s="321" t="str">
        <f>'1_Manufacturing'!CD2</f>
        <v>Ridesourcing car - FCEV (hydrogen from electrolysis, 100% natural gas electricity)</v>
      </c>
      <c r="CE2" s="321" t="str">
        <f>'1_Manufacturing'!CE2</f>
        <v>Ridesourcing car - FCEV (hydrogen from electrolysis, 100% renewable electricity)</v>
      </c>
      <c r="CF2" s="321" t="str">
        <f>'1_Manufacturing'!CF2</f>
        <v>Ridesourcing car - FCEV (hydrogen from electrolysis, global grid mix)</v>
      </c>
      <c r="CG2" s="321" t="str">
        <f>'1_Manufacturing'!CG2</f>
        <v>Ridesourcing - car - FCEV</v>
      </c>
      <c r="CH2" s="124" t="str">
        <f>'1_Manufacturing'!CH2</f>
        <v>Taxi  ICE</v>
      </c>
      <c r="CI2" s="124" t="str">
        <f>'1_Manufacturing'!CI2</f>
        <v>Taxi  HEV</v>
      </c>
      <c r="CJ2" s="124" t="str">
        <f>'1_Manufacturing'!CJ2</f>
        <v>Taxi  PHEV</v>
      </c>
      <c r="CK2" s="124" t="str">
        <f>'1_Manufacturing'!CK2</f>
        <v>Taxi  BEV</v>
      </c>
      <c r="CL2" s="124" t="str">
        <f>'1_Manufacturing'!CL2</f>
        <v>Taxi  BEV (two packs)</v>
      </c>
      <c r="CM2" s="321" t="str">
        <f>'1_Manufacturing'!CM2</f>
        <v>Taxi - FCEV</v>
      </c>
      <c r="CN2" s="124" t="str">
        <f>'1_Manufacturing'!CN2</f>
        <v>Large Private car - ICE</v>
      </c>
      <c r="CO2" s="124" t="str">
        <f>'1_Manufacturing'!CO2</f>
        <v>Large Private car - HEV</v>
      </c>
      <c r="CP2" s="124" t="str">
        <f>'1_Manufacturing'!CP2</f>
        <v>Large Private car - PHEV</v>
      </c>
      <c r="CQ2" s="124" t="str">
        <f>'1_Manufacturing'!CQ2</f>
        <v>Large Private car - BEV</v>
      </c>
      <c r="CR2" s="321" t="str">
        <f>'1_Manufacturing'!CR2</f>
        <v>Large Private car - FCEV</v>
      </c>
      <c r="CS2" s="124" t="str">
        <f>'1_Manufacturing'!CS2</f>
        <v>Ridesourcing - Large car - ICE</v>
      </c>
      <c r="CT2" s="124" t="str">
        <f>'1_Manufacturing'!CT2</f>
        <v>Ridesourcing - Large car - HEV</v>
      </c>
      <c r="CU2" s="124" t="str">
        <f>'1_Manufacturing'!CU2</f>
        <v>Ridesourcing - Large car - PHEV</v>
      </c>
      <c r="CV2" s="124" t="str">
        <f>'1_Manufacturing'!CV2</f>
        <v>Ridesourcing - Large car - BEV</v>
      </c>
      <c r="CW2" s="471" t="str">
        <f>'1_Manufacturing'!CW2</f>
        <v>Ridesourcing - Large car - BEV (two packs)</v>
      </c>
      <c r="CX2" s="321" t="str">
        <f>'1_Manufacturing'!CX2</f>
        <v>Ridesourcing - Large car - FCEV</v>
      </c>
      <c r="CY2" s="124" t="str">
        <f>'1_Manufacturing'!CY2</f>
        <v>Ridesourcing - Shared van - ICE</v>
      </c>
      <c r="CZ2" s="124" t="str">
        <f>'1_Manufacturing'!CZ2</f>
        <v>Ridesourcing - Shared van - HEV</v>
      </c>
      <c r="DA2" s="124" t="str">
        <f>'1_Manufacturing'!DA2</f>
        <v>Ridesourcing - Shared van - PHEV</v>
      </c>
      <c r="DB2" s="124" t="str">
        <f>'1_Manufacturing'!DB2</f>
        <v>Ridesourcing - Shared van - BEV</v>
      </c>
      <c r="DC2" s="471" t="str">
        <f>'1_Manufacturing'!DC2</f>
        <v>Ridesourcing - Shared van - BEV (two packs)</v>
      </c>
      <c r="DD2" s="321" t="str">
        <f>'1_Manufacturing'!DD2</f>
        <v>Ridesourcing - Shared van - FCEV</v>
      </c>
      <c r="DE2" s="124" t="str">
        <f>'1_Manufacturing'!DE2</f>
        <v>Ridesourcing - Shared minibus - ICE</v>
      </c>
      <c r="DF2" s="124" t="str">
        <f>'1_Manufacturing'!DF2</f>
        <v>Ridesourcing - Shared minibus - HEV</v>
      </c>
      <c r="DH2" s="124" t="str">
        <f>'1_Manufacturing'!DH2</f>
        <v>Ridesourcing - Shared minibus - BEV</v>
      </c>
      <c r="DI2" s="471" t="str">
        <f>'1_Manufacturing'!DI2</f>
        <v>Ridesourcing - Shared minibus - BEV (two packs)</v>
      </c>
      <c r="DJ2" s="321" t="str">
        <f>'1_Manufacturing'!DJ2</f>
        <v>Ridesourcing - Shared minibus - FCEV</v>
      </c>
      <c r="DK2" s="492" t="str">
        <f>'1_Manufacturing'!DK2</f>
        <v>Bus - ICE (lifetime 25% lower)</v>
      </c>
      <c r="DL2" s="492" t="str">
        <f>'1_Manufacturing'!DL2</f>
        <v>Bus - ICE (lifetime 25% larger)</v>
      </c>
      <c r="DM2" s="492" t="str">
        <f>'1_Manufacturing'!DM2</f>
        <v>Bus - ICE (100% bus lane)</v>
      </c>
      <c r="DN2" s="492" t="str">
        <f>'1_Manufacturing'!DN2</f>
        <v>Bus - ICE (deadheading doubled)</v>
      </c>
      <c r="DO2" s="492" t="str">
        <f>'1_Manufacturing'!DO2</f>
        <v>Bus - ICE (ridership down by 50%)</v>
      </c>
      <c r="DP2" s="492" t="str">
        <f>'1_Manufacturing'!DP2</f>
        <v>Bus - ICE (ridership up by 50%)</v>
      </c>
      <c r="DQ2" s="124" t="str">
        <f>'1_Manufacturing'!DQ2</f>
        <v>Bus - ICE</v>
      </c>
      <c r="DR2" s="124" t="str">
        <f>'1_Manufacturing'!DR2</f>
        <v>Bus - HEV</v>
      </c>
      <c r="DS2" s="474" t="str">
        <f>'1_Manufacturing'!DS2</f>
        <v>Bus - BEV (two packs, 100% zero-carbon electricity)</v>
      </c>
      <c r="DT2" s="474" t="str">
        <f>'1_Manufacturing'!DT2</f>
        <v>Bus - BEV (two packs)</v>
      </c>
      <c r="DU2" s="124" t="str">
        <f>'1_Manufacturing'!DU2</f>
        <v>Bus - BEV</v>
      </c>
      <c r="DV2" s="321" t="str">
        <f>'1_Manufacturing'!DV2</f>
        <v>Bus - FCEV, hydrogen from electrolysis (100% zero-carbon electricity)</v>
      </c>
      <c r="DW2" s="321" t="str">
        <f>'1_Manufacturing'!DW2</f>
        <v>Bus - FCEV</v>
      </c>
      <c r="DX2" s="124" t="str">
        <f>'1_Manufacturing'!DX2</f>
        <v>Metro/urban train (infrastructure lifetime 25% higher)</v>
      </c>
      <c r="DY2" s="124" t="str">
        <f>'1_Manufacturing'!DY2</f>
        <v>Metro/urban train (infrastructure lifetime 25% lower)</v>
      </c>
      <c r="DZ2" s="124" t="str">
        <f>'1_Manufacturing'!DZ2</f>
        <v>Metro/urban train (network usage frequency down by 25%)</v>
      </c>
      <c r="EA2" s="124" t="str">
        <f>'1_Manufacturing'!EA2</f>
        <v>Metro/urban train (network usage frequency up by 25%)</v>
      </c>
      <c r="EB2" s="124" t="str">
        <f>'1_Manufacturing'!EB2</f>
        <v>Metro/urban train (ridership per train down by 50%)</v>
      </c>
      <c r="EC2" s="124" t="str">
        <f>'1_Manufacturing'!EC2</f>
        <v>Metro/urban train (ridership per train up by 50%)</v>
      </c>
      <c r="ED2" s="124" t="str">
        <f>'1_Manufacturing'!ED2</f>
        <v>Metro/urban train</v>
      </c>
    </row>
    <row r="4" spans="1:137" x14ac:dyDescent="0.3">
      <c r="A4" s="21" t="str">
        <f>'3_Use'!A8</f>
        <v>Lifetime (vehicle)</v>
      </c>
      <c r="B4" s="21" t="str">
        <f>'3_Use'!B8</f>
        <v>[years]</v>
      </c>
      <c r="D4" s="344">
        <f>ROUND(W4*W5/D5/Tech_Spec_Bikes!M36,0)</f>
        <v>3</v>
      </c>
      <c r="E4" s="318">
        <f>P4</f>
        <v>0.5</v>
      </c>
      <c r="F4" s="318">
        <f>O4</f>
        <v>1.5</v>
      </c>
      <c r="G4" s="314">
        <f>T4</f>
        <v>0.83333333333333337</v>
      </c>
      <c r="H4" s="314">
        <f>U4</f>
        <v>0.83333333333333337</v>
      </c>
      <c r="I4" s="314">
        <f>U4</f>
        <v>0.83333333333333337</v>
      </c>
      <c r="J4" s="314">
        <f>V4</f>
        <v>0.83333333333333337</v>
      </c>
      <c r="K4" s="314">
        <f>U4</f>
        <v>0.83333333333333337</v>
      </c>
      <c r="L4" s="314">
        <f>V4</f>
        <v>0.83333333333333337</v>
      </c>
      <c r="M4" s="314">
        <f>V4</f>
        <v>0.83333333333333337</v>
      </c>
      <c r="N4" s="314">
        <f>W4</f>
        <v>0.83333333333333337</v>
      </c>
      <c r="O4" s="319">
        <v>1.5</v>
      </c>
      <c r="P4" s="319">
        <v>0.5</v>
      </c>
      <c r="Q4" s="314">
        <f t="shared" ref="Q4:T5" si="0">S4</f>
        <v>0.83333333333333337</v>
      </c>
      <c r="R4" s="314">
        <f t="shared" si="0"/>
        <v>0.83333333333333337</v>
      </c>
      <c r="S4" s="314">
        <f t="shared" si="0"/>
        <v>0.83333333333333337</v>
      </c>
      <c r="T4" s="314">
        <f t="shared" si="0"/>
        <v>0.83333333333333337</v>
      </c>
      <c r="U4" s="314">
        <f>V4</f>
        <v>0.83333333333333337</v>
      </c>
      <c r="V4" s="314">
        <f>W4</f>
        <v>0.83333333333333337</v>
      </c>
      <c r="W4" s="339">
        <f>Tech_Spec_Escoot!K82</f>
        <v>0.83333333333333337</v>
      </c>
      <c r="X4" s="339">
        <f>Tech_Spec_Escoot!$L$29</f>
        <v>1.9666666666666668</v>
      </c>
      <c r="Y4" s="339">
        <f>Tech_Spec_Escoot!$L$29</f>
        <v>1.9666666666666668</v>
      </c>
      <c r="Z4" s="339">
        <f>Tech_Spec_Escoot!$L$29</f>
        <v>1.9666666666666668</v>
      </c>
      <c r="AA4" s="339">
        <f>Tech_Spec_Escoot!$L$29</f>
        <v>1.9666666666666668</v>
      </c>
      <c r="AB4" s="339">
        <f>Tech_Spec_Escoot!$L$29</f>
        <v>1.9666666666666668</v>
      </c>
      <c r="AC4" s="339">
        <f>Tech_Spec_Escoot!$L$29</f>
        <v>1.9666666666666668</v>
      </c>
      <c r="AD4" s="339">
        <f>Tech_Spec_Escoot!$L$29</f>
        <v>1.9666666666666668</v>
      </c>
      <c r="AE4" s="339">
        <f>Tech_Spec_Escoot!$L$29</f>
        <v>1.9666666666666668</v>
      </c>
      <c r="AF4" s="340">
        <f>AVERAGE(Tech_Spec_Escoot!F29,Tech_Spec_Escoot!F29,Tech_Spec_Escoot!F29,Tech_Spec_Escoot!G29)</f>
        <v>0.875</v>
      </c>
      <c r="AG4" s="61">
        <f>Tech_Spec_Bikes!$C$36</f>
        <v>5.6</v>
      </c>
      <c r="AH4" s="77">
        <f>Tech_Spec_Bikes!$E$36</f>
        <v>5.6</v>
      </c>
      <c r="AI4" s="344">
        <f>ROUND(Tech_Spec_Bikes!$D$36,1)</f>
        <v>1.9</v>
      </c>
      <c r="AJ4" s="61">
        <f>AI4</f>
        <v>1.9</v>
      </c>
      <c r="AK4" s="171">
        <v>10</v>
      </c>
      <c r="AL4" s="171">
        <v>10</v>
      </c>
      <c r="AM4" s="345">
        <f>ROUND(AK4*AK5/AM5*Tech_Spec_Bikes!M36,1)</f>
        <v>3.7</v>
      </c>
      <c r="AN4" s="61">
        <f>AM4</f>
        <v>3.7</v>
      </c>
      <c r="AO4" s="168">
        <v>15</v>
      </c>
      <c r="AP4" s="77">
        <f>$AO$4</f>
        <v>15</v>
      </c>
      <c r="AQ4" s="77">
        <f>$AO$4</f>
        <v>15</v>
      </c>
      <c r="AR4" s="314">
        <f t="shared" ref="AR4:AW5" si="1">$AX4</f>
        <v>15</v>
      </c>
      <c r="AS4" s="314">
        <f t="shared" si="1"/>
        <v>15</v>
      </c>
      <c r="AT4" s="314">
        <f t="shared" si="1"/>
        <v>15</v>
      </c>
      <c r="AU4" s="314">
        <f t="shared" si="1"/>
        <v>15</v>
      </c>
      <c r="AV4" s="314">
        <f t="shared" si="1"/>
        <v>15</v>
      </c>
      <c r="AW4" s="314">
        <f>$AX4</f>
        <v>15</v>
      </c>
      <c r="AX4" s="77">
        <f>$AO$4</f>
        <v>15</v>
      </c>
      <c r="AY4" s="314">
        <f t="shared" ref="AY4:BA5" si="2">$BB4</f>
        <v>15</v>
      </c>
      <c r="AZ4" s="314">
        <f t="shared" si="2"/>
        <v>15</v>
      </c>
      <c r="BA4" s="314">
        <f t="shared" si="2"/>
        <v>15</v>
      </c>
      <c r="BB4" s="77">
        <f>$AO$4</f>
        <v>15</v>
      </c>
      <c r="BC4" s="314">
        <f t="shared" ref="BC4:BH5" si="3">$BI4</f>
        <v>7.0735718042434765</v>
      </c>
      <c r="BD4" s="314">
        <f t="shared" si="3"/>
        <v>7.0735718042434765</v>
      </c>
      <c r="BE4" s="314">
        <f t="shared" si="3"/>
        <v>7.0735718042434765</v>
      </c>
      <c r="BF4" s="314">
        <f t="shared" si="3"/>
        <v>7.0735718042434765</v>
      </c>
      <c r="BG4" s="314">
        <f t="shared" si="3"/>
        <v>7.0735718042434765</v>
      </c>
      <c r="BH4" s="314">
        <f t="shared" si="3"/>
        <v>7.0735718042434765</v>
      </c>
      <c r="BI4" s="332">
        <f>400000/(BI5*(BI20+BI6)/BI6)</f>
        <v>7.0735718042434765</v>
      </c>
      <c r="BJ4" s="77">
        <f>$BI$4</f>
        <v>7.0735718042434765</v>
      </c>
      <c r="BK4" s="77">
        <f>$BI$4</f>
        <v>7.0735718042434765</v>
      </c>
      <c r="BL4" s="314">
        <f t="shared" ref="BL4:BS5" si="4">$BT4</f>
        <v>7.0735718042434765</v>
      </c>
      <c r="BM4" s="314">
        <f t="shared" si="4"/>
        <v>7.0735718042434765</v>
      </c>
      <c r="BN4" s="314">
        <f t="shared" si="4"/>
        <v>7.0735718042434765</v>
      </c>
      <c r="BO4" s="314">
        <f t="shared" si="4"/>
        <v>7.0735718042434765</v>
      </c>
      <c r="BP4" s="314">
        <f t="shared" si="4"/>
        <v>7.0735718042434765</v>
      </c>
      <c r="BQ4" s="314">
        <f t="shared" si="4"/>
        <v>7.0735718042434765</v>
      </c>
      <c r="BR4" s="314">
        <f t="shared" si="4"/>
        <v>7.0735718042434765</v>
      </c>
      <c r="BS4" s="314">
        <f t="shared" si="4"/>
        <v>7.0735718042434765</v>
      </c>
      <c r="BT4" s="77">
        <f>$BI$4</f>
        <v>7.0735718042434765</v>
      </c>
      <c r="BU4" s="314">
        <f t="shared" ref="BU4:CB5" si="5">$CC4</f>
        <v>7.0735718042434765</v>
      </c>
      <c r="BV4" s="314">
        <f t="shared" si="5"/>
        <v>7.0735718042434765</v>
      </c>
      <c r="BW4" s="314">
        <f t="shared" si="5"/>
        <v>7.0735718042434765</v>
      </c>
      <c r="BX4" s="314">
        <f t="shared" si="5"/>
        <v>7.0735718042434765</v>
      </c>
      <c r="BY4" s="314">
        <f t="shared" si="5"/>
        <v>7.0735718042434765</v>
      </c>
      <c r="BZ4" s="314">
        <f t="shared" si="5"/>
        <v>7.0735718042434765</v>
      </c>
      <c r="CA4" s="314">
        <f t="shared" si="5"/>
        <v>7.0735718042434765</v>
      </c>
      <c r="CB4" s="314">
        <f t="shared" si="5"/>
        <v>7.0735718042434765</v>
      </c>
      <c r="CC4" s="77">
        <f>$BI$4</f>
        <v>7.0735718042434765</v>
      </c>
      <c r="CD4" s="314">
        <f t="shared" ref="CD4:CF5" si="6">$CG4</f>
        <v>7.0735718042434765</v>
      </c>
      <c r="CE4" s="314">
        <f t="shared" si="6"/>
        <v>7.0735718042434765</v>
      </c>
      <c r="CF4" s="314">
        <f t="shared" si="6"/>
        <v>7.0735718042434765</v>
      </c>
      <c r="CG4" s="77">
        <f>$BI$4</f>
        <v>7.0735718042434765</v>
      </c>
      <c r="CH4" s="77">
        <f t="shared" ref="CH4:CM4" si="7">$BI$4</f>
        <v>7.0735718042434765</v>
      </c>
      <c r="CI4" s="77">
        <f t="shared" si="7"/>
        <v>7.0735718042434765</v>
      </c>
      <c r="CJ4" s="77">
        <f t="shared" si="7"/>
        <v>7.0735718042434765</v>
      </c>
      <c r="CK4" s="77">
        <f t="shared" si="7"/>
        <v>7.0735718042434765</v>
      </c>
      <c r="CL4" s="77">
        <f t="shared" si="7"/>
        <v>7.0735718042434765</v>
      </c>
      <c r="CM4" s="77">
        <f t="shared" si="7"/>
        <v>7.0735718042434765</v>
      </c>
      <c r="CN4" s="77">
        <f>$AO$4</f>
        <v>15</v>
      </c>
      <c r="CO4" s="77">
        <f>$AO$4</f>
        <v>15</v>
      </c>
      <c r="CP4" s="77">
        <f>$AO$4</f>
        <v>15</v>
      </c>
      <c r="CQ4" s="77">
        <f>$AO$4</f>
        <v>15</v>
      </c>
      <c r="CR4" s="77">
        <f>$AO$4</f>
        <v>15</v>
      </c>
      <c r="CS4" s="77">
        <f t="shared" ref="CS4:CX4" si="8">$BI$4</f>
        <v>7.0735718042434765</v>
      </c>
      <c r="CT4" s="77">
        <f t="shared" si="8"/>
        <v>7.0735718042434765</v>
      </c>
      <c r="CU4" s="77">
        <f t="shared" si="8"/>
        <v>7.0735718042434765</v>
      </c>
      <c r="CV4" s="77">
        <f t="shared" si="8"/>
        <v>7.0735718042434765</v>
      </c>
      <c r="CW4" s="77">
        <f t="shared" si="8"/>
        <v>7.0735718042434765</v>
      </c>
      <c r="CX4" s="77">
        <f t="shared" si="8"/>
        <v>7.0735718042434765</v>
      </c>
      <c r="CY4" s="314">
        <f t="shared" ref="CY4:DD4" si="9">CS4</f>
        <v>7.0735718042434765</v>
      </c>
      <c r="CZ4" s="314">
        <f t="shared" si="9"/>
        <v>7.0735718042434765</v>
      </c>
      <c r="DA4" s="314">
        <f t="shared" si="9"/>
        <v>7.0735718042434765</v>
      </c>
      <c r="DB4" s="314">
        <f t="shared" si="9"/>
        <v>7.0735718042434765</v>
      </c>
      <c r="DC4" s="314">
        <f t="shared" si="9"/>
        <v>7.0735718042434765</v>
      </c>
      <c r="DD4" s="314">
        <f t="shared" si="9"/>
        <v>7.0735718042434765</v>
      </c>
      <c r="DE4" s="314">
        <f>CY4</f>
        <v>7.0735718042434765</v>
      </c>
      <c r="DF4" s="314">
        <f>CZ4</f>
        <v>7.0735718042434765</v>
      </c>
      <c r="DG4" s="314"/>
      <c r="DH4" s="314">
        <f>DB4</f>
        <v>7.0735718042434765</v>
      </c>
      <c r="DI4" s="314">
        <f>DC4</f>
        <v>7.0735718042434765</v>
      </c>
      <c r="DJ4" s="314">
        <f>DD4</f>
        <v>7.0735718042434765</v>
      </c>
      <c r="DK4" s="297">
        <f>$DQ4*0.75</f>
        <v>6.75</v>
      </c>
      <c r="DL4" s="297">
        <f>$DQ4*1.25</f>
        <v>11.25</v>
      </c>
      <c r="DM4" s="314">
        <f t="shared" ref="DM4:DP5" si="10">$DQ4</f>
        <v>9</v>
      </c>
      <c r="DN4" s="314">
        <f t="shared" si="10"/>
        <v>9</v>
      </c>
      <c r="DO4" s="314">
        <f t="shared" si="10"/>
        <v>9</v>
      </c>
      <c r="DP4" s="314">
        <f t="shared" si="10"/>
        <v>9</v>
      </c>
      <c r="DQ4" s="61">
        <f>Tech_Specs_Bus!$D$26</f>
        <v>9</v>
      </c>
      <c r="DR4" s="61">
        <f>Tech_Specs_Bus!$D$26</f>
        <v>9</v>
      </c>
      <c r="DS4" s="61">
        <f>Tech_Specs_Bus!$D$26</f>
        <v>9</v>
      </c>
      <c r="DT4" s="61">
        <f>Tech_Specs_Bus!$D$26</f>
        <v>9</v>
      </c>
      <c r="DU4" s="61">
        <f>Tech_Specs_Bus!$D$26</f>
        <v>9</v>
      </c>
      <c r="DV4" s="61">
        <f>Tech_Specs_Bus!$D$26</f>
        <v>9</v>
      </c>
      <c r="DW4" s="61">
        <f>Tech_Specs_Bus!$D$26</f>
        <v>9</v>
      </c>
      <c r="DX4" s="314">
        <f t="shared" ref="DX4:EC5" si="11">$ED4</f>
        <v>40</v>
      </c>
      <c r="DY4" s="314">
        <f t="shared" si="11"/>
        <v>40</v>
      </c>
      <c r="DZ4" s="314">
        <f t="shared" si="11"/>
        <v>40</v>
      </c>
      <c r="EA4" s="314">
        <f t="shared" si="11"/>
        <v>40</v>
      </c>
      <c r="EB4" s="314">
        <f t="shared" si="11"/>
        <v>40</v>
      </c>
      <c r="EC4" s="314">
        <f t="shared" si="11"/>
        <v>40</v>
      </c>
      <c r="ED4" s="61">
        <v>40</v>
      </c>
    </row>
    <row r="5" spans="1:137" x14ac:dyDescent="0.3">
      <c r="A5" s="21" t="str">
        <f>'3_Use'!A9</f>
        <v>Annual mileage (active km, including cruising and overheading)</v>
      </c>
      <c r="B5" s="21" t="s">
        <v>333</v>
      </c>
      <c r="D5" s="72">
        <f>ROUND(AVERAGE(Tech_Spec_Escoot!I34,Tech_Spec_Escoot!I39)*Tech_Spec_Escoot!F6*2*(365-52),-2)</f>
        <v>2200</v>
      </c>
      <c r="E5" s="320">
        <f>G5</f>
        <v>1450</v>
      </c>
      <c r="F5" s="320">
        <f>H5</f>
        <v>4350</v>
      </c>
      <c r="G5" s="320">
        <f>W5*0.5</f>
        <v>1450</v>
      </c>
      <c r="H5" s="320">
        <f>W5*1.5</f>
        <v>4350</v>
      </c>
      <c r="I5" s="91">
        <f>M5</f>
        <v>2900</v>
      </c>
      <c r="J5" s="91">
        <f>N5</f>
        <v>2900</v>
      </c>
      <c r="K5" s="91">
        <f>M5</f>
        <v>2900</v>
      </c>
      <c r="L5" s="91">
        <f>N5</f>
        <v>2900</v>
      </c>
      <c r="M5" s="91">
        <f>O5</f>
        <v>2900</v>
      </c>
      <c r="N5" s="91">
        <f>P5</f>
        <v>2900</v>
      </c>
      <c r="O5" s="91">
        <f>P5</f>
        <v>2900</v>
      </c>
      <c r="P5" s="91">
        <f>T5</f>
        <v>2900</v>
      </c>
      <c r="Q5" s="91">
        <f t="shared" si="0"/>
        <v>2900</v>
      </c>
      <c r="R5" s="91">
        <f t="shared" si="0"/>
        <v>2900</v>
      </c>
      <c r="S5" s="91">
        <f t="shared" si="0"/>
        <v>2900</v>
      </c>
      <c r="T5" s="91">
        <f t="shared" si="0"/>
        <v>2900</v>
      </c>
      <c r="U5" s="91">
        <f>V5</f>
        <v>2900</v>
      </c>
      <c r="V5" s="91">
        <f>W5</f>
        <v>2900</v>
      </c>
      <c r="W5" s="88">
        <f>ROUND(AVERAGE(Tech_Spec_Escoot!$E$45:$E$52)*365,-2)</f>
        <v>2900</v>
      </c>
      <c r="X5" s="320">
        <f>AC5*1.5</f>
        <v>4350</v>
      </c>
      <c r="Y5" s="88">
        <f>ROUND(AVERAGE(Tech_Spec_Escoot!$E$45:$E$52)*365,-2)</f>
        <v>2900</v>
      </c>
      <c r="Z5" s="88">
        <f>ROUND(AVERAGE(Tech_Spec_Escoot!$E$45:$E$52)*365,-2)</f>
        <v>2900</v>
      </c>
      <c r="AA5" s="320">
        <f>AE5*1.5</f>
        <v>4350</v>
      </c>
      <c r="AB5" s="88">
        <f>ROUND(AVERAGE(Tech_Spec_Escoot!$E$45:$E$52)*365,-2)</f>
        <v>2900</v>
      </c>
      <c r="AC5" s="88">
        <f>ROUND(AVERAGE(Tech_Spec_Escoot!$E$45:$E$52)*365,-2)</f>
        <v>2900</v>
      </c>
      <c r="AD5" s="88">
        <f>ROUND(AVERAGE(Tech_Spec_Escoot!$E$45:$E$52)*365,-2)</f>
        <v>2900</v>
      </c>
      <c r="AE5" s="88">
        <f>ROUND(AVERAGE(Tech_Spec_Escoot!$E$45:$E$52)*365,-2)</f>
        <v>2900</v>
      </c>
      <c r="AF5" s="311">
        <f>ROUND(Tech_Spec_Escoot!C35*Tech_Spec_Escoot!F6*365,-2)</f>
        <v>3700</v>
      </c>
      <c r="AG5" s="72">
        <f>Tech_Spec_Bikes!C37*365</f>
        <v>2400</v>
      </c>
      <c r="AH5" s="72">
        <f>ROUND(Tech_Spec_Bikes!E37*365,-2)</f>
        <v>2400</v>
      </c>
      <c r="AI5" s="72">
        <f>ROUND(Tech_Spec_Bikes!D37*365,-2)</f>
        <v>2900</v>
      </c>
      <c r="AJ5" s="72">
        <f>ROUND(Tech_Spec_Bikes!F37*365,-2)</f>
        <v>2900</v>
      </c>
      <c r="AK5" s="72">
        <f>ROUND(18.5*1*5.5*48,-2)</f>
        <v>4900</v>
      </c>
      <c r="AL5" s="72">
        <f>AK5</f>
        <v>4900</v>
      </c>
      <c r="AM5" s="72">
        <f>ROUND(Tech_Specs_2W!B61,-2)</f>
        <v>5300</v>
      </c>
      <c r="AN5" s="72">
        <f>AM5</f>
        <v>5300</v>
      </c>
      <c r="AO5" s="72">
        <f>ROUND(20*1.5*5*50+50*52+4*500,-2)</f>
        <v>12100</v>
      </c>
      <c r="AP5" s="72">
        <f>ROUND(20*1.5*5*50+50*52+4*500,-2)</f>
        <v>12100</v>
      </c>
      <c r="AQ5" s="72">
        <f>ROUND(20*1.5*5*50+50*52+4*500,-2)</f>
        <v>12100</v>
      </c>
      <c r="AR5" s="91">
        <f t="shared" si="1"/>
        <v>12100</v>
      </c>
      <c r="AS5" s="91">
        <f t="shared" si="1"/>
        <v>12100</v>
      </c>
      <c r="AT5" s="91">
        <f t="shared" si="1"/>
        <v>12100</v>
      </c>
      <c r="AU5" s="91">
        <f t="shared" si="1"/>
        <v>12100</v>
      </c>
      <c r="AV5" s="91">
        <f t="shared" si="1"/>
        <v>12100</v>
      </c>
      <c r="AW5" s="91">
        <f t="shared" si="1"/>
        <v>12100</v>
      </c>
      <c r="AX5" s="72">
        <f>ROUND(20*1.5*5*50+50*52+4*500,-2)</f>
        <v>12100</v>
      </c>
      <c r="AY5" s="91">
        <f t="shared" si="2"/>
        <v>12100</v>
      </c>
      <c r="AZ5" s="91">
        <f t="shared" si="2"/>
        <v>12100</v>
      </c>
      <c r="BA5" s="91">
        <f t="shared" si="2"/>
        <v>12100</v>
      </c>
      <c r="BB5" s="72">
        <f>ROUND(20*1.5*5*50+50*52+4*500,-2)</f>
        <v>12100</v>
      </c>
      <c r="BC5" s="91">
        <f t="shared" si="3"/>
        <v>48000</v>
      </c>
      <c r="BD5" s="91">
        <f t="shared" si="3"/>
        <v>48000</v>
      </c>
      <c r="BE5" s="91">
        <f t="shared" si="3"/>
        <v>48000</v>
      </c>
      <c r="BF5" s="91">
        <f t="shared" si="3"/>
        <v>48000</v>
      </c>
      <c r="BG5" s="91">
        <f t="shared" si="3"/>
        <v>48000</v>
      </c>
      <c r="BH5" s="91">
        <f t="shared" si="3"/>
        <v>48000</v>
      </c>
      <c r="BI5" s="72">
        <f>20*8*6*50</f>
        <v>48000</v>
      </c>
      <c r="BJ5" s="72">
        <f>20*8*6*50</f>
        <v>48000</v>
      </c>
      <c r="BK5" s="72">
        <f>20*8*6*50</f>
        <v>48000</v>
      </c>
      <c r="BL5" s="91">
        <f t="shared" si="4"/>
        <v>48000</v>
      </c>
      <c r="BM5" s="91">
        <f t="shared" si="4"/>
        <v>48000</v>
      </c>
      <c r="BN5" s="91">
        <f t="shared" si="4"/>
        <v>48000</v>
      </c>
      <c r="BO5" s="91">
        <f t="shared" si="4"/>
        <v>48000</v>
      </c>
      <c r="BP5" s="91">
        <f t="shared" si="4"/>
        <v>48000</v>
      </c>
      <c r="BQ5" s="91">
        <f t="shared" si="4"/>
        <v>48000</v>
      </c>
      <c r="BR5" s="91">
        <f t="shared" si="4"/>
        <v>48000</v>
      </c>
      <c r="BS5" s="91">
        <f t="shared" si="4"/>
        <v>48000</v>
      </c>
      <c r="BT5" s="72">
        <f>20*8*6*50</f>
        <v>48000</v>
      </c>
      <c r="BU5" s="91">
        <f t="shared" si="5"/>
        <v>48000</v>
      </c>
      <c r="BV5" s="91">
        <f t="shared" si="5"/>
        <v>48000</v>
      </c>
      <c r="BW5" s="91">
        <f t="shared" si="5"/>
        <v>48000</v>
      </c>
      <c r="BX5" s="91">
        <f t="shared" si="5"/>
        <v>48000</v>
      </c>
      <c r="BY5" s="91">
        <f t="shared" si="5"/>
        <v>48000</v>
      </c>
      <c r="BZ5" s="91">
        <f t="shared" si="5"/>
        <v>48000</v>
      </c>
      <c r="CA5" s="91">
        <f t="shared" si="5"/>
        <v>48000</v>
      </c>
      <c r="CB5" s="91">
        <f t="shared" si="5"/>
        <v>48000</v>
      </c>
      <c r="CC5" s="72">
        <f>20*8*6*50</f>
        <v>48000</v>
      </c>
      <c r="CD5" s="91">
        <f t="shared" si="6"/>
        <v>48000</v>
      </c>
      <c r="CE5" s="91">
        <f t="shared" si="6"/>
        <v>48000</v>
      </c>
      <c r="CF5" s="91">
        <f t="shared" si="6"/>
        <v>48000</v>
      </c>
      <c r="CG5" s="72">
        <f>20*8*6*50</f>
        <v>48000</v>
      </c>
      <c r="CH5" s="72">
        <f t="shared" ref="CH5:CM5" si="12">20*8*6*50</f>
        <v>48000</v>
      </c>
      <c r="CI5" s="72">
        <f t="shared" si="12"/>
        <v>48000</v>
      </c>
      <c r="CJ5" s="72">
        <f t="shared" si="12"/>
        <v>48000</v>
      </c>
      <c r="CK5" s="72">
        <f t="shared" si="12"/>
        <v>48000</v>
      </c>
      <c r="CL5" s="72">
        <f t="shared" si="12"/>
        <v>48000</v>
      </c>
      <c r="CM5" s="72">
        <f t="shared" si="12"/>
        <v>48000</v>
      </c>
      <c r="CN5" s="72">
        <f>ROUND(20*1.5*5*50+50*52+4*500,-2)</f>
        <v>12100</v>
      </c>
      <c r="CO5" s="72">
        <f>ROUND(20*1.5*5*50+50*52+4*500,-2)</f>
        <v>12100</v>
      </c>
      <c r="CP5" s="72">
        <f>ROUND(20*1.5*5*50+50*52+4*500,-2)</f>
        <v>12100</v>
      </c>
      <c r="CQ5" s="72">
        <f>ROUND(20*1.5*5*50+50*52+4*500,-2)</f>
        <v>12100</v>
      </c>
      <c r="CR5" s="72">
        <f>ROUND(20*1.5*5*50+50*52+4*500,-2)</f>
        <v>12100</v>
      </c>
      <c r="CS5" s="72">
        <f t="shared" ref="CS5:DJ5" si="13">20*8*6*50</f>
        <v>48000</v>
      </c>
      <c r="CT5" s="72">
        <f t="shared" si="13"/>
        <v>48000</v>
      </c>
      <c r="CU5" s="72">
        <f t="shared" si="13"/>
        <v>48000</v>
      </c>
      <c r="CV5" s="72">
        <f t="shared" si="13"/>
        <v>48000</v>
      </c>
      <c r="CW5" s="72">
        <f t="shared" si="13"/>
        <v>48000</v>
      </c>
      <c r="CX5" s="72">
        <f t="shared" si="13"/>
        <v>48000</v>
      </c>
      <c r="CY5" s="72">
        <f t="shared" si="13"/>
        <v>48000</v>
      </c>
      <c r="CZ5" s="72">
        <f t="shared" si="13"/>
        <v>48000</v>
      </c>
      <c r="DA5" s="72">
        <f t="shared" si="13"/>
        <v>48000</v>
      </c>
      <c r="DB5" s="72">
        <f t="shared" si="13"/>
        <v>48000</v>
      </c>
      <c r="DC5" s="72">
        <f t="shared" si="13"/>
        <v>48000</v>
      </c>
      <c r="DD5" s="72">
        <f t="shared" si="13"/>
        <v>48000</v>
      </c>
      <c r="DE5" s="72">
        <f t="shared" si="13"/>
        <v>48000</v>
      </c>
      <c r="DF5" s="72">
        <f t="shared" si="13"/>
        <v>48000</v>
      </c>
      <c r="DG5" s="72"/>
      <c r="DH5" s="72">
        <f t="shared" si="13"/>
        <v>48000</v>
      </c>
      <c r="DI5" s="72">
        <f t="shared" si="13"/>
        <v>48000</v>
      </c>
      <c r="DJ5" s="72">
        <f t="shared" si="13"/>
        <v>48000</v>
      </c>
      <c r="DK5" s="91">
        <f>$DQ5</f>
        <v>44000</v>
      </c>
      <c r="DL5" s="91">
        <f>$DQ5</f>
        <v>44000</v>
      </c>
      <c r="DM5" s="91">
        <f t="shared" si="10"/>
        <v>44000</v>
      </c>
      <c r="DN5" s="91">
        <f t="shared" si="10"/>
        <v>44000</v>
      </c>
      <c r="DO5" s="91">
        <f t="shared" si="10"/>
        <v>44000</v>
      </c>
      <c r="DP5" s="91">
        <f t="shared" si="10"/>
        <v>44000</v>
      </c>
      <c r="DQ5" s="72">
        <f t="shared" ref="DQ5:DW5" si="14">ROUND(18.5*8*6*50,-3)</f>
        <v>44000</v>
      </c>
      <c r="DR5" s="72">
        <f t="shared" si="14"/>
        <v>44000</v>
      </c>
      <c r="DS5" s="72">
        <f t="shared" si="14"/>
        <v>44000</v>
      </c>
      <c r="DT5" s="72">
        <f t="shared" si="14"/>
        <v>44000</v>
      </c>
      <c r="DU5" s="72">
        <f t="shared" si="14"/>
        <v>44000</v>
      </c>
      <c r="DV5" s="72">
        <f t="shared" si="14"/>
        <v>44000</v>
      </c>
      <c r="DW5" s="72">
        <f t="shared" si="14"/>
        <v>44000</v>
      </c>
      <c r="DX5" s="91">
        <f t="shared" si="11"/>
        <v>66000</v>
      </c>
      <c r="DY5" s="91">
        <f t="shared" si="11"/>
        <v>66000</v>
      </c>
      <c r="DZ5" s="91">
        <f t="shared" si="11"/>
        <v>66000</v>
      </c>
      <c r="EA5" s="91">
        <f t="shared" si="11"/>
        <v>66000</v>
      </c>
      <c r="EB5" s="91">
        <f t="shared" si="11"/>
        <v>66000</v>
      </c>
      <c r="EC5" s="91">
        <f t="shared" si="11"/>
        <v>66000</v>
      </c>
      <c r="ED5" s="72">
        <f>ROUND(27.5*8*6*50,-3)</f>
        <v>66000</v>
      </c>
    </row>
    <row r="6" spans="1:137" x14ac:dyDescent="0.3">
      <c r="A6" s="21" t="str">
        <f>'3_Use'!A11</f>
        <v>Daily mileage</v>
      </c>
      <c r="B6" s="21" t="str">
        <f>'3_Use'!B11</f>
        <v>[km/day]</v>
      </c>
      <c r="C6" s="21" t="s">
        <v>694</v>
      </c>
      <c r="D6" s="21">
        <f>D5/365</f>
        <v>6.0273972602739727</v>
      </c>
      <c r="E6" s="21">
        <f>E5/365</f>
        <v>3.9726027397260273</v>
      </c>
      <c r="F6" s="21">
        <f>F5/365</f>
        <v>11.917808219178083</v>
      </c>
      <c r="G6" s="21">
        <f t="shared" ref="G6:V6" si="15">G5/365</f>
        <v>3.9726027397260273</v>
      </c>
      <c r="H6" s="21">
        <f t="shared" si="15"/>
        <v>11.917808219178083</v>
      </c>
      <c r="I6" s="21">
        <f t="shared" ref="I6" si="16">I5/365</f>
        <v>7.9452054794520546</v>
      </c>
      <c r="J6" s="21">
        <f t="shared" si="15"/>
        <v>7.9452054794520546</v>
      </c>
      <c r="K6" s="21">
        <f t="shared" si="15"/>
        <v>7.9452054794520546</v>
      </c>
      <c r="L6" s="21">
        <f t="shared" si="15"/>
        <v>7.9452054794520546</v>
      </c>
      <c r="M6" s="21">
        <f t="shared" si="15"/>
        <v>7.9452054794520546</v>
      </c>
      <c r="N6" s="21">
        <f t="shared" si="15"/>
        <v>7.9452054794520546</v>
      </c>
      <c r="O6" s="21">
        <f t="shared" si="15"/>
        <v>7.9452054794520546</v>
      </c>
      <c r="P6" s="21">
        <f t="shared" si="15"/>
        <v>7.9452054794520546</v>
      </c>
      <c r="Q6" s="21">
        <f>Q5/365</f>
        <v>7.9452054794520546</v>
      </c>
      <c r="R6" s="21">
        <f>R5/365</f>
        <v>7.9452054794520546</v>
      </c>
      <c r="S6" s="21">
        <f t="shared" si="15"/>
        <v>7.9452054794520546</v>
      </c>
      <c r="T6" s="21">
        <f t="shared" si="15"/>
        <v>7.9452054794520546</v>
      </c>
      <c r="U6" s="21">
        <f t="shared" si="15"/>
        <v>7.9452054794520546</v>
      </c>
      <c r="V6" s="21">
        <f t="shared" si="15"/>
        <v>7.9452054794520546</v>
      </c>
      <c r="W6" s="21">
        <f t="shared" ref="W6:AQ6" si="17">W5/365</f>
        <v>7.9452054794520546</v>
      </c>
      <c r="X6" s="21">
        <f t="shared" ref="X6:Y6" si="18">X5/365</f>
        <v>11.917808219178083</v>
      </c>
      <c r="Y6" s="21">
        <f t="shared" si="18"/>
        <v>7.9452054794520546</v>
      </c>
      <c r="Z6" s="21">
        <f t="shared" si="17"/>
        <v>7.9452054794520546</v>
      </c>
      <c r="AA6" s="21">
        <f t="shared" ref="AA6" si="19">AA5/365</f>
        <v>11.917808219178083</v>
      </c>
      <c r="AB6" s="21">
        <f t="shared" ref="AB6:AC6" si="20">AB5/365</f>
        <v>7.9452054794520546</v>
      </c>
      <c r="AC6" s="21">
        <f t="shared" si="20"/>
        <v>7.9452054794520546</v>
      </c>
      <c r="AD6" s="21">
        <f t="shared" ref="AD6" si="21">AD5/365</f>
        <v>7.9452054794520546</v>
      </c>
      <c r="AE6" s="21">
        <f t="shared" ref="AE6" si="22">AE5/365</f>
        <v>7.9452054794520546</v>
      </c>
      <c r="AF6" s="21">
        <f t="shared" si="17"/>
        <v>10.136986301369863</v>
      </c>
      <c r="AG6" s="21">
        <f t="shared" si="17"/>
        <v>6.5753424657534243</v>
      </c>
      <c r="AH6" s="21">
        <f t="shared" si="17"/>
        <v>6.5753424657534243</v>
      </c>
      <c r="AI6" s="21">
        <f t="shared" si="17"/>
        <v>7.9452054794520546</v>
      </c>
      <c r="AJ6" s="21">
        <f t="shared" si="17"/>
        <v>7.9452054794520546</v>
      </c>
      <c r="AK6" s="21">
        <f t="shared" si="17"/>
        <v>13.424657534246576</v>
      </c>
      <c r="AL6" s="21">
        <f t="shared" si="17"/>
        <v>13.424657534246576</v>
      </c>
      <c r="AM6" s="21">
        <f t="shared" si="17"/>
        <v>14.520547945205479</v>
      </c>
      <c r="AN6" s="21">
        <f t="shared" si="17"/>
        <v>14.520547945205479</v>
      </c>
      <c r="AO6" s="21">
        <f t="shared" si="17"/>
        <v>33.150684931506852</v>
      </c>
      <c r="AP6" s="21">
        <f t="shared" si="17"/>
        <v>33.150684931506852</v>
      </c>
      <c r="AQ6" s="21">
        <f t="shared" si="17"/>
        <v>33.150684931506852</v>
      </c>
      <c r="AR6" s="21">
        <f t="shared" ref="AR6:AW6" si="23">AR5/365</f>
        <v>33.150684931506852</v>
      </c>
      <c r="AS6" s="21">
        <f t="shared" si="23"/>
        <v>33.150684931506852</v>
      </c>
      <c r="AT6" s="21">
        <f t="shared" si="23"/>
        <v>33.150684931506852</v>
      </c>
      <c r="AU6" s="21">
        <f t="shared" si="23"/>
        <v>33.150684931506852</v>
      </c>
      <c r="AV6" s="21">
        <f t="shared" si="23"/>
        <v>33.150684931506852</v>
      </c>
      <c r="AW6" s="21">
        <f t="shared" si="23"/>
        <v>33.150684931506852</v>
      </c>
      <c r="AX6" s="21">
        <f>AX5/365</f>
        <v>33.150684931506852</v>
      </c>
      <c r="AY6" s="21">
        <f>AY5/365</f>
        <v>33.150684931506852</v>
      </c>
      <c r="AZ6" s="21">
        <f>AZ5/365</f>
        <v>33.150684931506852</v>
      </c>
      <c r="BA6" s="21">
        <f>BA5/365</f>
        <v>33.150684931506852</v>
      </c>
      <c r="BB6" s="21">
        <f>BB5/365</f>
        <v>33.150684931506852</v>
      </c>
      <c r="BC6" s="21">
        <f t="shared" ref="BC6:BH6" si="24">BC5/365</f>
        <v>131.50684931506851</v>
      </c>
      <c r="BD6" s="21">
        <f t="shared" si="24"/>
        <v>131.50684931506851</v>
      </c>
      <c r="BE6" s="21">
        <f t="shared" si="24"/>
        <v>131.50684931506851</v>
      </c>
      <c r="BF6" s="21">
        <f t="shared" si="24"/>
        <v>131.50684931506851</v>
      </c>
      <c r="BG6" s="21">
        <f t="shared" si="24"/>
        <v>131.50684931506851</v>
      </c>
      <c r="BH6" s="21">
        <f t="shared" si="24"/>
        <v>131.50684931506851</v>
      </c>
      <c r="BI6" s="21">
        <f t="shared" ref="BI6:CN6" si="25">BI5/365</f>
        <v>131.50684931506851</v>
      </c>
      <c r="BJ6" s="21">
        <f t="shared" si="25"/>
        <v>131.50684931506851</v>
      </c>
      <c r="BK6" s="21">
        <f t="shared" si="25"/>
        <v>131.50684931506851</v>
      </c>
      <c r="BL6" s="21">
        <f t="shared" si="25"/>
        <v>131.50684931506851</v>
      </c>
      <c r="BM6" s="21">
        <f t="shared" si="25"/>
        <v>131.50684931506851</v>
      </c>
      <c r="BN6" s="21">
        <f t="shared" si="25"/>
        <v>131.50684931506851</v>
      </c>
      <c r="BO6" s="21">
        <f t="shared" si="25"/>
        <v>131.50684931506851</v>
      </c>
      <c r="BP6" s="21">
        <f t="shared" si="25"/>
        <v>131.50684931506851</v>
      </c>
      <c r="BQ6" s="21">
        <f t="shared" si="25"/>
        <v>131.50684931506851</v>
      </c>
      <c r="BR6" s="21">
        <f t="shared" si="25"/>
        <v>131.50684931506851</v>
      </c>
      <c r="BS6" s="21">
        <f t="shared" si="25"/>
        <v>131.50684931506851</v>
      </c>
      <c r="BT6" s="21">
        <f t="shared" si="25"/>
        <v>131.50684931506851</v>
      </c>
      <c r="BU6" s="21">
        <f t="shared" si="25"/>
        <v>131.50684931506851</v>
      </c>
      <c r="BV6" s="21">
        <f t="shared" si="25"/>
        <v>131.50684931506851</v>
      </c>
      <c r="BW6" s="21">
        <f t="shared" si="25"/>
        <v>131.50684931506851</v>
      </c>
      <c r="BX6" s="21">
        <f t="shared" si="25"/>
        <v>131.50684931506851</v>
      </c>
      <c r="BY6" s="21">
        <f t="shared" si="25"/>
        <v>131.50684931506851</v>
      </c>
      <c r="BZ6" s="21">
        <f t="shared" si="25"/>
        <v>131.50684931506851</v>
      </c>
      <c r="CA6" s="21">
        <f t="shared" si="25"/>
        <v>131.50684931506851</v>
      </c>
      <c r="CB6" s="21">
        <f t="shared" si="25"/>
        <v>131.50684931506851</v>
      </c>
      <c r="CC6" s="21">
        <f t="shared" si="25"/>
        <v>131.50684931506851</v>
      </c>
      <c r="CD6" s="21">
        <f t="shared" si="25"/>
        <v>131.50684931506851</v>
      </c>
      <c r="CE6" s="21">
        <f t="shared" si="25"/>
        <v>131.50684931506851</v>
      </c>
      <c r="CF6" s="21">
        <f t="shared" si="25"/>
        <v>131.50684931506851</v>
      </c>
      <c r="CG6" s="21">
        <f t="shared" si="25"/>
        <v>131.50684931506851</v>
      </c>
      <c r="CH6" s="21">
        <f t="shared" si="25"/>
        <v>131.50684931506851</v>
      </c>
      <c r="CI6" s="21">
        <f t="shared" si="25"/>
        <v>131.50684931506851</v>
      </c>
      <c r="CJ6" s="21">
        <f t="shared" si="25"/>
        <v>131.50684931506851</v>
      </c>
      <c r="CK6" s="21">
        <f t="shared" si="25"/>
        <v>131.50684931506851</v>
      </c>
      <c r="CL6" s="21">
        <f t="shared" si="25"/>
        <v>131.50684931506851</v>
      </c>
      <c r="CM6" s="21">
        <f t="shared" si="25"/>
        <v>131.50684931506851</v>
      </c>
      <c r="CN6" s="21">
        <f t="shared" si="25"/>
        <v>33.150684931506852</v>
      </c>
      <c r="CO6" s="21">
        <f t="shared" ref="CO6:DF6" si="26">CO5/365</f>
        <v>33.150684931506852</v>
      </c>
      <c r="CP6" s="21">
        <f t="shared" si="26"/>
        <v>33.150684931506852</v>
      </c>
      <c r="CQ6" s="21">
        <f t="shared" si="26"/>
        <v>33.150684931506852</v>
      </c>
      <c r="CR6" s="21">
        <f t="shared" si="26"/>
        <v>33.150684931506852</v>
      </c>
      <c r="CS6" s="21">
        <f t="shared" si="26"/>
        <v>131.50684931506851</v>
      </c>
      <c r="CT6" s="21">
        <f t="shared" si="26"/>
        <v>131.50684931506851</v>
      </c>
      <c r="CU6" s="21">
        <f t="shared" si="26"/>
        <v>131.50684931506851</v>
      </c>
      <c r="CV6" s="21">
        <f t="shared" si="26"/>
        <v>131.50684931506851</v>
      </c>
      <c r="CW6" s="21">
        <f t="shared" si="26"/>
        <v>131.50684931506851</v>
      </c>
      <c r="CX6" s="21">
        <f t="shared" si="26"/>
        <v>131.50684931506851</v>
      </c>
      <c r="CY6" s="21">
        <f t="shared" si="26"/>
        <v>131.50684931506851</v>
      </c>
      <c r="CZ6" s="21">
        <f t="shared" si="26"/>
        <v>131.50684931506851</v>
      </c>
      <c r="DA6" s="21">
        <f t="shared" si="26"/>
        <v>131.50684931506851</v>
      </c>
      <c r="DB6" s="21">
        <f t="shared" si="26"/>
        <v>131.50684931506851</v>
      </c>
      <c r="DC6" s="21">
        <f t="shared" si="26"/>
        <v>131.50684931506851</v>
      </c>
      <c r="DD6" s="21">
        <f t="shared" si="26"/>
        <v>131.50684931506851</v>
      </c>
      <c r="DE6" s="21">
        <f t="shared" si="26"/>
        <v>131.50684931506851</v>
      </c>
      <c r="DF6" s="21">
        <f t="shared" si="26"/>
        <v>131.50684931506851</v>
      </c>
      <c r="DH6" s="21">
        <f>DH5/365</f>
        <v>131.50684931506851</v>
      </c>
      <c r="DI6" s="21">
        <f>DI5/365</f>
        <v>131.50684931506851</v>
      </c>
      <c r="DJ6" s="21">
        <f>DJ5/365</f>
        <v>131.50684931506851</v>
      </c>
      <c r="DK6" s="21">
        <f t="shared" ref="DK6:DP6" si="27">DK5/365</f>
        <v>120.54794520547945</v>
      </c>
      <c r="DL6" s="21">
        <f t="shared" si="27"/>
        <v>120.54794520547945</v>
      </c>
      <c r="DM6" s="21">
        <f>DM5/365</f>
        <v>120.54794520547945</v>
      </c>
      <c r="DN6" s="21">
        <f t="shared" si="27"/>
        <v>120.54794520547945</v>
      </c>
      <c r="DO6" s="21">
        <f t="shared" si="27"/>
        <v>120.54794520547945</v>
      </c>
      <c r="DP6" s="21">
        <f t="shared" si="27"/>
        <v>120.54794520547945</v>
      </c>
      <c r="DQ6" s="21">
        <f t="shared" ref="DQ6:DW6" si="28">DQ5/365</f>
        <v>120.54794520547945</v>
      </c>
      <c r="DR6" s="21">
        <f t="shared" si="28"/>
        <v>120.54794520547945</v>
      </c>
      <c r="DS6" s="21">
        <f t="shared" si="28"/>
        <v>120.54794520547945</v>
      </c>
      <c r="DT6" s="21">
        <f t="shared" si="28"/>
        <v>120.54794520547945</v>
      </c>
      <c r="DU6" s="21">
        <f t="shared" si="28"/>
        <v>120.54794520547945</v>
      </c>
      <c r="DV6" s="21">
        <f t="shared" si="28"/>
        <v>120.54794520547945</v>
      </c>
      <c r="DW6" s="21">
        <f t="shared" si="28"/>
        <v>120.54794520547945</v>
      </c>
      <c r="DX6" s="21">
        <f t="shared" ref="DX6:EC6" si="29">DX5/365</f>
        <v>180.82191780821918</v>
      </c>
      <c r="DY6" s="21">
        <f t="shared" si="29"/>
        <v>180.82191780821918</v>
      </c>
      <c r="DZ6" s="21">
        <f t="shared" si="29"/>
        <v>180.82191780821918</v>
      </c>
      <c r="EA6" s="21">
        <f t="shared" si="29"/>
        <v>180.82191780821918</v>
      </c>
      <c r="EB6" s="21">
        <f t="shared" si="29"/>
        <v>180.82191780821918</v>
      </c>
      <c r="EC6" s="21">
        <f t="shared" si="29"/>
        <v>180.82191780821918</v>
      </c>
      <c r="ED6" s="21">
        <f>ED5/365</f>
        <v>180.82191780821918</v>
      </c>
    </row>
    <row r="7" spans="1:137" x14ac:dyDescent="0.3">
      <c r="A7" s="21" t="str">
        <f>'4_Operational_Services'!A6</f>
        <v>Lifetime mileage (use phase, including cruising and overheading for ride sourcing)</v>
      </c>
      <c r="B7" s="21" t="str">
        <f>'4_Operational_Services'!B6</f>
        <v>[km/vehicle]</v>
      </c>
      <c r="C7" s="21" t="s">
        <v>694</v>
      </c>
      <c r="D7" s="21">
        <f>'4_Operational_Services'!D6</f>
        <v>6600</v>
      </c>
      <c r="E7" s="45">
        <f>'4_Operational_Services'!E6</f>
        <v>725</v>
      </c>
      <c r="F7" s="21">
        <f>'4_Operational_Services'!F6</f>
        <v>6525</v>
      </c>
      <c r="G7" s="21">
        <f>'4_Operational_Services'!G6</f>
        <v>1208.3333333333335</v>
      </c>
      <c r="H7" s="21">
        <f>'4_Operational_Services'!H6</f>
        <v>3625</v>
      </c>
      <c r="I7" s="21">
        <f>'4_Operational_Services'!I6</f>
        <v>2416.666666666667</v>
      </c>
      <c r="J7" s="21">
        <f>'4_Operational_Services'!J6</f>
        <v>2416.666666666667</v>
      </c>
      <c r="K7" s="21">
        <f>'4_Operational_Services'!J6</f>
        <v>2416.666666666667</v>
      </c>
      <c r="L7" s="21">
        <f>'4_Operational_Services'!L6</f>
        <v>2416.666666666667</v>
      </c>
      <c r="M7" s="21">
        <f>'4_Operational_Services'!M6</f>
        <v>2416.666666666667</v>
      </c>
      <c r="N7" s="21">
        <f>'4_Operational_Services'!N6</f>
        <v>2416.666666666667</v>
      </c>
      <c r="O7" s="21">
        <f>'4_Operational_Services'!O6</f>
        <v>4350</v>
      </c>
      <c r="P7" s="21">
        <f>'4_Operational_Services'!P6</f>
        <v>1450</v>
      </c>
      <c r="Q7" s="21">
        <f>'4_Operational_Services'!Q6</f>
        <v>2416.666666666667</v>
      </c>
      <c r="R7" s="21">
        <f>'4_Operational_Services'!R6</f>
        <v>2416.666666666667</v>
      </c>
      <c r="S7" s="21">
        <f>'4_Operational_Services'!S6</f>
        <v>2416.666666666667</v>
      </c>
      <c r="T7" s="21">
        <f>'4_Operational_Services'!T6</f>
        <v>2416.666666666667</v>
      </c>
      <c r="U7" s="21">
        <f>'4_Operational_Services'!U6</f>
        <v>2416.666666666667</v>
      </c>
      <c r="V7" s="21">
        <f>'4_Operational_Services'!V6</f>
        <v>2416.666666666667</v>
      </c>
      <c r="W7" s="21">
        <f>'4_Operational_Services'!W6</f>
        <v>2416.666666666667</v>
      </c>
      <c r="X7" s="45">
        <f>'4_Operational_Services'!X6</f>
        <v>8555</v>
      </c>
      <c r="Y7" s="21">
        <f>'4_Operational_Services'!Y6</f>
        <v>5703.3333333333339</v>
      </c>
      <c r="Z7" s="45">
        <f>'4_Operational_Services'!Z6</f>
        <v>5703.3333333333339</v>
      </c>
      <c r="AA7" s="45">
        <f>'4_Operational_Services'!AA6</f>
        <v>8555</v>
      </c>
      <c r="AB7" s="45">
        <f>'4_Operational_Services'!AB6</f>
        <v>5703.3333333333339</v>
      </c>
      <c r="AC7" s="45">
        <f>'4_Operational_Services'!AC6</f>
        <v>5703.3333333333339</v>
      </c>
      <c r="AD7" s="45">
        <f>'4_Operational_Services'!AD6</f>
        <v>5703.3333333333339</v>
      </c>
      <c r="AE7" s="21">
        <f>'4_Operational_Services'!AE6</f>
        <v>5703.3333333333339</v>
      </c>
      <c r="AF7" s="21">
        <f>'4_Operational_Services'!AF6</f>
        <v>3237.5</v>
      </c>
      <c r="AG7" s="21">
        <f>'4_Operational_Services'!AG6</f>
        <v>13440</v>
      </c>
      <c r="AH7" s="21">
        <f>'4_Operational_Services'!AH6</f>
        <v>13440</v>
      </c>
      <c r="AI7" s="21">
        <f>'4_Operational_Services'!AI6</f>
        <v>5510</v>
      </c>
      <c r="AJ7" s="21">
        <f>'4_Operational_Services'!AJ6</f>
        <v>5510</v>
      </c>
      <c r="AK7" s="21">
        <f>'4_Operational_Services'!AK6</f>
        <v>49000</v>
      </c>
      <c r="AL7" s="21">
        <f>'4_Operational_Services'!AL6</f>
        <v>49000</v>
      </c>
      <c r="AM7" s="21">
        <f>'4_Operational_Services'!AM6</f>
        <v>19610</v>
      </c>
      <c r="AN7" s="21">
        <f>'4_Operational_Services'!AN6</f>
        <v>19610</v>
      </c>
      <c r="AO7" s="21">
        <f>'4_Operational_Services'!AO6</f>
        <v>181500</v>
      </c>
      <c r="AP7" s="21">
        <f>'4_Operational_Services'!AP6</f>
        <v>181500</v>
      </c>
      <c r="AQ7" s="21">
        <f>'4_Operational_Services'!AQ6</f>
        <v>181500</v>
      </c>
      <c r="AR7" s="21">
        <f>'4_Operational_Services'!AR6</f>
        <v>181500</v>
      </c>
      <c r="AS7" s="21">
        <f>'4_Operational_Services'!AS6</f>
        <v>181500</v>
      </c>
      <c r="AT7" s="21">
        <f>'4_Operational_Services'!AT6</f>
        <v>181500</v>
      </c>
      <c r="AU7" s="21">
        <f>'4_Operational_Services'!AU6</f>
        <v>181500</v>
      </c>
      <c r="AV7" s="21">
        <f>'4_Operational_Services'!AV6</f>
        <v>181500</v>
      </c>
      <c r="AW7" s="21">
        <f>'4_Operational_Services'!AW6</f>
        <v>181500</v>
      </c>
      <c r="AX7" s="21">
        <f>'4_Operational_Services'!AX6</f>
        <v>181500</v>
      </c>
      <c r="AY7" s="21">
        <f>'4_Operational_Services'!AX6</f>
        <v>181500</v>
      </c>
      <c r="AZ7" s="21">
        <f>'4_Operational_Services'!AX6</f>
        <v>181500</v>
      </c>
      <c r="BA7" s="21">
        <f>'4_Operational_Services'!AY6</f>
        <v>181500</v>
      </c>
      <c r="BB7" s="21">
        <f>'4_Operational_Services'!BB6</f>
        <v>181500</v>
      </c>
      <c r="BC7" s="45">
        <f>'4_Operational_Services'!BC6</f>
        <v>339531.4466036869</v>
      </c>
      <c r="BD7" s="45">
        <f>'4_Operational_Services'!BD6</f>
        <v>339531.4466036869</v>
      </c>
      <c r="BE7" s="45">
        <f>'4_Operational_Services'!BE6</f>
        <v>339531.4466036869</v>
      </c>
      <c r="BF7" s="45">
        <f>'4_Operational_Services'!BF6</f>
        <v>339531.4466036869</v>
      </c>
      <c r="BG7" s="45">
        <f>'4_Operational_Services'!BG6</f>
        <v>339531.4466036869</v>
      </c>
      <c r="BH7" s="45">
        <f>'4_Operational_Services'!BH6</f>
        <v>339531.4466036869</v>
      </c>
      <c r="BI7" s="45">
        <f>'4_Operational_Services'!BI6</f>
        <v>339531.4466036869</v>
      </c>
      <c r="BJ7" s="21">
        <f>'4_Operational_Services'!BJ6</f>
        <v>339531.4466036869</v>
      </c>
      <c r="BK7" s="21">
        <f>'4_Operational_Services'!BK6</f>
        <v>339531.4466036869</v>
      </c>
      <c r="BL7" s="21">
        <f>'4_Operational_Services'!BL6</f>
        <v>339531.4466036869</v>
      </c>
      <c r="BM7" s="21">
        <f>'4_Operational_Services'!BM6</f>
        <v>339531.4466036869</v>
      </c>
      <c r="BN7" s="21">
        <f>'4_Operational_Services'!BN6</f>
        <v>339531.4466036869</v>
      </c>
      <c r="BO7" s="21">
        <f>'4_Operational_Services'!BO6</f>
        <v>339531.4466036869</v>
      </c>
      <c r="BP7" s="21">
        <f>'4_Operational_Services'!BP6</f>
        <v>339531.4466036869</v>
      </c>
      <c r="BQ7" s="21">
        <f>'4_Operational_Services'!BQ6</f>
        <v>339531.4466036869</v>
      </c>
      <c r="BR7" s="21">
        <f>'4_Operational_Services'!BR6</f>
        <v>339531.4466036869</v>
      </c>
      <c r="BS7" s="21">
        <f>'4_Operational_Services'!BS6</f>
        <v>339531.4466036869</v>
      </c>
      <c r="BT7" s="21">
        <f>'4_Operational_Services'!BT6</f>
        <v>339531.4466036869</v>
      </c>
      <c r="BU7" s="21">
        <f>'4_Operational_Services'!BC6</f>
        <v>339531.4466036869</v>
      </c>
      <c r="BV7" s="21">
        <f>'4_Operational_Services'!BD6</f>
        <v>339531.4466036869</v>
      </c>
      <c r="BW7" s="21">
        <f>'4_Operational_Services'!BE6</f>
        <v>339531.4466036869</v>
      </c>
      <c r="BX7" s="21">
        <f>'4_Operational_Services'!BF6</f>
        <v>339531.4466036869</v>
      </c>
      <c r="BY7" s="21">
        <f>'4_Operational_Services'!BG6</f>
        <v>339531.4466036869</v>
      </c>
      <c r="BZ7" s="21">
        <f>'4_Operational_Services'!BH6</f>
        <v>339531.4466036869</v>
      </c>
      <c r="CA7" s="21">
        <f>'4_Operational_Services'!BI6</f>
        <v>339531.4466036869</v>
      </c>
      <c r="CB7" s="21">
        <f>'4_Operational_Services'!BJ6</f>
        <v>339531.4466036869</v>
      </c>
      <c r="CC7" s="21">
        <f>'4_Operational_Services'!BK6</f>
        <v>339531.4466036869</v>
      </c>
      <c r="CD7" s="21">
        <f>'4_Operational_Services'!CD6</f>
        <v>339531.4466036869</v>
      </c>
      <c r="CE7" s="21">
        <f>'4_Operational_Services'!CE6</f>
        <v>339531.4466036869</v>
      </c>
      <c r="CF7" s="21">
        <f>'4_Operational_Services'!CF6</f>
        <v>339531.4466036869</v>
      </c>
      <c r="CG7" s="21">
        <f>'4_Operational_Services'!CG6</f>
        <v>339531.4466036869</v>
      </c>
      <c r="CH7" s="21">
        <f>'4_Operational_Services'!CH6</f>
        <v>339531.4466036869</v>
      </c>
      <c r="CI7" s="21">
        <f>'4_Operational_Services'!CI6</f>
        <v>339531.4466036869</v>
      </c>
      <c r="CJ7" s="21">
        <f>'4_Operational_Services'!CJ6</f>
        <v>339531.4466036869</v>
      </c>
      <c r="CK7" s="21">
        <f>'4_Operational_Services'!CK6</f>
        <v>339531.4466036869</v>
      </c>
      <c r="CL7" s="21">
        <f>'4_Operational_Services'!CM6</f>
        <v>339531.4466036869</v>
      </c>
      <c r="CM7" s="21">
        <f>'4_Operational_Services'!CM6</f>
        <v>339531.4466036869</v>
      </c>
      <c r="CN7" s="21">
        <f>'4_Operational_Services'!CN6</f>
        <v>181500</v>
      </c>
      <c r="CO7" s="21">
        <f>'4_Operational_Services'!CO6</f>
        <v>181500</v>
      </c>
      <c r="CP7" s="21">
        <f>'4_Operational_Services'!CP6</f>
        <v>181500</v>
      </c>
      <c r="CQ7" s="21">
        <f>'4_Operational_Services'!CQ6</f>
        <v>181500</v>
      </c>
      <c r="CR7" s="21">
        <f>'4_Operational_Services'!CR6</f>
        <v>181500</v>
      </c>
      <c r="CS7" s="21">
        <f>'4_Operational_Services'!CS6</f>
        <v>339531.4466036869</v>
      </c>
      <c r="CT7" s="21">
        <f>'4_Operational_Services'!CT6</f>
        <v>339531.4466036869</v>
      </c>
      <c r="CU7" s="21">
        <f>'4_Operational_Services'!CU6</f>
        <v>339531.4466036869</v>
      </c>
      <c r="CV7" s="21">
        <f>'4_Operational_Services'!CV6</f>
        <v>339531.4466036869</v>
      </c>
      <c r="CW7" s="21">
        <f>'4_Operational_Services'!CX6</f>
        <v>339531.4466036869</v>
      </c>
      <c r="CX7" s="21">
        <f>'4_Operational_Services'!CX6</f>
        <v>339531.4466036869</v>
      </c>
      <c r="CY7" s="21">
        <f>'4_Operational_Services'!CY6</f>
        <v>339531.4466036869</v>
      </c>
      <c r="CZ7" s="21">
        <f>'4_Operational_Services'!CZ6</f>
        <v>339531.4466036869</v>
      </c>
      <c r="DA7" s="21">
        <f>'4_Operational_Services'!DA6</f>
        <v>339531.4466036869</v>
      </c>
      <c r="DB7" s="21">
        <f>'4_Operational_Services'!DB6</f>
        <v>339531.4466036869</v>
      </c>
      <c r="DC7" s="21">
        <f>'4_Operational_Services'!DD6</f>
        <v>339531.4466036869</v>
      </c>
      <c r="DD7" s="21">
        <f>'4_Operational_Services'!DD6</f>
        <v>339531.4466036869</v>
      </c>
      <c r="DE7" s="21">
        <f>'4_Operational_Services'!DE6</f>
        <v>339531.4466036869</v>
      </c>
      <c r="DF7" s="21">
        <f>'4_Operational_Services'!DF6</f>
        <v>339531.4466036869</v>
      </c>
      <c r="DH7" s="21">
        <f>'4_Operational_Services'!DH6</f>
        <v>339531.4466036869</v>
      </c>
      <c r="DI7" s="21">
        <f>'4_Operational_Services'!DJ6</f>
        <v>339531.4466036869</v>
      </c>
      <c r="DJ7" s="21">
        <f>'4_Operational_Services'!DJ6</f>
        <v>339531.4466036869</v>
      </c>
      <c r="DK7" s="21">
        <f>'4_Operational_Services'!DK6</f>
        <v>297000</v>
      </c>
      <c r="DL7" s="21">
        <f>'4_Operational_Services'!DL6</f>
        <v>495000</v>
      </c>
      <c r="DM7" s="21">
        <f>'4_Operational_Services'!DM6</f>
        <v>396000</v>
      </c>
      <c r="DN7" s="21">
        <f>'4_Operational_Services'!DN6</f>
        <v>396000</v>
      </c>
      <c r="DO7" s="21">
        <f>'4_Operational_Services'!DO6</f>
        <v>396000</v>
      </c>
      <c r="DP7" s="21">
        <f>'4_Operational_Services'!DP6</f>
        <v>396000</v>
      </c>
      <c r="DQ7" s="21">
        <f>'4_Operational_Services'!DQ6</f>
        <v>396000</v>
      </c>
      <c r="DR7" s="45">
        <f>'4_Operational_Services'!DR6</f>
        <v>396000</v>
      </c>
      <c r="DS7" s="21">
        <f>'4_Operational_Services'!DQ6</f>
        <v>396000</v>
      </c>
      <c r="DT7" s="21">
        <f>'4_Operational_Services'!DR6</f>
        <v>396000</v>
      </c>
      <c r="DU7" s="21">
        <f>'4_Operational_Services'!DU6</f>
        <v>396000</v>
      </c>
      <c r="DV7" s="21">
        <f>'4_Operational_Services'!DV6</f>
        <v>396000</v>
      </c>
      <c r="DW7" s="21">
        <f>'4_Operational_Services'!DW6</f>
        <v>396000</v>
      </c>
      <c r="DX7" s="21">
        <f>'4_Operational_Services'!DX6</f>
        <v>2640000</v>
      </c>
      <c r="DY7" s="21">
        <f>'4_Operational_Services'!DY6</f>
        <v>2640000</v>
      </c>
      <c r="DZ7" s="21">
        <f>'4_Operational_Services'!DZ6</f>
        <v>2640000</v>
      </c>
      <c r="EA7" s="21">
        <f>'4_Operational_Services'!EA6</f>
        <v>2640000</v>
      </c>
      <c r="EB7" s="21">
        <f>'4_Operational_Services'!EB6</f>
        <v>2640000</v>
      </c>
      <c r="EC7" s="21">
        <f>'4_Operational_Services'!EC6</f>
        <v>2640000</v>
      </c>
      <c r="ED7" s="21">
        <f>'4_Operational_Services'!ED6</f>
        <v>2640000</v>
      </c>
    </row>
    <row r="8" spans="1:137" x14ac:dyDescent="0.3">
      <c r="A8" s="21" t="s">
        <v>953</v>
      </c>
      <c r="D8" s="87" t="s">
        <v>952</v>
      </c>
      <c r="E8" s="456" t="s">
        <v>1156</v>
      </c>
      <c r="F8" s="456" t="s">
        <v>1172</v>
      </c>
      <c r="G8" s="87" t="s">
        <v>952</v>
      </c>
      <c r="H8" s="87" t="s">
        <v>952</v>
      </c>
      <c r="I8" s="87" t="s">
        <v>952</v>
      </c>
      <c r="J8" s="87" t="s">
        <v>952</v>
      </c>
      <c r="K8" s="87" t="s">
        <v>952</v>
      </c>
      <c r="L8" s="87" t="s">
        <v>952</v>
      </c>
      <c r="M8" s="87" t="s">
        <v>952</v>
      </c>
      <c r="N8" s="87" t="s">
        <v>952</v>
      </c>
      <c r="O8" s="87" t="s">
        <v>952</v>
      </c>
      <c r="P8" s="87" t="s">
        <v>952</v>
      </c>
      <c r="Q8" s="87" t="s">
        <v>952</v>
      </c>
      <c r="R8" s="87" t="s">
        <v>952</v>
      </c>
      <c r="S8" s="87" t="s">
        <v>952</v>
      </c>
      <c r="T8" s="87" t="s">
        <v>952</v>
      </c>
      <c r="U8" s="456" t="s">
        <v>1156</v>
      </c>
      <c r="V8" s="456" t="s">
        <v>1172</v>
      </c>
      <c r="W8" s="87" t="s">
        <v>952</v>
      </c>
      <c r="X8" s="456" t="s">
        <v>1172</v>
      </c>
      <c r="Y8" s="456" t="s">
        <v>1172</v>
      </c>
      <c r="Z8" s="87" t="s">
        <v>952</v>
      </c>
      <c r="AA8" s="87" t="s">
        <v>952</v>
      </c>
      <c r="AB8" s="87" t="s">
        <v>952</v>
      </c>
      <c r="AC8" s="87" t="s">
        <v>952</v>
      </c>
      <c r="AD8" s="87" t="s">
        <v>952</v>
      </c>
      <c r="AE8" s="87" t="s">
        <v>952</v>
      </c>
      <c r="AF8" s="87" t="s">
        <v>916</v>
      </c>
      <c r="AG8" s="87" t="s">
        <v>952</v>
      </c>
      <c r="AH8" s="87" t="s">
        <v>952</v>
      </c>
      <c r="AI8" s="87" t="s">
        <v>952</v>
      </c>
      <c r="AJ8" s="87" t="s">
        <v>952</v>
      </c>
      <c r="AK8" s="87" t="s">
        <v>952</v>
      </c>
      <c r="AL8" s="87" t="s">
        <v>952</v>
      </c>
      <c r="AM8" s="87" t="s">
        <v>952</v>
      </c>
      <c r="AN8" s="87" t="s">
        <v>952</v>
      </c>
      <c r="AO8" s="87" t="s">
        <v>952</v>
      </c>
      <c r="AP8" s="87" t="s">
        <v>952</v>
      </c>
      <c r="AQ8" s="87" t="s">
        <v>952</v>
      </c>
      <c r="AR8" s="87" t="s">
        <v>952</v>
      </c>
      <c r="AS8" s="456" t="s">
        <v>1156</v>
      </c>
      <c r="AT8" s="456" t="s">
        <v>1172</v>
      </c>
      <c r="AU8" s="91" t="s">
        <v>952</v>
      </c>
      <c r="AV8" s="91" t="s">
        <v>952</v>
      </c>
      <c r="AW8" s="91" t="s">
        <v>952</v>
      </c>
      <c r="AX8" s="91" t="s">
        <v>952</v>
      </c>
      <c r="AY8" s="91" t="s">
        <v>952</v>
      </c>
      <c r="AZ8" s="91" t="s">
        <v>952</v>
      </c>
      <c r="BA8" s="91" t="s">
        <v>952</v>
      </c>
      <c r="BB8" s="87" t="s">
        <v>952</v>
      </c>
      <c r="BC8" s="91" t="str">
        <f t="shared" ref="BC8:BH8" si="30">$AX8</f>
        <v>World</v>
      </c>
      <c r="BD8" s="91" t="str">
        <f t="shared" si="30"/>
        <v>World</v>
      </c>
      <c r="BE8" s="91" t="str">
        <f t="shared" si="30"/>
        <v>World</v>
      </c>
      <c r="BF8" s="91" t="str">
        <f t="shared" si="30"/>
        <v>World</v>
      </c>
      <c r="BG8" s="91" t="str">
        <f t="shared" si="30"/>
        <v>World</v>
      </c>
      <c r="BH8" s="91" t="str">
        <f t="shared" si="30"/>
        <v>World</v>
      </c>
      <c r="BI8" s="87" t="s">
        <v>952</v>
      </c>
      <c r="BJ8" s="87" t="s">
        <v>952</v>
      </c>
      <c r="BK8" s="87" t="s">
        <v>952</v>
      </c>
      <c r="BL8" s="91" t="str">
        <f>$AX8</f>
        <v>World</v>
      </c>
      <c r="BM8" s="91" t="str">
        <f>$AX8</f>
        <v>World</v>
      </c>
      <c r="BN8" s="91" t="str">
        <f>$AX8</f>
        <v>World</v>
      </c>
      <c r="BO8" s="456" t="s">
        <v>1156</v>
      </c>
      <c r="BP8" s="456" t="s">
        <v>1172</v>
      </c>
      <c r="BQ8" s="91" t="str">
        <f>$AX8</f>
        <v>World</v>
      </c>
      <c r="BR8" s="91" t="str">
        <f>$AX8</f>
        <v>World</v>
      </c>
      <c r="BS8" s="91" t="str">
        <f>$AX8</f>
        <v>World</v>
      </c>
      <c r="BT8" s="87" t="s">
        <v>952</v>
      </c>
      <c r="BU8" s="91" t="str">
        <f>$AX8</f>
        <v>World</v>
      </c>
      <c r="BV8" s="91" t="str">
        <f>$AX8</f>
        <v>World</v>
      </c>
      <c r="BW8" s="91" t="str">
        <f>$AX8</f>
        <v>World</v>
      </c>
      <c r="BX8" s="456" t="s">
        <v>1156</v>
      </c>
      <c r="BY8" s="456" t="s">
        <v>1172</v>
      </c>
      <c r="BZ8" s="91" t="str">
        <f>$AX8</f>
        <v>World</v>
      </c>
      <c r="CA8" s="91" t="str">
        <f>$AX8</f>
        <v>World</v>
      </c>
      <c r="CB8" s="91" t="str">
        <f>$AX8</f>
        <v>World</v>
      </c>
      <c r="CC8" s="87" t="s">
        <v>952</v>
      </c>
      <c r="CD8" s="91" t="str">
        <f>$AX8</f>
        <v>World</v>
      </c>
      <c r="CE8" s="91" t="str">
        <f>$AX8</f>
        <v>World</v>
      </c>
      <c r="CF8" s="91" t="str">
        <f>$AX8</f>
        <v>World</v>
      </c>
      <c r="CG8" s="87" t="s">
        <v>952</v>
      </c>
      <c r="CH8" s="87" t="s">
        <v>952</v>
      </c>
      <c r="CI8" s="87" t="s">
        <v>952</v>
      </c>
      <c r="CJ8" s="87" t="s">
        <v>952</v>
      </c>
      <c r="CK8" s="87" t="s">
        <v>952</v>
      </c>
      <c r="CL8" s="87" t="s">
        <v>952</v>
      </c>
      <c r="CM8" s="87" t="s">
        <v>952</v>
      </c>
      <c r="CN8" s="87" t="s">
        <v>952</v>
      </c>
      <c r="CO8" s="87" t="s">
        <v>952</v>
      </c>
      <c r="CP8" s="87" t="s">
        <v>952</v>
      </c>
      <c r="CQ8" s="87" t="s">
        <v>952</v>
      </c>
      <c r="CR8" s="87" t="s">
        <v>952</v>
      </c>
      <c r="CS8" s="87" t="s">
        <v>952</v>
      </c>
      <c r="CT8" s="87" t="s">
        <v>952</v>
      </c>
      <c r="CU8" s="87" t="s">
        <v>952</v>
      </c>
      <c r="CV8" s="87" t="s">
        <v>952</v>
      </c>
      <c r="CW8" s="87" t="s">
        <v>952</v>
      </c>
      <c r="CX8" s="87" t="s">
        <v>952</v>
      </c>
      <c r="CY8" s="87" t="s">
        <v>952</v>
      </c>
      <c r="CZ8" s="87" t="s">
        <v>952</v>
      </c>
      <c r="DA8" s="87" t="s">
        <v>952</v>
      </c>
      <c r="DB8" s="87" t="s">
        <v>952</v>
      </c>
      <c r="DC8" s="87" t="s">
        <v>952</v>
      </c>
      <c r="DD8" s="87" t="s">
        <v>952</v>
      </c>
      <c r="DE8" s="87" t="s">
        <v>952</v>
      </c>
      <c r="DF8" s="87" t="s">
        <v>952</v>
      </c>
      <c r="DG8" s="87"/>
      <c r="DH8" s="87" t="s">
        <v>952</v>
      </c>
      <c r="DI8" s="87" t="s">
        <v>952</v>
      </c>
      <c r="DJ8" s="87" t="s">
        <v>952</v>
      </c>
      <c r="DK8" s="87" t="s">
        <v>952</v>
      </c>
      <c r="DL8" s="87" t="s">
        <v>952</v>
      </c>
      <c r="DM8" s="87" t="s">
        <v>952</v>
      </c>
      <c r="DN8" s="87" t="s">
        <v>952</v>
      </c>
      <c r="DO8" s="87" t="s">
        <v>952</v>
      </c>
      <c r="DP8" s="87" t="s">
        <v>952</v>
      </c>
      <c r="DQ8" s="87" t="s">
        <v>952</v>
      </c>
      <c r="DR8" s="87" t="s">
        <v>952</v>
      </c>
      <c r="DS8" s="456" t="s">
        <v>1172</v>
      </c>
      <c r="DT8" s="87" t="s">
        <v>952</v>
      </c>
      <c r="DU8" s="87" t="s">
        <v>952</v>
      </c>
      <c r="DV8" s="87" t="s">
        <v>952</v>
      </c>
      <c r="DW8" s="87" t="s">
        <v>952</v>
      </c>
      <c r="DX8" s="91" t="str">
        <f t="shared" ref="DX8:EC8" si="31">$ED8</f>
        <v>World</v>
      </c>
      <c r="DY8" s="91" t="str">
        <f t="shared" si="31"/>
        <v>World</v>
      </c>
      <c r="DZ8" s="91" t="str">
        <f t="shared" si="31"/>
        <v>World</v>
      </c>
      <c r="EA8" s="91" t="str">
        <f t="shared" si="31"/>
        <v>World</v>
      </c>
      <c r="EB8" s="91" t="str">
        <f t="shared" si="31"/>
        <v>World</v>
      </c>
      <c r="EC8" s="91" t="str">
        <f t="shared" si="31"/>
        <v>World</v>
      </c>
      <c r="ED8" s="87" t="s">
        <v>952</v>
      </c>
    </row>
    <row r="10" spans="1:137" x14ac:dyDescent="0.3">
      <c r="A10" s="21" t="s">
        <v>61</v>
      </c>
      <c r="B10" s="21" t="s">
        <v>79</v>
      </c>
      <c r="C10" s="21" t="s">
        <v>849</v>
      </c>
      <c r="D10" s="61">
        <f>Tech_Spec_Escoot!C14</f>
        <v>10.881479876872589</v>
      </c>
      <c r="E10" s="318">
        <f>S10</f>
        <v>13.601849846090737</v>
      </c>
      <c r="F10" s="314">
        <f>M10</f>
        <v>10.881479876872589</v>
      </c>
      <c r="G10" s="314">
        <f>L10</f>
        <v>10.881479876872589</v>
      </c>
      <c r="H10" s="314">
        <f>M10</f>
        <v>10.881479876872589</v>
      </c>
      <c r="I10" s="314">
        <f t="shared" ref="I10:J11" si="32">M10</f>
        <v>10.881479876872589</v>
      </c>
      <c r="J10" s="314">
        <f t="shared" si="32"/>
        <v>10.881479876872589</v>
      </c>
      <c r="K10" s="314">
        <f t="shared" ref="K10:N11" si="33">M10</f>
        <v>10.881479876872589</v>
      </c>
      <c r="L10" s="314">
        <f t="shared" si="33"/>
        <v>10.881479876872589</v>
      </c>
      <c r="M10" s="314">
        <f t="shared" si="33"/>
        <v>10.881479876872589</v>
      </c>
      <c r="N10" s="314">
        <f t="shared" si="33"/>
        <v>10.881479876872589</v>
      </c>
      <c r="O10" s="314">
        <f>P10</f>
        <v>10.881479876872589</v>
      </c>
      <c r="P10" s="314">
        <f>T10</f>
        <v>10.881479876872589</v>
      </c>
      <c r="Q10" s="314">
        <f>$AF10</f>
        <v>10.881479876872589</v>
      </c>
      <c r="R10" s="314">
        <f>$AF10</f>
        <v>10.881479876872589</v>
      </c>
      <c r="S10" s="318">
        <f>W10*1.25</f>
        <v>13.601849846090737</v>
      </c>
      <c r="T10" s="314">
        <f>V10</f>
        <v>10.881479876872589</v>
      </c>
      <c r="U10" s="314">
        <f>V10</f>
        <v>10.881479876872589</v>
      </c>
      <c r="V10" s="314">
        <f>W10</f>
        <v>10.881479876872589</v>
      </c>
      <c r="W10" s="61">
        <f>Tech_Spec_Escoot!$C$14</f>
        <v>10.881479876872589</v>
      </c>
      <c r="X10" s="61">
        <f>Tech_Spec_Escoot!$L$14</f>
        <v>24.636668958139129</v>
      </c>
      <c r="Y10" s="61">
        <f>Tech_Spec_Escoot!$L$14</f>
        <v>24.636668958139129</v>
      </c>
      <c r="Z10" s="61">
        <f>Tech_Spec_Escoot!$L$14</f>
        <v>24.636668958139129</v>
      </c>
      <c r="AA10" s="61">
        <f>Tech_Spec_Escoot!$L$14</f>
        <v>24.636668958139129</v>
      </c>
      <c r="AB10" s="61">
        <f>Tech_Spec_Escoot!$L$14</f>
        <v>24.636668958139129</v>
      </c>
      <c r="AC10" s="61">
        <f>Tech_Spec_Escoot!$L$14</f>
        <v>24.636668958139129</v>
      </c>
      <c r="AD10" s="61">
        <f>Tech_Spec_Escoot!$L$14</f>
        <v>24.636668958139129</v>
      </c>
      <c r="AE10" s="493">
        <f>Tech_Spec_Escoot!$L$14</f>
        <v>24.636668958139129</v>
      </c>
      <c r="AF10" s="61">
        <f>Tech_Spec_Escoot!$C$14</f>
        <v>10.881479876872589</v>
      </c>
      <c r="AG10" s="77">
        <f>Tech_Spec_Bikes!H22</f>
        <v>20.6448</v>
      </c>
      <c r="AH10" s="77">
        <f>Tech_Spec_Bikes!L22+Tech_Spec_Bikes!L25</f>
        <v>23.296279876872589</v>
      </c>
      <c r="AI10" s="77">
        <f>Tech_Spec_Bikes!J22</f>
        <v>26.633600000000001</v>
      </c>
      <c r="AJ10" s="77">
        <f>Tech_Spec_Bikes!N22+Tech_Spec_Bikes!N25</f>
        <v>30.833600000000001</v>
      </c>
      <c r="AK10" s="77">
        <f>Tech_Specs_2W!F22</f>
        <v>94</v>
      </c>
      <c r="AL10" s="77">
        <f>Tech_Specs_2W!G22</f>
        <v>82.86820809248556</v>
      </c>
      <c r="AM10" s="77">
        <f>AK10</f>
        <v>94</v>
      </c>
      <c r="AN10" s="77">
        <f>AL10</f>
        <v>82.86820809248556</v>
      </c>
      <c r="AO10" s="87">
        <f>SUM([5]Vehi_Comp_Sum!$B150:$B$172)*Convert!$G$10</f>
        <v>1494.1010327851752</v>
      </c>
      <c r="AP10" s="87">
        <f>SUM([5]Vehi_Comp_Sum!$D150:$D$172)*Convert!$G$10</f>
        <v>1581.4712309860752</v>
      </c>
      <c r="AQ10" s="87">
        <f>SUM([5]Vehi_Comp_Sum!$F150:$F$172)*Convert!$G$10</f>
        <v>1661.4710705892749</v>
      </c>
      <c r="AR10" s="91">
        <f t="shared" ref="AR10:AW13" si="34">$AX10</f>
        <v>1392.6061731980951</v>
      </c>
      <c r="AS10" s="91">
        <f t="shared" si="34"/>
        <v>1392.6061731980951</v>
      </c>
      <c r="AT10" s="91">
        <f t="shared" si="34"/>
        <v>1392.6061731980951</v>
      </c>
      <c r="AU10" s="91">
        <f t="shared" si="34"/>
        <v>1392.6061731980951</v>
      </c>
      <c r="AV10" s="91">
        <f t="shared" si="34"/>
        <v>1392.6061731980951</v>
      </c>
      <c r="AW10" s="91">
        <f t="shared" si="34"/>
        <v>1392.6061731980951</v>
      </c>
      <c r="AX10" s="87">
        <f>SUM([5]Vehi_Comp_Sum!$H150:$H$172)*Convert!$G$10</f>
        <v>1392.6061731980951</v>
      </c>
      <c r="AY10" s="87">
        <f>SUM([5]Vehi_Comp_Sum!$J150:$J$172)*Convert!$G$10</f>
        <v>1678.6055997795354</v>
      </c>
      <c r="AZ10" s="87">
        <f>SUM([5]Vehi_Comp_Sum!$J150:$J$172)*Convert!$G$10</f>
        <v>1678.6055997795354</v>
      </c>
      <c r="BA10" s="87">
        <f>SUM([5]Vehi_Comp_Sum!$J150:$J$172)*Convert!$G$10</f>
        <v>1678.6055997795354</v>
      </c>
      <c r="BB10" s="87">
        <f>SUM([5]Vehi_Comp_Sum!$J150:$J$172)*Convert!$G$10</f>
        <v>1678.6055997795354</v>
      </c>
      <c r="BC10" s="91">
        <f t="shared" ref="BC10:BH10" si="35">$BI10</f>
        <v>1494.1010327851752</v>
      </c>
      <c r="BD10" s="91">
        <f t="shared" si="35"/>
        <v>1494.1010327851752</v>
      </c>
      <c r="BE10" s="91">
        <f t="shared" si="35"/>
        <v>1494.1010327851752</v>
      </c>
      <c r="BF10" s="91">
        <f t="shared" si="35"/>
        <v>1494.1010327851752</v>
      </c>
      <c r="BG10" s="91">
        <f t="shared" si="35"/>
        <v>1494.1010327851752</v>
      </c>
      <c r="BH10" s="91">
        <f t="shared" si="35"/>
        <v>1494.1010327851752</v>
      </c>
      <c r="BI10" s="87">
        <f>SUM([5]Vehi_Comp_Sum!$B150:$B$172)*Convert!$G$10</f>
        <v>1494.1010327851752</v>
      </c>
      <c r="BJ10" s="87">
        <f>SUM([5]Vehi_Comp_Sum!$D150:$D$172)*Convert!$G$10</f>
        <v>1581.4712309860752</v>
      </c>
      <c r="BK10" s="87">
        <f>SUM([5]Vehi_Comp_Sum!$F150:$F$172)*Convert!$G$10</f>
        <v>1661.4710705892749</v>
      </c>
      <c r="BL10" s="91">
        <f t="shared" ref="BL10:BS10" si="36">$BT10</f>
        <v>1392.6061731980951</v>
      </c>
      <c r="BM10" s="91">
        <f t="shared" si="36"/>
        <v>1392.6061731980951</v>
      </c>
      <c r="BN10" s="91">
        <f t="shared" si="36"/>
        <v>1392.6061731980951</v>
      </c>
      <c r="BO10" s="91">
        <f t="shared" si="36"/>
        <v>1392.6061731980951</v>
      </c>
      <c r="BP10" s="91">
        <f t="shared" si="36"/>
        <v>1392.6061731980951</v>
      </c>
      <c r="BQ10" s="91">
        <f t="shared" si="36"/>
        <v>1392.6061731980951</v>
      </c>
      <c r="BR10" s="91">
        <f t="shared" si="36"/>
        <v>1392.6061731980951</v>
      </c>
      <c r="BS10" s="91">
        <f t="shared" si="36"/>
        <v>1392.6061731980951</v>
      </c>
      <c r="BT10" s="87">
        <f>SUM([5]Vehi_Comp_Sum!$H150:$H$172)*Convert!$G$10</f>
        <v>1392.6061731980951</v>
      </c>
      <c r="BU10" s="91">
        <f t="shared" ref="BU10:CB10" si="37">$CC10</f>
        <v>1392.6061731980951</v>
      </c>
      <c r="BV10" s="91">
        <f t="shared" si="37"/>
        <v>1392.6061731980951</v>
      </c>
      <c r="BW10" s="91">
        <f t="shared" si="37"/>
        <v>1392.6061731980951</v>
      </c>
      <c r="BX10" s="91">
        <f t="shared" si="37"/>
        <v>1392.6061731980951</v>
      </c>
      <c r="BY10" s="91">
        <f t="shared" si="37"/>
        <v>1392.6061731980951</v>
      </c>
      <c r="BZ10" s="91">
        <f t="shared" si="37"/>
        <v>1392.6061731980951</v>
      </c>
      <c r="CA10" s="91">
        <f t="shared" si="37"/>
        <v>1392.6061731980951</v>
      </c>
      <c r="CB10" s="91">
        <f t="shared" si="37"/>
        <v>1392.6061731980951</v>
      </c>
      <c r="CC10" s="87">
        <f>SUM([5]Vehi_Comp_Sum!$H150:$H$172)*Convert!$G$10</f>
        <v>1392.6061731980951</v>
      </c>
      <c r="CD10" s="87">
        <f>SUM([5]Vehi_Comp_Sum!$J150:$J$172)*Convert!$G$10</f>
        <v>1678.6055997795354</v>
      </c>
      <c r="CE10" s="87">
        <f>SUM([5]Vehi_Comp_Sum!$J150:$J$172)*Convert!$G$10</f>
        <v>1678.6055997795354</v>
      </c>
      <c r="CF10" s="87">
        <f>SUM([5]Vehi_Comp_Sum!$J150:$J$172)*Convert!$G$10</f>
        <v>1678.6055997795354</v>
      </c>
      <c r="CG10" s="87">
        <f>SUM([5]Vehi_Comp_Sum!$J150:$J$172)*Convert!$G$10</f>
        <v>1678.6055997795354</v>
      </c>
      <c r="CH10" s="518">
        <f>BI10</f>
        <v>1494.1010327851752</v>
      </c>
      <c r="CI10" s="518">
        <f>BJ10</f>
        <v>1581.4712309860752</v>
      </c>
      <c r="CJ10" s="518">
        <f>BK10</f>
        <v>1661.4710705892749</v>
      </c>
      <c r="CK10" s="518">
        <f>BT10</f>
        <v>1392.6061731980951</v>
      </c>
      <c r="CL10" s="518">
        <f>CC10</f>
        <v>1392.6061731980951</v>
      </c>
      <c r="CM10" s="518">
        <f>CD10</f>
        <v>1678.6055997795354</v>
      </c>
      <c r="CN10" s="87">
        <f>SUM([6]Vehi_Comp_Sum!$B150:$B$172)*Convert!$G$10</f>
        <v>1898.2080492654404</v>
      </c>
      <c r="CO10" s="87">
        <f>SUM([6]Vehi_Comp_Sum!$D150:$D$172)*Convert!$G$10</f>
        <v>2002.34527005376</v>
      </c>
      <c r="CP10" s="87">
        <f>SUM([6]Vehi_Comp_Sum!$F150:$F$172)*Convert!$G$10</f>
        <v>2097.3450795825606</v>
      </c>
      <c r="CQ10" s="87">
        <f>SUM([6]Vehi_Comp_Sum!$H150:$H$172)*Convert!$G$10</f>
        <v>1777.4175792144003</v>
      </c>
      <c r="CR10" s="87">
        <f>SUM([6]Vehi_Comp_Sum!$J150:$J$172)*Convert!$G$10</f>
        <v>2138.4168554238399</v>
      </c>
      <c r="CS10" s="87">
        <f>SUM([6]Vehi_Comp_Sum!$B150:$B$172)*Convert!$G$10</f>
        <v>1898.2080492654404</v>
      </c>
      <c r="CT10" s="87">
        <f>SUM([6]Vehi_Comp_Sum!$D150:$D$172)*Convert!$G$10</f>
        <v>2002.34527005376</v>
      </c>
      <c r="CU10" s="87">
        <f>SUM([6]Vehi_Comp_Sum!$F150:$F$172)*Convert!$G$10</f>
        <v>2097.3450795825606</v>
      </c>
      <c r="CV10" s="87">
        <f>SUM([6]Vehi_Comp_Sum!$H150:$H$172)*Convert!$G$10</f>
        <v>1777.4175792144003</v>
      </c>
      <c r="CW10" s="87">
        <f>SUM([6]Vehi_Comp_Sum!$H150:$H$172)*Convert!$G$10</f>
        <v>1777.4175792144003</v>
      </c>
      <c r="CX10" s="87">
        <f>SUM([6]Vehi_Comp_Sum!$J150:$J$172)*Convert!$G$10</f>
        <v>2138.4168554238399</v>
      </c>
      <c r="CY10" s="513">
        <f>CS10</f>
        <v>1898.2080492654404</v>
      </c>
      <c r="CZ10" s="513">
        <f t="shared" ref="CZ10:DD10" si="38">CT10</f>
        <v>2002.34527005376</v>
      </c>
      <c r="DA10" s="513">
        <f t="shared" si="38"/>
        <v>2097.3450795825606</v>
      </c>
      <c r="DB10" s="513">
        <f t="shared" si="38"/>
        <v>1777.4175792144003</v>
      </c>
      <c r="DC10" s="513">
        <f t="shared" si="38"/>
        <v>1777.4175792144003</v>
      </c>
      <c r="DD10" s="513">
        <f t="shared" si="38"/>
        <v>2138.4168554238399</v>
      </c>
      <c r="DE10" s="513">
        <f>CY10*(Tech_Specs_Infra!$C$258-Tech_Spec_TNC!$D$51)/(Tech_Specs_Infra!$C$258-Tech_Spec_TNC!$D$43)+DQ10*(Tech_Spec_TNC!$D$51-Tech_Spec_TNC!$D$43)/(Tech_Specs_Infra!$C$258-Tech_Spec_TNC!$D$43)</f>
        <v>3554.1797866057218</v>
      </c>
      <c r="DF10" s="513">
        <f>CZ10*(Tech_Specs_Infra!$C$258-Tech_Spec_TNC!$D$51)/(Tech_Specs_Infra!$C$258-Tech_Spec_TNC!$D$43)+DR10*(Tech_Spec_TNC!$D$51-Tech_Spec_TNC!$D$43)/(Tech_Specs_Infra!$C$258-Tech_Spec_TNC!$D$43)</f>
        <v>3605.297880700612</v>
      </c>
      <c r="DG10" s="513"/>
      <c r="DH10" s="513">
        <f>DB10*(Tech_Specs_Infra!$C$258-Tech_Spec_TNC!$D$51)/(Tech_Specs_Infra!$C$258-Tech_Spec_TNC!$D$43)+DT10*(Tech_Spec_TNC!$D$51-Tech_Spec_TNC!$D$43)/(Tech_Specs_Infra!$C$258-Tech_Spec_TNC!$D$43)</f>
        <v>3692.3711869205181</v>
      </c>
      <c r="DI10" s="513">
        <f>DC10*(Tech_Specs_Infra!$C$258-Tech_Spec_TNC!$D$51)/(Tech_Specs_Infra!$C$258-Tech_Spec_TNC!$D$43)+DU10*(Tech_Spec_TNC!$D$51-Tech_Spec_TNC!$D$43)/(Tech_Specs_Infra!$C$258-Tech_Spec_TNC!$D$43)</f>
        <v>3692.3711869205181</v>
      </c>
      <c r="DJ10" s="513">
        <f>DD10*(Tech_Specs_Infra!$C$258-Tech_Spec_TNC!$D$51)/(Tech_Specs_Infra!$C$258-Tech_Spec_TNC!$D$43)+DW10*(Tech_Spec_TNC!$D$51-Tech_Spec_TNC!$D$43)/(Tech_Specs_Infra!$C$258-Tech_Spec_TNC!$D$43)</f>
        <v>4081.9599178517346</v>
      </c>
      <c r="DK10" s="91">
        <f t="shared" ref="DK10:DP10" si="39">$DQ10</f>
        <v>10398</v>
      </c>
      <c r="DL10" s="91">
        <f t="shared" si="39"/>
        <v>10398</v>
      </c>
      <c r="DM10" s="91">
        <f t="shared" si="39"/>
        <v>10398</v>
      </c>
      <c r="DN10" s="91">
        <f t="shared" si="39"/>
        <v>10398</v>
      </c>
      <c r="DO10" s="91">
        <f t="shared" si="39"/>
        <v>10398</v>
      </c>
      <c r="DP10" s="91">
        <f t="shared" si="39"/>
        <v>10398</v>
      </c>
      <c r="DQ10" s="60">
        <f>Tech_Specs_Bus!$M$23</f>
        <v>10398</v>
      </c>
      <c r="DR10" s="60">
        <f>Tech_Specs_Bus!$N$23</f>
        <v>10230</v>
      </c>
      <c r="DS10" s="87">
        <f>Tech_Specs_Bus!$O$23</f>
        <v>11606.514836002854</v>
      </c>
      <c r="DT10" s="87">
        <f>Tech_Specs_Bus!$O$23</f>
        <v>11606.514836002854</v>
      </c>
      <c r="DU10" s="87">
        <f>Tech_Specs_Bus!$O$23</f>
        <v>11606.514836002854</v>
      </c>
      <c r="DV10" s="87">
        <f>Tech_Specs_Bus!$P$23</f>
        <v>12114.258414449205</v>
      </c>
      <c r="DW10" s="87">
        <f>Tech_Specs_Bus!$P$23</f>
        <v>12114.258414449205</v>
      </c>
      <c r="DX10" s="91">
        <f t="shared" ref="DX10:EC10" si="40">$ED10</f>
        <v>186000</v>
      </c>
      <c r="DY10" s="91">
        <f t="shared" si="40"/>
        <v>186000</v>
      </c>
      <c r="DZ10" s="91">
        <f t="shared" si="40"/>
        <v>186000</v>
      </c>
      <c r="EA10" s="91">
        <f t="shared" si="40"/>
        <v>186000</v>
      </c>
      <c r="EB10" s="91">
        <f t="shared" si="40"/>
        <v>186000</v>
      </c>
      <c r="EC10" s="91">
        <f t="shared" si="40"/>
        <v>186000</v>
      </c>
      <c r="ED10" s="87">
        <f>ROUND(AVERAGE(Tech_Spec_Rail!$D$9,Tech_Spec_Rail!$D$10,Tech_Spec_Rail!$D$13),-3)*Tech_Spec_Rail!$H$24</f>
        <v>186000</v>
      </c>
    </row>
    <row r="11" spans="1:137" x14ac:dyDescent="0.3">
      <c r="A11" s="21" t="s">
        <v>112</v>
      </c>
      <c r="B11" s="21" t="s">
        <v>171</v>
      </c>
      <c r="D11" s="92">
        <f>Tech_Spec_Escoot!C24</f>
        <v>0.33</v>
      </c>
      <c r="E11" s="92">
        <f>L11</f>
        <v>0.33</v>
      </c>
      <c r="F11" s="92">
        <f>M11</f>
        <v>0.33</v>
      </c>
      <c r="G11" s="92">
        <f>L11</f>
        <v>0.33</v>
      </c>
      <c r="H11" s="92">
        <f>M11</f>
        <v>0.33</v>
      </c>
      <c r="I11" s="92">
        <f t="shared" si="32"/>
        <v>0.33</v>
      </c>
      <c r="J11" s="92">
        <f t="shared" si="32"/>
        <v>0.33</v>
      </c>
      <c r="K11" s="92">
        <f t="shared" si="33"/>
        <v>0.33</v>
      </c>
      <c r="L11" s="92">
        <f t="shared" si="33"/>
        <v>0.33</v>
      </c>
      <c r="M11" s="92">
        <f t="shared" si="33"/>
        <v>0.33</v>
      </c>
      <c r="N11" s="92">
        <f t="shared" si="33"/>
        <v>0.33</v>
      </c>
      <c r="O11" s="92">
        <f>P11</f>
        <v>0.33</v>
      </c>
      <c r="P11" s="92">
        <f>T11</f>
        <v>0.33</v>
      </c>
      <c r="Q11" s="463">
        <f>S11*0.75</f>
        <v>0.2475</v>
      </c>
      <c r="R11" s="463">
        <f>S11*1.25</f>
        <v>0.41250000000000003</v>
      </c>
      <c r="S11" s="92">
        <f>U11</f>
        <v>0.33</v>
      </c>
      <c r="T11" s="92">
        <f>V11</f>
        <v>0.33</v>
      </c>
      <c r="U11" s="92">
        <f>V11</f>
        <v>0.33</v>
      </c>
      <c r="V11" s="92">
        <f>W11</f>
        <v>0.33</v>
      </c>
      <c r="W11" s="92">
        <f>Tech_Spec_Escoot!$C$24</f>
        <v>0.33</v>
      </c>
      <c r="X11" s="92">
        <f>Tech_Spec_Escoot!$L$24</f>
        <v>0.55100000000000005</v>
      </c>
      <c r="Y11" s="92">
        <f>Tech_Spec_Escoot!$L$24</f>
        <v>0.55100000000000005</v>
      </c>
      <c r="Z11" s="92">
        <f>Tech_Spec_Escoot!$L$24</f>
        <v>0.55100000000000005</v>
      </c>
      <c r="AA11" s="92">
        <f>Tech_Spec_Escoot!$L$24</f>
        <v>0.55100000000000005</v>
      </c>
      <c r="AB11" s="92">
        <f>Tech_Spec_Escoot!$L$24</f>
        <v>0.55100000000000005</v>
      </c>
      <c r="AC11" s="92">
        <f>Tech_Spec_Escoot!$L$24</f>
        <v>0.55100000000000005</v>
      </c>
      <c r="AD11" s="92">
        <f>Tech_Spec_Escoot!$L$24</f>
        <v>0.55100000000000005</v>
      </c>
      <c r="AE11" s="463">
        <f>Tech_Spec_Escoot!$L$24</f>
        <v>0.55100000000000005</v>
      </c>
      <c r="AF11" s="92">
        <f>Tech_Spec_Escoot!$C$24</f>
        <v>0.33</v>
      </c>
      <c r="AG11" s="92"/>
      <c r="AH11" s="92">
        <f>AVERAGE(Tech_Spec_Bikes!D52:E52)</f>
        <v>0.48328767123287675</v>
      </c>
      <c r="AI11" s="92"/>
      <c r="AJ11" s="346">
        <f>AH11</f>
        <v>0.48328767123287675</v>
      </c>
      <c r="AK11" s="92"/>
      <c r="AL11" s="92">
        <f>Tech_Specs_2W!D34</f>
        <v>1.3</v>
      </c>
      <c r="AM11" s="92"/>
      <c r="AN11" s="346">
        <f>Tech_Specs_2W!D34*2</f>
        <v>2.6</v>
      </c>
      <c r="AO11" s="92"/>
      <c r="AP11" s="92">
        <f>[5]Vehi_Inputs!$E$24*Convert!$G$10*[5]Battery_Sum!$B$40/1000</f>
        <v>2.1411100330896784</v>
      </c>
      <c r="AQ11" s="72">
        <f>[5]Vehi_Inputs!$D$88</f>
        <v>15.273378000000001</v>
      </c>
      <c r="AR11" s="91">
        <f t="shared" si="34"/>
        <v>60</v>
      </c>
      <c r="AS11" s="91">
        <f t="shared" si="34"/>
        <v>60</v>
      </c>
      <c r="AT11" s="91">
        <f t="shared" si="34"/>
        <v>60</v>
      </c>
      <c r="AU11" s="91">
        <f t="shared" si="34"/>
        <v>60</v>
      </c>
      <c r="AV11" s="456">
        <f>AX11*0.75</f>
        <v>45</v>
      </c>
      <c r="AW11" s="456">
        <f>AX11*1.25</f>
        <v>75</v>
      </c>
      <c r="AX11" s="87">
        <f>ROUND(300*'3_Use'!AX4,-1)</f>
        <v>60</v>
      </c>
      <c r="AY11" s="316">
        <f>$BB11</f>
        <v>2.1411100330896784</v>
      </c>
      <c r="AZ11" s="316">
        <f>$BB11</f>
        <v>2.1411100330896784</v>
      </c>
      <c r="BA11" s="316">
        <f>$BB11</f>
        <v>2.1411100330896784</v>
      </c>
      <c r="BB11" s="322">
        <f>AP11</f>
        <v>2.1411100330896784</v>
      </c>
      <c r="BC11" s="91"/>
      <c r="BD11" s="91"/>
      <c r="BE11" s="91"/>
      <c r="BF11" s="91"/>
      <c r="BG11" s="91"/>
      <c r="BH11" s="91"/>
      <c r="BI11" s="92"/>
      <c r="BJ11" s="92">
        <f>[5]Vehi_Inputs!$E$24*Convert!$G$10*[5]Battery_Sum!$B$40/1000</f>
        <v>2.1411100330896784</v>
      </c>
      <c r="BK11" s="72">
        <f>[5]Vehi_Inputs!$D$88</f>
        <v>15.273378000000001</v>
      </c>
      <c r="BL11" s="91">
        <f t="shared" ref="BL11:BQ11" si="41">$BT11</f>
        <v>70</v>
      </c>
      <c r="BM11" s="91">
        <f t="shared" si="41"/>
        <v>70</v>
      </c>
      <c r="BN11" s="91">
        <f t="shared" si="41"/>
        <v>70</v>
      </c>
      <c r="BO11" s="91">
        <f t="shared" si="41"/>
        <v>70</v>
      </c>
      <c r="BP11" s="91">
        <f t="shared" si="41"/>
        <v>70</v>
      </c>
      <c r="BQ11" s="91">
        <f t="shared" si="41"/>
        <v>70</v>
      </c>
      <c r="BR11" s="456">
        <f>BT11*0.75</f>
        <v>52.5</v>
      </c>
      <c r="BS11" s="456">
        <f>BT11*1.25</f>
        <v>87.5</v>
      </c>
      <c r="BT11" s="87">
        <f>ROUND(300*'3_Use'!BT4*1.2,-1)</f>
        <v>70</v>
      </c>
      <c r="BU11" s="91">
        <f t="shared" ref="BU11:BZ11" si="42">$CC11</f>
        <v>140</v>
      </c>
      <c r="BV11" s="91">
        <f t="shared" si="42"/>
        <v>140</v>
      </c>
      <c r="BW11" s="91">
        <f t="shared" si="42"/>
        <v>140</v>
      </c>
      <c r="BX11" s="91">
        <f t="shared" si="42"/>
        <v>140</v>
      </c>
      <c r="BY11" s="91">
        <f t="shared" si="42"/>
        <v>140</v>
      </c>
      <c r="BZ11" s="91">
        <f t="shared" si="42"/>
        <v>140</v>
      </c>
      <c r="CA11" s="456">
        <f>CC11*0.75</f>
        <v>105</v>
      </c>
      <c r="CB11" s="456">
        <f>CC11*1.25</f>
        <v>175</v>
      </c>
      <c r="CC11" s="456">
        <f>BT11*2</f>
        <v>140</v>
      </c>
      <c r="CD11" s="316">
        <f t="shared" ref="CD11:CF11" si="43">$CG11</f>
        <v>2.1411100330896784</v>
      </c>
      <c r="CE11" s="316">
        <f t="shared" si="43"/>
        <v>2.1411100330896784</v>
      </c>
      <c r="CF11" s="316">
        <f t="shared" si="43"/>
        <v>2.1411100330896784</v>
      </c>
      <c r="CG11" s="322">
        <f>BJ11</f>
        <v>2.1411100330896784</v>
      </c>
      <c r="CH11" s="92"/>
      <c r="CI11" s="516">
        <f>[5]Vehi_Inputs!$E$24*Convert!$G$10*[5]Battery_Sum!$B$40/1000</f>
        <v>2.1411100330896784</v>
      </c>
      <c r="CJ11" s="518">
        <f>[5]Vehi_Inputs!$D$88</f>
        <v>15.273378000000001</v>
      </c>
      <c r="CK11" s="87">
        <f>ROUND(300*'3_Use'!CK4*1.2,-1)</f>
        <v>70</v>
      </c>
      <c r="CL11" s="456">
        <f>CK11*2</f>
        <v>140</v>
      </c>
      <c r="CM11" s="322">
        <f>CI11</f>
        <v>2.1411100330896784</v>
      </c>
      <c r="CN11" s="92"/>
      <c r="CO11" s="92">
        <f>[6]Vehi_Inputs!$E$24*Convert!$G$10*[6]Battery_Sum!$B$40/1000</f>
        <v>3.0134141206447325</v>
      </c>
      <c r="CP11" s="172">
        <f>AQ11*'3_Use'!CP4/'3_Use'!AQ4</f>
        <v>16.055876435787546</v>
      </c>
      <c r="CQ11" s="87">
        <f>ROUND(300*'3_Use'!CQ4,-1)</f>
        <v>60</v>
      </c>
      <c r="CR11" s="322">
        <f>CO11</f>
        <v>3.0134141206447325</v>
      </c>
      <c r="CS11" s="92"/>
      <c r="CT11" s="92">
        <f>[6]Vehi_Inputs!$E$24*Convert!$G$10*[6]Battery_Sum!$B$40/1000</f>
        <v>3.0134141206447325</v>
      </c>
      <c r="CU11" s="172">
        <f>BK11*'3_Use'!CU4/'3_Use'!BK4</f>
        <v>16.055876435787546</v>
      </c>
      <c r="CV11" s="87">
        <f>ROUND(300*'3_Use'!CV4*1.2,-1)</f>
        <v>70</v>
      </c>
      <c r="CW11" s="456">
        <f>CV11*2</f>
        <v>140</v>
      </c>
      <c r="CX11" s="322">
        <f>CT11</f>
        <v>3.0134141206447325</v>
      </c>
      <c r="CY11" s="92"/>
      <c r="CZ11" s="516">
        <f>'3_Use'!DA4/'3_Use'!CU4*CT11</f>
        <v>3.0134141206447325</v>
      </c>
      <c r="DA11" s="516">
        <f>'3_Use'!DB4/'3_Use'!CV4*CU11</f>
        <v>16.055876435787546</v>
      </c>
      <c r="DB11" s="87">
        <f>ROUND(300*'3_Use'!DB4*1.2,-1)</f>
        <v>70</v>
      </c>
      <c r="DC11" s="456">
        <f>DB11*2</f>
        <v>140</v>
      </c>
      <c r="DD11" s="322">
        <f>CZ11</f>
        <v>3.0134141206447325</v>
      </c>
      <c r="DE11" s="92"/>
      <c r="DF11" s="516">
        <f>'3_Use'!DH4/'3_Use'!DA4*CZ11</f>
        <v>6.4576427005561392</v>
      </c>
      <c r="DG11" s="516"/>
      <c r="DH11" s="87">
        <f>ROUND(300*'3_Use'!DH4*1.2,-1)</f>
        <v>150</v>
      </c>
      <c r="DI11" s="456">
        <f>DH11*2</f>
        <v>300</v>
      </c>
      <c r="DJ11" s="322">
        <f>DF11</f>
        <v>6.4576427005561392</v>
      </c>
      <c r="DK11" s="92"/>
      <c r="DL11" s="92"/>
      <c r="DM11" s="92"/>
      <c r="DN11" s="92"/>
      <c r="DO11" s="92"/>
      <c r="DP11" s="92"/>
      <c r="DQ11" s="92"/>
      <c r="DR11" s="72">
        <f>ROUND(Tech_Specs_Bus!D40,-1)</f>
        <v>20</v>
      </c>
      <c r="DS11" s="91">
        <f>DT11</f>
        <v>650</v>
      </c>
      <c r="DT11" s="87">
        <f>DU11*2</f>
        <v>650</v>
      </c>
      <c r="DU11" s="87">
        <f>ROUND(Tech_Specs_Bus!B67*2,-1)/2</f>
        <v>325</v>
      </c>
      <c r="DV11" s="91">
        <f>DW11</f>
        <v>20</v>
      </c>
      <c r="DW11" s="323">
        <f>DR11</f>
        <v>20</v>
      </c>
      <c r="DX11" s="92"/>
      <c r="DY11" s="92"/>
      <c r="DZ11" s="92"/>
      <c r="EA11" s="92"/>
      <c r="EB11" s="92"/>
      <c r="EC11" s="92"/>
      <c r="ED11" s="92"/>
    </row>
    <row r="12" spans="1:137" x14ac:dyDescent="0.3">
      <c r="A12" s="21" t="s">
        <v>955</v>
      </c>
      <c r="C12" s="21" t="s">
        <v>956</v>
      </c>
      <c r="D12" s="60" t="s">
        <v>951</v>
      </c>
      <c r="E12" s="60" t="s">
        <v>951</v>
      </c>
      <c r="F12" s="317" t="s">
        <v>950</v>
      </c>
      <c r="G12" s="60" t="s">
        <v>951</v>
      </c>
      <c r="H12" s="60" t="s">
        <v>951</v>
      </c>
      <c r="I12" s="60" t="s">
        <v>951</v>
      </c>
      <c r="J12" s="60" t="s">
        <v>951</v>
      </c>
      <c r="K12" s="60" t="s">
        <v>951</v>
      </c>
      <c r="L12" s="60" t="s">
        <v>951</v>
      </c>
      <c r="M12" s="60" t="s">
        <v>951</v>
      </c>
      <c r="N12" s="60" t="s">
        <v>951</v>
      </c>
      <c r="O12" s="60" t="s">
        <v>951</v>
      </c>
      <c r="P12" s="60" t="s">
        <v>951</v>
      </c>
      <c r="Q12" s="60" t="s">
        <v>951</v>
      </c>
      <c r="R12" s="60" t="s">
        <v>951</v>
      </c>
      <c r="S12" s="60" t="s">
        <v>951</v>
      </c>
      <c r="T12" s="317" t="s">
        <v>950</v>
      </c>
      <c r="U12" s="60" t="s">
        <v>951</v>
      </c>
      <c r="V12" s="60" t="s">
        <v>951</v>
      </c>
      <c r="W12" s="60" t="s">
        <v>951</v>
      </c>
      <c r="X12" s="317" t="s">
        <v>950</v>
      </c>
      <c r="Y12" s="60" t="s">
        <v>951</v>
      </c>
      <c r="Z12" s="60" t="s">
        <v>951</v>
      </c>
      <c r="AA12" s="60" t="s">
        <v>951</v>
      </c>
      <c r="AB12" s="317" t="s">
        <v>950</v>
      </c>
      <c r="AC12" s="60" t="s">
        <v>951</v>
      </c>
      <c r="AD12" s="60" t="s">
        <v>951</v>
      </c>
      <c r="AE12" s="60" t="s">
        <v>951</v>
      </c>
      <c r="AF12" s="60" t="s">
        <v>951</v>
      </c>
      <c r="AG12" s="60" t="s">
        <v>951</v>
      </c>
      <c r="AH12" s="60" t="s">
        <v>951</v>
      </c>
      <c r="AI12" s="60" t="s">
        <v>951</v>
      </c>
      <c r="AJ12" s="60" t="s">
        <v>951</v>
      </c>
      <c r="AK12" s="60" t="s">
        <v>951</v>
      </c>
      <c r="AL12" s="60" t="s">
        <v>951</v>
      </c>
      <c r="AM12" s="60" t="s">
        <v>951</v>
      </c>
      <c r="AN12" s="60" t="s">
        <v>951</v>
      </c>
      <c r="AO12" s="60" t="s">
        <v>951</v>
      </c>
      <c r="AP12" s="60" t="s">
        <v>951</v>
      </c>
      <c r="AQ12" s="60" t="s">
        <v>951</v>
      </c>
      <c r="AR12" s="60" t="s">
        <v>951</v>
      </c>
      <c r="AS12" s="60" t="s">
        <v>951</v>
      </c>
      <c r="AT12" s="60" t="s">
        <v>951</v>
      </c>
      <c r="AU12" s="317" t="s">
        <v>950</v>
      </c>
      <c r="AV12" s="60" t="s">
        <v>951</v>
      </c>
      <c r="AW12" s="60" t="s">
        <v>951</v>
      </c>
      <c r="AX12" s="60" t="s">
        <v>951</v>
      </c>
      <c r="AY12" s="60" t="s">
        <v>951</v>
      </c>
      <c r="AZ12" s="60" t="s">
        <v>951</v>
      </c>
      <c r="BA12" s="60" t="s">
        <v>951</v>
      </c>
      <c r="BB12" s="60" t="s">
        <v>951</v>
      </c>
      <c r="BC12" s="60" t="s">
        <v>951</v>
      </c>
      <c r="BD12" s="60" t="s">
        <v>951</v>
      </c>
      <c r="BE12" s="60" t="s">
        <v>951</v>
      </c>
      <c r="BF12" s="60" t="s">
        <v>951</v>
      </c>
      <c r="BG12" s="60" t="s">
        <v>951</v>
      </c>
      <c r="BH12" s="60" t="s">
        <v>951</v>
      </c>
      <c r="BI12" s="60" t="s">
        <v>951</v>
      </c>
      <c r="BJ12" s="60" t="s">
        <v>951</v>
      </c>
      <c r="BK12" s="60" t="s">
        <v>951</v>
      </c>
      <c r="BL12" s="60" t="s">
        <v>951</v>
      </c>
      <c r="BM12" s="60" t="s">
        <v>951</v>
      </c>
      <c r="BN12" s="60" t="s">
        <v>951</v>
      </c>
      <c r="BO12" s="60" t="s">
        <v>951</v>
      </c>
      <c r="BP12" s="60" t="s">
        <v>951</v>
      </c>
      <c r="BQ12" s="317" t="s">
        <v>950</v>
      </c>
      <c r="BR12" s="60" t="s">
        <v>951</v>
      </c>
      <c r="BS12" s="60" t="s">
        <v>951</v>
      </c>
      <c r="BT12" s="60" t="s">
        <v>951</v>
      </c>
      <c r="BU12" s="60" t="s">
        <v>951</v>
      </c>
      <c r="BV12" s="60" t="s">
        <v>951</v>
      </c>
      <c r="BW12" s="60" t="s">
        <v>951</v>
      </c>
      <c r="BX12" s="60" t="s">
        <v>951</v>
      </c>
      <c r="BY12" s="60" t="s">
        <v>951</v>
      </c>
      <c r="BZ12" s="317" t="s">
        <v>950</v>
      </c>
      <c r="CA12" s="60" t="s">
        <v>951</v>
      </c>
      <c r="CB12" s="60" t="s">
        <v>951</v>
      </c>
      <c r="CC12" s="60" t="s">
        <v>951</v>
      </c>
      <c r="CD12" s="60" t="s">
        <v>951</v>
      </c>
      <c r="CE12" s="60" t="s">
        <v>951</v>
      </c>
      <c r="CF12" s="60" t="s">
        <v>951</v>
      </c>
      <c r="CG12" s="60" t="s">
        <v>951</v>
      </c>
      <c r="CH12" s="60" t="s">
        <v>951</v>
      </c>
      <c r="CI12" s="60" t="s">
        <v>951</v>
      </c>
      <c r="CJ12" s="60" t="s">
        <v>951</v>
      </c>
      <c r="CK12" s="60" t="s">
        <v>951</v>
      </c>
      <c r="CL12" s="60" t="s">
        <v>951</v>
      </c>
      <c r="CM12" s="60" t="s">
        <v>951</v>
      </c>
      <c r="CN12" s="60" t="s">
        <v>951</v>
      </c>
      <c r="CO12" s="60" t="s">
        <v>951</v>
      </c>
      <c r="CP12" s="60" t="s">
        <v>951</v>
      </c>
      <c r="CQ12" s="60" t="s">
        <v>951</v>
      </c>
      <c r="CR12" s="60" t="s">
        <v>951</v>
      </c>
      <c r="CS12" s="60" t="s">
        <v>951</v>
      </c>
      <c r="CT12" s="60" t="s">
        <v>951</v>
      </c>
      <c r="CU12" s="60" t="s">
        <v>951</v>
      </c>
      <c r="CV12" s="60" t="s">
        <v>951</v>
      </c>
      <c r="CW12" s="60" t="s">
        <v>951</v>
      </c>
      <c r="CX12" s="60" t="s">
        <v>951</v>
      </c>
      <c r="CY12" s="60" t="s">
        <v>951</v>
      </c>
      <c r="CZ12" s="60" t="s">
        <v>951</v>
      </c>
      <c r="DA12" s="60" t="s">
        <v>951</v>
      </c>
      <c r="DB12" s="60" t="s">
        <v>951</v>
      </c>
      <c r="DC12" s="60" t="s">
        <v>951</v>
      </c>
      <c r="DD12" s="60" t="s">
        <v>951</v>
      </c>
      <c r="DE12" s="60" t="s">
        <v>951</v>
      </c>
      <c r="DF12" s="60" t="s">
        <v>951</v>
      </c>
      <c r="DG12" s="60"/>
      <c r="DH12" s="60" t="s">
        <v>951</v>
      </c>
      <c r="DI12" s="60" t="s">
        <v>951</v>
      </c>
      <c r="DJ12" s="60" t="s">
        <v>951</v>
      </c>
      <c r="DK12" s="60" t="s">
        <v>951</v>
      </c>
      <c r="DL12" s="60" t="s">
        <v>951</v>
      </c>
      <c r="DM12" s="60" t="s">
        <v>951</v>
      </c>
      <c r="DN12" s="60" t="s">
        <v>951</v>
      </c>
      <c r="DO12" s="60" t="s">
        <v>951</v>
      </c>
      <c r="DP12" s="60" t="s">
        <v>951</v>
      </c>
      <c r="DQ12" s="60" t="s">
        <v>951</v>
      </c>
      <c r="DR12" s="60" t="s">
        <v>951</v>
      </c>
      <c r="DS12" s="60" t="s">
        <v>951</v>
      </c>
      <c r="DT12" s="60" t="s">
        <v>951</v>
      </c>
      <c r="DU12" s="60" t="s">
        <v>951</v>
      </c>
      <c r="DV12" s="60" t="s">
        <v>951</v>
      </c>
      <c r="DW12" s="60" t="s">
        <v>951</v>
      </c>
      <c r="DX12" s="60" t="s">
        <v>951</v>
      </c>
      <c r="DY12" s="60" t="s">
        <v>951</v>
      </c>
      <c r="DZ12" s="60" t="s">
        <v>951</v>
      </c>
      <c r="EA12" s="60" t="s">
        <v>951</v>
      </c>
      <c r="EB12" s="60" t="s">
        <v>951</v>
      </c>
      <c r="EC12" s="60" t="s">
        <v>951</v>
      </c>
      <c r="ED12" s="60" t="s">
        <v>951</v>
      </c>
    </row>
    <row r="13" spans="1:137" x14ac:dyDescent="0.3">
      <c r="A13" s="21" t="s">
        <v>131</v>
      </c>
      <c r="D13" s="163" t="s">
        <v>124</v>
      </c>
      <c r="E13" s="163" t="s">
        <v>124</v>
      </c>
      <c r="F13" s="163" t="s">
        <v>124</v>
      </c>
      <c r="G13" s="163" t="s">
        <v>124</v>
      </c>
      <c r="H13" s="163" t="s">
        <v>124</v>
      </c>
      <c r="I13" s="163" t="s">
        <v>124</v>
      </c>
      <c r="J13" s="163" t="s">
        <v>124</v>
      </c>
      <c r="K13" s="163" t="s">
        <v>124</v>
      </c>
      <c r="L13" s="163" t="s">
        <v>124</v>
      </c>
      <c r="M13" s="163" t="s">
        <v>124</v>
      </c>
      <c r="N13" s="163" t="s">
        <v>124</v>
      </c>
      <c r="O13" s="163" t="s">
        <v>124</v>
      </c>
      <c r="P13" s="163" t="s">
        <v>124</v>
      </c>
      <c r="Q13" s="163" t="s">
        <v>124</v>
      </c>
      <c r="R13" s="163" t="s">
        <v>124</v>
      </c>
      <c r="S13" s="163" t="s">
        <v>124</v>
      </c>
      <c r="T13" s="163" t="s">
        <v>124</v>
      </c>
      <c r="U13" s="163" t="s">
        <v>124</v>
      </c>
      <c r="V13" s="163" t="s">
        <v>124</v>
      </c>
      <c r="W13" s="163" t="s">
        <v>124</v>
      </c>
      <c r="X13" s="163" t="s">
        <v>124</v>
      </c>
      <c r="Y13" s="163" t="s">
        <v>124</v>
      </c>
      <c r="Z13" s="163" t="s">
        <v>124</v>
      </c>
      <c r="AA13" s="163" t="s">
        <v>124</v>
      </c>
      <c r="AB13" s="163" t="s">
        <v>124</v>
      </c>
      <c r="AC13" s="163" t="s">
        <v>124</v>
      </c>
      <c r="AD13" s="163" t="s">
        <v>124</v>
      </c>
      <c r="AE13" s="163" t="s">
        <v>124</v>
      </c>
      <c r="AF13" s="163" t="s">
        <v>124</v>
      </c>
      <c r="AG13" s="163"/>
      <c r="AH13" s="163" t="s">
        <v>124</v>
      </c>
      <c r="AI13" s="163"/>
      <c r="AJ13" s="163" t="s">
        <v>124</v>
      </c>
      <c r="AK13" s="163"/>
      <c r="AL13" s="163" t="s">
        <v>124</v>
      </c>
      <c r="AM13" s="163"/>
      <c r="AN13" s="163" t="s">
        <v>124</v>
      </c>
      <c r="AO13" s="163"/>
      <c r="AP13" s="487" t="s">
        <v>124</v>
      </c>
      <c r="AQ13" s="163" t="s">
        <v>124</v>
      </c>
      <c r="AR13" s="316" t="str">
        <f t="shared" si="34"/>
        <v>NMC111</v>
      </c>
      <c r="AS13" s="316" t="str">
        <f t="shared" si="34"/>
        <v>NMC111</v>
      </c>
      <c r="AT13" s="316" t="str">
        <f t="shared" si="34"/>
        <v>NMC111</v>
      </c>
      <c r="AU13" s="316" t="str">
        <f t="shared" si="34"/>
        <v>NMC111</v>
      </c>
      <c r="AV13" s="316" t="str">
        <f t="shared" si="34"/>
        <v>NMC111</v>
      </c>
      <c r="AW13" s="316" t="str">
        <f t="shared" si="34"/>
        <v>NMC111</v>
      </c>
      <c r="AX13" s="163" t="s">
        <v>124</v>
      </c>
      <c r="AY13" s="316" t="str">
        <f>$BB13</f>
        <v>NMC111</v>
      </c>
      <c r="AZ13" s="316" t="str">
        <f>$BB13</f>
        <v>NMC111</v>
      </c>
      <c r="BA13" s="316" t="str">
        <f>$BB13</f>
        <v>NMC111</v>
      </c>
      <c r="BB13" s="322" t="s">
        <v>124</v>
      </c>
      <c r="BC13" s="163"/>
      <c r="BD13" s="163"/>
      <c r="BE13" s="163"/>
      <c r="BF13" s="163"/>
      <c r="BG13" s="163"/>
      <c r="BH13" s="163"/>
      <c r="BI13" s="163"/>
      <c r="BJ13" s="487" t="s">
        <v>124</v>
      </c>
      <c r="BK13" s="163" t="s">
        <v>124</v>
      </c>
      <c r="BL13" s="316" t="str">
        <f t="shared" ref="BL13:BP13" si="44">$BT13</f>
        <v>NMC111</v>
      </c>
      <c r="BM13" s="316" t="str">
        <f t="shared" si="44"/>
        <v>NMC111</v>
      </c>
      <c r="BN13" s="316" t="str">
        <f t="shared" si="44"/>
        <v>NMC111</v>
      </c>
      <c r="BO13" s="316" t="str">
        <f t="shared" si="44"/>
        <v>NMC111</v>
      </c>
      <c r="BP13" s="316" t="str">
        <f t="shared" si="44"/>
        <v>NMC111</v>
      </c>
      <c r="BQ13" s="316" t="str">
        <f>$BT13</f>
        <v>NMC111</v>
      </c>
      <c r="BR13" s="316" t="str">
        <f>$BT13</f>
        <v>NMC111</v>
      </c>
      <c r="BS13" s="316" t="str">
        <f>$BT13</f>
        <v>NMC111</v>
      </c>
      <c r="BT13" s="163" t="s">
        <v>124</v>
      </c>
      <c r="BU13" s="316" t="str">
        <f t="shared" ref="BU13:BY13" si="45">$CC13</f>
        <v>NMC111</v>
      </c>
      <c r="BV13" s="316" t="str">
        <f t="shared" si="45"/>
        <v>NMC111</v>
      </c>
      <c r="BW13" s="316" t="str">
        <f t="shared" si="45"/>
        <v>NMC111</v>
      </c>
      <c r="BX13" s="316" t="str">
        <f t="shared" si="45"/>
        <v>NMC111</v>
      </c>
      <c r="BY13" s="316" t="str">
        <f t="shared" si="45"/>
        <v>NMC111</v>
      </c>
      <c r="BZ13" s="316" t="str">
        <f>$CC13</f>
        <v>NMC111</v>
      </c>
      <c r="CA13" s="316" t="str">
        <f>$CC13</f>
        <v>NMC111</v>
      </c>
      <c r="CB13" s="91" t="str">
        <f>$CC13</f>
        <v>NMC111</v>
      </c>
      <c r="CC13" s="163" t="s">
        <v>124</v>
      </c>
      <c r="CD13" s="316" t="s">
        <v>124</v>
      </c>
      <c r="CE13" s="316" t="s">
        <v>124</v>
      </c>
      <c r="CF13" s="316" t="s">
        <v>124</v>
      </c>
      <c r="CG13" s="322" t="s">
        <v>124</v>
      </c>
      <c r="CH13" s="322"/>
      <c r="CI13" s="486" t="s">
        <v>124</v>
      </c>
      <c r="CJ13" s="163" t="s">
        <v>124</v>
      </c>
      <c r="CK13" s="163" t="s">
        <v>124</v>
      </c>
      <c r="CL13" s="163" t="s">
        <v>124</v>
      </c>
      <c r="CM13" s="322" t="s">
        <v>124</v>
      </c>
      <c r="CN13" s="322"/>
      <c r="CO13" s="486" t="s">
        <v>124</v>
      </c>
      <c r="CP13" s="163" t="s">
        <v>124</v>
      </c>
      <c r="CQ13" s="163" t="s">
        <v>124</v>
      </c>
      <c r="CR13" s="322" t="s">
        <v>124</v>
      </c>
      <c r="CS13" s="322"/>
      <c r="CT13" s="486" t="s">
        <v>124</v>
      </c>
      <c r="CU13" s="163" t="s">
        <v>124</v>
      </c>
      <c r="CV13" s="163" t="s">
        <v>124</v>
      </c>
      <c r="CW13" s="163" t="s">
        <v>124</v>
      </c>
      <c r="CX13" s="322" t="s">
        <v>124</v>
      </c>
      <c r="CY13" s="322"/>
      <c r="CZ13" s="486" t="s">
        <v>124</v>
      </c>
      <c r="DA13" s="163" t="s">
        <v>124</v>
      </c>
      <c r="DB13" s="163" t="s">
        <v>124</v>
      </c>
      <c r="DC13" s="163" t="s">
        <v>124</v>
      </c>
      <c r="DD13" s="322" t="s">
        <v>124</v>
      </c>
      <c r="DE13" s="322"/>
      <c r="DF13" s="486" t="s">
        <v>124</v>
      </c>
      <c r="DG13" s="163"/>
      <c r="DH13" s="163" t="s">
        <v>124</v>
      </c>
      <c r="DI13" s="163" t="s">
        <v>124</v>
      </c>
      <c r="DJ13" s="322" t="s">
        <v>124</v>
      </c>
      <c r="DK13" s="322"/>
      <c r="DL13" s="322"/>
      <c r="DM13" s="322"/>
      <c r="DN13" s="322"/>
      <c r="DO13" s="322"/>
      <c r="DP13" s="322"/>
      <c r="DQ13" s="322"/>
      <c r="DR13" s="163" t="s">
        <v>156</v>
      </c>
      <c r="DS13" s="163" t="s">
        <v>156</v>
      </c>
      <c r="DT13" s="163" t="s">
        <v>156</v>
      </c>
      <c r="DU13" s="163" t="s">
        <v>156</v>
      </c>
      <c r="DV13" s="322" t="s">
        <v>156</v>
      </c>
      <c r="DW13" s="322" t="s">
        <v>156</v>
      </c>
      <c r="DX13" s="322"/>
      <c r="DY13" s="322"/>
      <c r="DZ13" s="322"/>
      <c r="EA13" s="322"/>
      <c r="EB13" s="322"/>
      <c r="EC13" s="322"/>
      <c r="ED13" s="322"/>
      <c r="EG13" s="74"/>
    </row>
    <row r="14" spans="1:137" x14ac:dyDescent="0.3">
      <c r="A14" s="21" t="s">
        <v>1124</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297" t="s">
        <v>1149</v>
      </c>
      <c r="AZ14" s="297" t="s">
        <v>1147</v>
      </c>
      <c r="BA14" s="297" t="s">
        <v>1148</v>
      </c>
      <c r="BB14" s="117" t="s">
        <v>933</v>
      </c>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297" t="s">
        <v>1149</v>
      </c>
      <c r="CE14" s="297" t="s">
        <v>1147</v>
      </c>
      <c r="CF14" s="297" t="s">
        <v>1148</v>
      </c>
      <c r="CG14" s="117" t="s">
        <v>933</v>
      </c>
      <c r="CH14" s="117"/>
      <c r="CI14" s="117"/>
      <c r="CJ14" s="117"/>
      <c r="CK14" s="117"/>
      <c r="CL14" s="117"/>
      <c r="CM14" s="117" t="s">
        <v>933</v>
      </c>
      <c r="CN14" s="117"/>
      <c r="CO14" s="117"/>
      <c r="CP14" s="117"/>
      <c r="CQ14" s="117"/>
      <c r="CR14" s="117" t="s">
        <v>933</v>
      </c>
      <c r="CS14" s="117"/>
      <c r="CT14" s="117"/>
      <c r="CU14" s="117"/>
      <c r="CV14" s="117"/>
      <c r="CW14" s="117"/>
      <c r="CX14" s="117" t="s">
        <v>933</v>
      </c>
      <c r="CY14" s="117"/>
      <c r="CZ14" s="117"/>
      <c r="DA14" s="117"/>
      <c r="DB14" s="117"/>
      <c r="DC14" s="117"/>
      <c r="DD14" s="117" t="s">
        <v>933</v>
      </c>
      <c r="DE14" s="117"/>
      <c r="DF14" s="117"/>
      <c r="DG14" s="117"/>
      <c r="DH14" s="117"/>
      <c r="DI14" s="117"/>
      <c r="DJ14" s="117" t="s">
        <v>933</v>
      </c>
      <c r="DK14" s="117"/>
      <c r="DL14" s="117"/>
      <c r="DM14" s="117"/>
      <c r="DN14" s="117"/>
      <c r="DO14" s="117"/>
      <c r="DP14" s="117"/>
      <c r="DQ14" s="117"/>
      <c r="DR14" s="117"/>
      <c r="DS14" s="117"/>
      <c r="DT14" s="117"/>
      <c r="DU14" s="117"/>
      <c r="DV14" s="297" t="s">
        <v>1147</v>
      </c>
      <c r="DW14" s="117" t="s">
        <v>933</v>
      </c>
      <c r="DX14" s="117"/>
      <c r="DY14" s="117"/>
      <c r="DZ14" s="117"/>
      <c r="EA14" s="117"/>
      <c r="EB14" s="117"/>
      <c r="EC14" s="117"/>
      <c r="ED14" s="117"/>
      <c r="EG14" s="74"/>
    </row>
    <row r="16" spans="1:137" x14ac:dyDescent="0.3">
      <c r="A16" s="21" t="s">
        <v>838</v>
      </c>
      <c r="B16" s="21" t="s">
        <v>839</v>
      </c>
      <c r="D16" s="117">
        <v>1</v>
      </c>
      <c r="E16" s="117">
        <v>1</v>
      </c>
      <c r="F16" s="117">
        <v>1</v>
      </c>
      <c r="G16" s="117">
        <v>1</v>
      </c>
      <c r="H16" s="117">
        <v>1</v>
      </c>
      <c r="I16" s="117">
        <v>1</v>
      </c>
      <c r="J16" s="117">
        <v>1</v>
      </c>
      <c r="K16" s="117">
        <v>1</v>
      </c>
      <c r="L16" s="117">
        <v>1</v>
      </c>
      <c r="M16" s="117">
        <v>1</v>
      </c>
      <c r="N16" s="117">
        <v>1</v>
      </c>
      <c r="O16" s="117">
        <v>1</v>
      </c>
      <c r="P16" s="117">
        <v>1</v>
      </c>
      <c r="Q16" s="117">
        <v>1</v>
      </c>
      <c r="R16" s="117">
        <v>1</v>
      </c>
      <c r="S16" s="117">
        <v>1</v>
      </c>
      <c r="T16" s="117">
        <v>1</v>
      </c>
      <c r="U16" s="117">
        <v>1</v>
      </c>
      <c r="V16" s="117">
        <v>1</v>
      </c>
      <c r="W16" s="117">
        <v>1</v>
      </c>
      <c r="X16" s="117">
        <v>1</v>
      </c>
      <c r="Y16" s="117">
        <v>1</v>
      </c>
      <c r="Z16" s="117">
        <v>1</v>
      </c>
      <c r="AA16" s="117">
        <v>1</v>
      </c>
      <c r="AB16" s="117">
        <v>1</v>
      </c>
      <c r="AC16" s="117">
        <v>1</v>
      </c>
      <c r="AD16" s="117">
        <v>1</v>
      </c>
      <c r="AE16" s="117">
        <v>1</v>
      </c>
      <c r="AF16" s="117">
        <v>1</v>
      </c>
      <c r="AG16" s="117">
        <v>1</v>
      </c>
      <c r="AH16" s="117">
        <v>1</v>
      </c>
      <c r="AI16" s="117">
        <v>1</v>
      </c>
      <c r="AJ16" s="117">
        <v>1</v>
      </c>
      <c r="AK16" s="117">
        <v>1</v>
      </c>
      <c r="AL16" s="117">
        <v>1</v>
      </c>
      <c r="AM16" s="117">
        <v>1</v>
      </c>
      <c r="AN16" s="117">
        <v>1</v>
      </c>
      <c r="AO16" s="117">
        <f>AVERAGE(1.5)</f>
        <v>1.5</v>
      </c>
      <c r="AP16" s="117">
        <f t="shared" ref="AP16:BB16" si="46">AVERAGE(1.5)</f>
        <v>1.5</v>
      </c>
      <c r="AQ16" s="117">
        <f t="shared" si="46"/>
        <v>1.5</v>
      </c>
      <c r="AR16" s="117">
        <f t="shared" si="46"/>
        <v>1.5</v>
      </c>
      <c r="AS16" s="117">
        <f t="shared" si="46"/>
        <v>1.5</v>
      </c>
      <c r="AT16" s="117">
        <f t="shared" si="46"/>
        <v>1.5</v>
      </c>
      <c r="AU16" s="117">
        <f t="shared" si="46"/>
        <v>1.5</v>
      </c>
      <c r="AV16" s="117">
        <f t="shared" si="46"/>
        <v>1.5</v>
      </c>
      <c r="AW16" s="117">
        <f t="shared" si="46"/>
        <v>1.5</v>
      </c>
      <c r="AX16" s="117">
        <f t="shared" si="46"/>
        <v>1.5</v>
      </c>
      <c r="AY16" s="117">
        <f t="shared" si="46"/>
        <v>1.5</v>
      </c>
      <c r="AZ16" s="117">
        <f t="shared" si="46"/>
        <v>1.5</v>
      </c>
      <c r="BA16" s="117">
        <f t="shared" si="46"/>
        <v>1.5</v>
      </c>
      <c r="BB16" s="117">
        <f t="shared" si="46"/>
        <v>1.5</v>
      </c>
      <c r="BC16" s="461">
        <f>(2.25*Tech_Spec_TNC!O13+0*Tech_Spec_TNC!T14)/(Tech_Spec_TNC!O13+Tech_Spec_TNC!T14)</f>
        <v>1.5988235294117648</v>
      </c>
      <c r="BD16" s="461">
        <f>(Tech_Spec_TNC!D20*Tech_Spec_TNC!O13+0*Tech_Spec_TNC!R14)/(Tech_Spec_TNC!O13+Tech_Spec_TNC!R14)</f>
        <v>0.80235294117647071</v>
      </c>
      <c r="BE16" s="461">
        <f>(Tech_Spec_TNC!D20*Tech_Spec_TNC!O13+0*Tech_Spec_TNC!T14)/(Tech_Spec_TNC!O13+Tech_Spec_TNC!T14)</f>
        <v>1.1014117647058823</v>
      </c>
      <c r="BF16" s="461">
        <f>(1*Tech_Spec_TNC!O13+0*Tech_Spec_TNC!O14)/(Tech_Spec_TNC!O13+Tech_Spec_TNC!O14)</f>
        <v>0.61411764705882355</v>
      </c>
      <c r="BG16" s="461">
        <f>(2*Tech_Spec_TNC!O13+0*Tech_Spec_TNC!O14)/(Tech_Spec_TNC!O13+Tech_Spec_TNC!O14)</f>
        <v>1.2282352941176471</v>
      </c>
      <c r="BH16" s="461">
        <f>(Tech_Spec_TNC!D20*1.25*Tech_Spec_TNC!O13+0*Tech_Spec_TNC!O14)/(Tech_Spec_TNC!O13+Tech_Spec_TNC!O14)</f>
        <v>1.1898529411764707</v>
      </c>
      <c r="BI16" s="329">
        <f>(Tech_Spec_TNC!D20*Tech_Spec_TNC!O13+0*Tech_Spec_TNC!O14)/(Tech_Spec_TNC!O13+Tech_Spec_TNC!O14)</f>
        <v>0.95188235294117651</v>
      </c>
      <c r="BJ16" s="117">
        <f>$BI16</f>
        <v>0.95188235294117651</v>
      </c>
      <c r="BK16" s="117">
        <f>$BI16</f>
        <v>0.95188235294117651</v>
      </c>
      <c r="BL16" s="461">
        <f>BF16</f>
        <v>0.61411764705882355</v>
      </c>
      <c r="BM16" s="461">
        <f>BG16</f>
        <v>1.2282352941176471</v>
      </c>
      <c r="BN16" s="461">
        <f>BH16</f>
        <v>1.1898529411764707</v>
      </c>
      <c r="BO16" s="460">
        <f>$BT16</f>
        <v>0.95188235294117651</v>
      </c>
      <c r="BP16" s="460">
        <f>$BT16</f>
        <v>0.95188235294117651</v>
      </c>
      <c r="BQ16" s="460">
        <f>$BT16</f>
        <v>0.95188235294117651</v>
      </c>
      <c r="BR16" s="460">
        <f>$BT16</f>
        <v>0.95188235294117651</v>
      </c>
      <c r="BS16" s="460">
        <f>$BT16</f>
        <v>0.95188235294117651</v>
      </c>
      <c r="BT16" s="117">
        <f>$BI16</f>
        <v>0.95188235294117651</v>
      </c>
      <c r="BU16" s="461">
        <f>BL16</f>
        <v>0.61411764705882355</v>
      </c>
      <c r="BV16" s="461">
        <f>BM16</f>
        <v>1.2282352941176471</v>
      </c>
      <c r="BW16" s="461">
        <f>BN16</f>
        <v>1.1898529411764707</v>
      </c>
      <c r="BX16" s="460">
        <f>$CC16</f>
        <v>0.95188235294117651</v>
      </c>
      <c r="BY16" s="460">
        <f>$CC16</f>
        <v>0.95188235294117651</v>
      </c>
      <c r="BZ16" s="460">
        <f>$CC16</f>
        <v>0.95188235294117651</v>
      </c>
      <c r="CA16" s="460">
        <f>$CC16</f>
        <v>0.95188235294117651</v>
      </c>
      <c r="CB16" s="460">
        <f>$CC16</f>
        <v>0.95188235294117651</v>
      </c>
      <c r="CC16" s="117">
        <f>$BI16</f>
        <v>0.95188235294117651</v>
      </c>
      <c r="CD16" s="460">
        <f>$CG16</f>
        <v>0.95188235294117651</v>
      </c>
      <c r="CE16" s="460">
        <f>$CG16</f>
        <v>0.95188235294117651</v>
      </c>
      <c r="CF16" s="460">
        <f>$CG16</f>
        <v>0.95188235294117651</v>
      </c>
      <c r="CG16" s="117">
        <f>$BI16</f>
        <v>0.95188235294117651</v>
      </c>
      <c r="CH16" s="516">
        <f>(Tech_Spec_TNC!D58*Tech_Spec_TNC!O58+0*Tech_Spec_TNC!O59)/(Tech_Spec_TNC!O58+Tech_Spec_TNC!O59)</f>
        <v>0.73275269645188168</v>
      </c>
      <c r="CI16" s="316">
        <f>$CH16</f>
        <v>0.73275269645188168</v>
      </c>
      <c r="CJ16" s="316">
        <f>$CH16</f>
        <v>0.73275269645188168</v>
      </c>
      <c r="CK16" s="316">
        <f>$CH16</f>
        <v>0.73275269645188168</v>
      </c>
      <c r="CL16" s="316">
        <f>$CH16</f>
        <v>0.73275269645188168</v>
      </c>
      <c r="CM16" s="316">
        <f>$CH16</f>
        <v>0.73275269645188168</v>
      </c>
      <c r="CN16" s="117">
        <f t="shared" ref="CN16:CR16" si="47">AVERAGE(1.5)</f>
        <v>1.5</v>
      </c>
      <c r="CO16" s="117">
        <f t="shared" si="47"/>
        <v>1.5</v>
      </c>
      <c r="CP16" s="117">
        <f t="shared" si="47"/>
        <v>1.5</v>
      </c>
      <c r="CQ16" s="117">
        <f t="shared" si="47"/>
        <v>1.5</v>
      </c>
      <c r="CR16" s="117">
        <f t="shared" si="47"/>
        <v>1.5</v>
      </c>
      <c r="CS16" s="117">
        <f t="shared" ref="CS16:CX16" si="48">$BI16</f>
        <v>0.95188235294117651</v>
      </c>
      <c r="CT16" s="117">
        <f t="shared" si="48"/>
        <v>0.95188235294117651</v>
      </c>
      <c r="CU16" s="117">
        <f t="shared" si="48"/>
        <v>0.95188235294117651</v>
      </c>
      <c r="CV16" s="117">
        <f t="shared" si="48"/>
        <v>0.95188235294117651</v>
      </c>
      <c r="CW16" s="117">
        <f t="shared" si="48"/>
        <v>0.95188235294117651</v>
      </c>
      <c r="CX16" s="117">
        <f t="shared" si="48"/>
        <v>0.95188235294117651</v>
      </c>
      <c r="CY16" s="519">
        <f>(Tech_Spec_TNC!D41*Tech_Spec_TNC!O41+0*Tech_Spec_TNC!O42)/(Tech_Spec_TNC!O41+Tech_Spec_TNC!O42)</f>
        <v>3.2948375768217737</v>
      </c>
      <c r="CZ16" s="316">
        <f>CY16</f>
        <v>3.2948375768217737</v>
      </c>
      <c r="DA16" s="316">
        <f>CZ16</f>
        <v>3.2948375768217737</v>
      </c>
      <c r="DB16" s="316">
        <f>DA16</f>
        <v>3.2948375768217737</v>
      </c>
      <c r="DC16" s="316">
        <f>DB16</f>
        <v>3.2948375768217737</v>
      </c>
      <c r="DD16" s="316">
        <f>DC16</f>
        <v>3.2948375768217737</v>
      </c>
      <c r="DE16" s="519">
        <f>(Tech_Spec_TNC!D49*Tech_Spec_TNC!O49+0*Tech_Spec_TNC!O50)/(Tech_Spec_TNC!O49+Tech_Spec_TNC!O50)</f>
        <v>7.3964888156829538</v>
      </c>
      <c r="DF16" s="316">
        <f>$DE16</f>
        <v>7.3964888156829538</v>
      </c>
      <c r="DG16" s="316"/>
      <c r="DH16" s="316">
        <f>$DE16</f>
        <v>7.3964888156829538</v>
      </c>
      <c r="DI16" s="316">
        <f>$DE16</f>
        <v>7.3964888156829538</v>
      </c>
      <c r="DJ16" s="316">
        <f>$DE16</f>
        <v>7.3964888156829538</v>
      </c>
      <c r="DK16" s="91">
        <f>$DQ16</f>
        <v>17</v>
      </c>
      <c r="DL16" s="91">
        <f>$DQ16</f>
        <v>17</v>
      </c>
      <c r="DM16" s="91">
        <f>$DQ16</f>
        <v>17</v>
      </c>
      <c r="DN16" s="91">
        <f>$DQ16</f>
        <v>17</v>
      </c>
      <c r="DO16" s="297">
        <f>$DQ16*0.5</f>
        <v>8.5</v>
      </c>
      <c r="DP16" s="297">
        <f>$DQ16*1.5</f>
        <v>25.5</v>
      </c>
      <c r="DQ16" s="117">
        <f>ROUND((Tech_Specs_Infra!C258*Tech_Specs_Infra!C263)*(1-Tech_Specs_Bus!B61)+0*Tech_Specs_Bus!B61,0)</f>
        <v>17</v>
      </c>
      <c r="DR16" s="117">
        <f>DQ16</f>
        <v>17</v>
      </c>
      <c r="DS16" s="48">
        <f>DT16</f>
        <v>17</v>
      </c>
      <c r="DT16" s="117">
        <f>DQ16</f>
        <v>17</v>
      </c>
      <c r="DU16" s="117">
        <f>DR16</f>
        <v>17</v>
      </c>
      <c r="DV16" s="117">
        <f>DT16</f>
        <v>17</v>
      </c>
      <c r="DW16" s="117">
        <f>DU16</f>
        <v>17</v>
      </c>
      <c r="DX16" s="48">
        <f>$ED16</f>
        <v>190</v>
      </c>
      <c r="DY16" s="48">
        <f>$ED16</f>
        <v>190</v>
      </c>
      <c r="DZ16" s="48">
        <f>$ED16</f>
        <v>190</v>
      </c>
      <c r="EA16" s="48">
        <f>$ED16</f>
        <v>190</v>
      </c>
      <c r="EB16" s="297">
        <f>ED16*0.75</f>
        <v>142.5</v>
      </c>
      <c r="EC16" s="297">
        <f>ED16*1.25</f>
        <v>237.5</v>
      </c>
      <c r="ED16" s="117">
        <f>ROUND(Tech_Specs_Infra!$C$282*Tech_Specs_Infra!$C$287,-1)</f>
        <v>190</v>
      </c>
    </row>
    <row r="17" spans="1:134" x14ac:dyDescent="0.3">
      <c r="A17" s="21" t="s">
        <v>1207</v>
      </c>
      <c r="B17" s="21" t="str">
        <f>B16</f>
        <v>[pkm/vkm]</v>
      </c>
      <c r="D17" s="21">
        <f t="shared" ref="D17:BA17" si="49">(D16*D7+IF(D19=D2,0*D20*365*D4,0))/(D7+IF(D19=D2,D20*365*D4,0))</f>
        <v>1</v>
      </c>
      <c r="E17" s="21">
        <f t="shared" si="49"/>
        <v>1</v>
      </c>
      <c r="F17" s="21">
        <f t="shared" si="49"/>
        <v>1</v>
      </c>
      <c r="G17" s="21">
        <f t="shared" si="49"/>
        <v>1</v>
      </c>
      <c r="H17" s="21">
        <f t="shared" si="49"/>
        <v>1</v>
      </c>
      <c r="I17" s="21">
        <f t="shared" ref="I17" si="50">(I16*I7+IF(I19=I2,0*I20*365*I4,0))/(I7+IF(I19=I2,I20*365*I4,0))</f>
        <v>1</v>
      </c>
      <c r="J17" s="21">
        <f t="shared" si="49"/>
        <v>1</v>
      </c>
      <c r="K17" s="21">
        <f t="shared" si="49"/>
        <v>1</v>
      </c>
      <c r="L17" s="21">
        <f t="shared" si="49"/>
        <v>1</v>
      </c>
      <c r="M17" s="21">
        <f t="shared" si="49"/>
        <v>1</v>
      </c>
      <c r="N17" s="21">
        <f t="shared" si="49"/>
        <v>1</v>
      </c>
      <c r="O17" s="21">
        <f t="shared" si="49"/>
        <v>1</v>
      </c>
      <c r="P17" s="21">
        <f t="shared" si="49"/>
        <v>1</v>
      </c>
      <c r="Q17" s="21">
        <f t="shared" si="49"/>
        <v>1</v>
      </c>
      <c r="R17" s="21">
        <f t="shared" si="49"/>
        <v>1</v>
      </c>
      <c r="S17" s="21">
        <f t="shared" si="49"/>
        <v>1</v>
      </c>
      <c r="T17" s="21">
        <f t="shared" si="49"/>
        <v>1</v>
      </c>
      <c r="U17" s="21">
        <f t="shared" si="49"/>
        <v>1</v>
      </c>
      <c r="V17" s="21">
        <f t="shared" si="49"/>
        <v>1</v>
      </c>
      <c r="W17" s="21">
        <f t="shared" si="49"/>
        <v>1</v>
      </c>
      <c r="X17" s="21">
        <f>(X16*X7+IF(X19=X2,0*X20*365*X4,0))/(X7+IF(X19=X2,X20*365*X4,0))</f>
        <v>1</v>
      </c>
      <c r="Y17" s="21">
        <f>(Y16*Y7+IF(Y19=Y2,0*Y20*365*Y4,0))/(Y7+IF(Y19=Y2,Y20*365*Y4,0))</f>
        <v>1</v>
      </c>
      <c r="Z17" s="21">
        <f>(Z16*Z7+IF(Z19=Z2,0*Z20*365*Z4,0))/(Z7+IF(Z19=Z2,Z20*365*Z4,0))</f>
        <v>1</v>
      </c>
      <c r="AA17" s="21">
        <f>(AA16*AA7+IF(AA19=AA2,0*AA20*365*AA4,0))/(AA7+IF(AA19=AA2,AA20*365*AA4,0))</f>
        <v>1</v>
      </c>
      <c r="AB17" s="21">
        <f t="shared" ref="AB17:AD17" si="51">(AB16*AB7+IF(AB19=AB2,0*AB20*365*AB4,0))/(AB7+IF(AB19=AB2,AB20*365*AB4,0))</f>
        <v>1</v>
      </c>
      <c r="AC17" s="21">
        <f t="shared" si="51"/>
        <v>1</v>
      </c>
      <c r="AD17" s="21">
        <f t="shared" si="51"/>
        <v>1</v>
      </c>
      <c r="AE17" s="21">
        <f>(AE16*AE7+IF(AE19=AE2,0*AE20*365*AE4,0))/(AE7+IF(AE19=AE2,AE20*365*AE4,0))</f>
        <v>1</v>
      </c>
      <c r="AF17" s="21">
        <f t="shared" si="49"/>
        <v>1</v>
      </c>
      <c r="AG17" s="21">
        <f t="shared" si="49"/>
        <v>1</v>
      </c>
      <c r="AH17" s="21">
        <f t="shared" si="49"/>
        <v>1</v>
      </c>
      <c r="AI17" s="21">
        <f t="shared" si="49"/>
        <v>1</v>
      </c>
      <c r="AJ17" s="21">
        <f t="shared" si="49"/>
        <v>1</v>
      </c>
      <c r="AK17" s="21">
        <f t="shared" si="49"/>
        <v>1</v>
      </c>
      <c r="AL17" s="21">
        <f t="shared" si="49"/>
        <v>1</v>
      </c>
      <c r="AM17" s="21">
        <f t="shared" si="49"/>
        <v>1</v>
      </c>
      <c r="AN17" s="21">
        <f t="shared" si="49"/>
        <v>1</v>
      </c>
      <c r="AO17" s="21">
        <f t="shared" si="49"/>
        <v>1.5</v>
      </c>
      <c r="AP17" s="21">
        <f t="shared" si="49"/>
        <v>1.5</v>
      </c>
      <c r="AQ17" s="21">
        <f t="shared" si="49"/>
        <v>1.5</v>
      </c>
      <c r="AR17" s="21">
        <f t="shared" si="49"/>
        <v>1.5</v>
      </c>
      <c r="AS17" s="21">
        <f t="shared" si="49"/>
        <v>1.5</v>
      </c>
      <c r="AT17" s="21">
        <f t="shared" si="49"/>
        <v>1.5</v>
      </c>
      <c r="AU17" s="21">
        <f t="shared" si="49"/>
        <v>1.5</v>
      </c>
      <c r="AV17" s="21">
        <f t="shared" si="49"/>
        <v>1.5</v>
      </c>
      <c r="AW17" s="21">
        <f t="shared" si="49"/>
        <v>1.5</v>
      </c>
      <c r="AX17" s="21">
        <f t="shared" si="49"/>
        <v>1.5</v>
      </c>
      <c r="AY17" s="21">
        <f t="shared" si="49"/>
        <v>1.5</v>
      </c>
      <c r="AZ17" s="21">
        <f t="shared" si="49"/>
        <v>1.5</v>
      </c>
      <c r="BA17" s="21">
        <f t="shared" si="49"/>
        <v>1.5</v>
      </c>
      <c r="BB17" s="21">
        <f>(BB16*BB7+IF(BB19=BB2,0*BB20*365*BB4,0))/(BB7+IF(BB19=BB2,BB20*365*BB4,0))</f>
        <v>1.5</v>
      </c>
      <c r="BC17" s="21">
        <f t="shared" ref="BC17:ED17" si="52">(BC16*BC7+IF(BC19=BC2,0*BC20*365*BC4,0))/(BC7+IF(BC19=BC2,BC20*365*BC4,0))</f>
        <v>1.3571271645129719</v>
      </c>
      <c r="BD17" s="21">
        <f t="shared" si="52"/>
        <v>0.68106013701092494</v>
      </c>
      <c r="BE17" s="21">
        <f t="shared" si="52"/>
        <v>0.93490982444226955</v>
      </c>
      <c r="BF17" s="21">
        <f t="shared" si="52"/>
        <v>0.521280632726837</v>
      </c>
      <c r="BG17" s="21">
        <f t="shared" si="52"/>
        <v>1.042561265453674</v>
      </c>
      <c r="BH17" s="21">
        <f t="shared" si="52"/>
        <v>1.0099812259082468</v>
      </c>
      <c r="BI17" s="21">
        <f>(BI16*BI7+IF(BI19=BI2,0*BI20*365*BI4,0))/(BI7+IF(BI19=BI2,BI20*365*BI4,0))</f>
        <v>0.8079849807265973</v>
      </c>
      <c r="BJ17" s="21">
        <f t="shared" si="52"/>
        <v>0.8079849807265973</v>
      </c>
      <c r="BK17" s="21">
        <f t="shared" si="52"/>
        <v>0.8079849807265973</v>
      </c>
      <c r="BL17" s="21">
        <f t="shared" si="52"/>
        <v>0.521280632726837</v>
      </c>
      <c r="BM17" s="21">
        <f t="shared" si="52"/>
        <v>1.042561265453674</v>
      </c>
      <c r="BN17" s="21">
        <f t="shared" si="52"/>
        <v>1.0099812259082468</v>
      </c>
      <c r="BO17" s="21">
        <f t="shared" si="52"/>
        <v>0.8079849807265973</v>
      </c>
      <c r="BP17" s="21">
        <f t="shared" si="52"/>
        <v>0.8079849807265973</v>
      </c>
      <c r="BQ17" s="21">
        <f t="shared" si="52"/>
        <v>0.8079849807265973</v>
      </c>
      <c r="BR17" s="21">
        <f t="shared" si="52"/>
        <v>0.8079849807265973</v>
      </c>
      <c r="BS17" s="21">
        <f t="shared" si="52"/>
        <v>0.8079849807265973</v>
      </c>
      <c r="BT17" s="21">
        <f t="shared" si="52"/>
        <v>0.8079849807265973</v>
      </c>
      <c r="BU17" s="21">
        <f t="shared" si="52"/>
        <v>0.521280632726837</v>
      </c>
      <c r="BV17" s="21">
        <f t="shared" si="52"/>
        <v>1.042561265453674</v>
      </c>
      <c r="BW17" s="21">
        <f t="shared" si="52"/>
        <v>1.0099812259082468</v>
      </c>
      <c r="BX17" s="21">
        <f t="shared" si="52"/>
        <v>0.8079849807265973</v>
      </c>
      <c r="BY17" s="21">
        <f t="shared" si="52"/>
        <v>0.8079849807265973</v>
      </c>
      <c r="BZ17" s="21">
        <f t="shared" si="52"/>
        <v>0.8079849807265973</v>
      </c>
      <c r="CA17" s="21">
        <f t="shared" si="52"/>
        <v>0.8079849807265973</v>
      </c>
      <c r="CB17" s="21">
        <f t="shared" si="52"/>
        <v>0.8079849807265973</v>
      </c>
      <c r="CC17" s="21">
        <f t="shared" si="52"/>
        <v>0.8079849807265973</v>
      </c>
      <c r="CD17" s="21">
        <f t="shared" si="52"/>
        <v>0.95188235294117651</v>
      </c>
      <c r="CE17" s="21">
        <f t="shared" si="52"/>
        <v>0.95188235294117651</v>
      </c>
      <c r="CF17" s="21">
        <f t="shared" si="52"/>
        <v>0.95188235294117651</v>
      </c>
      <c r="CG17" s="21">
        <f t="shared" si="52"/>
        <v>0.8079849807265973</v>
      </c>
      <c r="CH17" s="21">
        <f t="shared" ref="CH17:CM17" si="53">(CH16*CH7+IF(CH19=CH2,0*CH20*365*CH4,0))/(CH7+IF(CH19=CH2,CH20*365*CH4,0))</f>
        <v>0.62198145757264911</v>
      </c>
      <c r="CI17" s="21">
        <f t="shared" si="53"/>
        <v>0.62198145757264911</v>
      </c>
      <c r="CJ17" s="21">
        <f t="shared" si="53"/>
        <v>0.62198145757264911</v>
      </c>
      <c r="CK17" s="21">
        <f t="shared" si="53"/>
        <v>0.62198145757264911</v>
      </c>
      <c r="CL17" s="21">
        <f t="shared" si="53"/>
        <v>0.62198145757264911</v>
      </c>
      <c r="CM17" s="21">
        <f t="shared" si="53"/>
        <v>0.62198145757264911</v>
      </c>
      <c r="CN17" s="21">
        <f t="shared" si="52"/>
        <v>1.5</v>
      </c>
      <c r="CO17" s="21">
        <f t="shared" si="52"/>
        <v>1.5</v>
      </c>
      <c r="CP17" s="21">
        <f t="shared" si="52"/>
        <v>1.5</v>
      </c>
      <c r="CQ17" s="21">
        <f t="shared" si="52"/>
        <v>1.5</v>
      </c>
      <c r="CR17" s="21">
        <f t="shared" si="52"/>
        <v>1.5</v>
      </c>
      <c r="CS17" s="21">
        <f t="shared" si="52"/>
        <v>0.8079849807265973</v>
      </c>
      <c r="CT17" s="21">
        <f t="shared" si="52"/>
        <v>0.8079849807265973</v>
      </c>
      <c r="CU17" s="21">
        <f t="shared" si="52"/>
        <v>0.8079849807265973</v>
      </c>
      <c r="CV17" s="21">
        <f t="shared" si="52"/>
        <v>0.8079849807265973</v>
      </c>
      <c r="CW17" s="21">
        <f t="shared" si="52"/>
        <v>0.8079849807265973</v>
      </c>
      <c r="CX17" s="21">
        <f t="shared" si="52"/>
        <v>0.8079849807265973</v>
      </c>
      <c r="CY17" s="21">
        <f t="shared" ref="CY17:DF17" si="54">(CY16*CY7+IF(CY19=CY2,0*CY20*365*CY4,0))/(CY7+IF(CY19=CY2,CY20*365*CY4,0))</f>
        <v>2.9902727587962317</v>
      </c>
      <c r="CZ17" s="21">
        <f t="shared" si="54"/>
        <v>2.9902727587962317</v>
      </c>
      <c r="DA17" s="21">
        <f t="shared" si="54"/>
        <v>2.9902727587962317</v>
      </c>
      <c r="DB17" s="21">
        <f t="shared" si="54"/>
        <v>2.9902727587962317</v>
      </c>
      <c r="DC17" s="21">
        <f t="shared" si="54"/>
        <v>2.9902727587962317</v>
      </c>
      <c r="DD17" s="21">
        <f t="shared" si="54"/>
        <v>2.9902727587962317</v>
      </c>
      <c r="DE17" s="21">
        <f t="shared" si="54"/>
        <v>6.7127797654937726</v>
      </c>
      <c r="DF17" s="21">
        <f t="shared" si="54"/>
        <v>6.7127797654937726</v>
      </c>
      <c r="DH17" s="21">
        <f>(DH16*DH7+IF(DH19=DH2,0*DH20*365*DH4,0))/(DH7+IF(DH19=DH2,DH20*365*DH4,0))</f>
        <v>7.3964888156829538</v>
      </c>
      <c r="DI17" s="21">
        <f>(DI16*DI7+IF(DI19=DI2,0*DI20*365*DI4,0))/(DI7+IF(DI19=DI2,DI20*365*DI4,0))</f>
        <v>7.3964888156829538</v>
      </c>
      <c r="DJ17" s="21">
        <f>(DJ16*DJ7+IF(DJ19=DJ2,0*DJ20*365*DJ4,0))/(DJ7+IF(DJ19=DJ2,DJ20*365*DJ4,0))</f>
        <v>7.3964888156829538</v>
      </c>
      <c r="DK17" s="21">
        <f t="shared" si="52"/>
        <v>15.3</v>
      </c>
      <c r="DL17" s="21">
        <f t="shared" si="52"/>
        <v>15.3</v>
      </c>
      <c r="DM17" s="21">
        <f t="shared" si="52"/>
        <v>15.3</v>
      </c>
      <c r="DN17" s="21">
        <f t="shared" si="52"/>
        <v>13.909090909090908</v>
      </c>
      <c r="DO17" s="21">
        <f t="shared" si="52"/>
        <v>7.65</v>
      </c>
      <c r="DP17" s="21">
        <f t="shared" si="52"/>
        <v>22.95</v>
      </c>
      <c r="DQ17" s="21">
        <f t="shared" si="52"/>
        <v>15.3</v>
      </c>
      <c r="DR17" s="21">
        <f t="shared" si="52"/>
        <v>15.3</v>
      </c>
      <c r="DS17" s="21">
        <f t="shared" ref="DS17" si="55">(DS16*DS7+IF(DS19=DS2,0*DS20*365*DS4,0))/(DS7+IF(DS19=DS2,DS20*365*DS4,0))</f>
        <v>15.3</v>
      </c>
      <c r="DT17" s="21">
        <f t="shared" si="52"/>
        <v>15.3</v>
      </c>
      <c r="DU17" s="21">
        <f t="shared" si="52"/>
        <v>15.3</v>
      </c>
      <c r="DV17" s="21">
        <f t="shared" ref="DV17" si="56">(DV16*DV7+IF(DV19=DV2,0*DV20*365*DV4,0))/(DV7+IF(DV19=DV2,DV20*365*DV4,0))</f>
        <v>15.3</v>
      </c>
      <c r="DW17" s="21">
        <f t="shared" si="52"/>
        <v>15.3</v>
      </c>
      <c r="DX17" s="21">
        <f t="shared" si="52"/>
        <v>190</v>
      </c>
      <c r="DY17" s="21">
        <f t="shared" si="52"/>
        <v>190</v>
      </c>
      <c r="DZ17" s="21">
        <f t="shared" si="52"/>
        <v>190</v>
      </c>
      <c r="EA17" s="21">
        <f t="shared" si="52"/>
        <v>190</v>
      </c>
      <c r="EB17" s="21">
        <f t="shared" si="52"/>
        <v>142.5</v>
      </c>
      <c r="EC17" s="21">
        <f t="shared" si="52"/>
        <v>237.5</v>
      </c>
      <c r="ED17" s="21">
        <f t="shared" si="52"/>
        <v>190</v>
      </c>
    </row>
    <row r="18" spans="1:134" x14ac:dyDescent="0.3">
      <c r="BB18" s="24"/>
      <c r="BI18" s="24"/>
      <c r="DQ18" s="24"/>
    </row>
    <row r="19" spans="1:134" x14ac:dyDescent="0.3">
      <c r="A19" s="21" t="s">
        <v>419</v>
      </c>
      <c r="B19" s="21" t="s">
        <v>416</v>
      </c>
      <c r="D19" s="117" t="s">
        <v>433</v>
      </c>
      <c r="E19" s="48" t="str">
        <f>W19</f>
        <v>Van - ICE</v>
      </c>
      <c r="F19" s="313" t="s">
        <v>429</v>
      </c>
      <c r="G19" s="48" t="str">
        <f>$W19</f>
        <v>Van - ICE</v>
      </c>
      <c r="H19" s="48" t="str">
        <f>$W19</f>
        <v>Van - ICE</v>
      </c>
      <c r="I19" s="313" t="s">
        <v>1358</v>
      </c>
      <c r="J19" s="313" t="s">
        <v>429</v>
      </c>
      <c r="K19" s="48" t="str">
        <f>M19</f>
        <v>Van - ICE</v>
      </c>
      <c r="L19" s="48" t="str">
        <f>N19</f>
        <v>Van - ICE</v>
      </c>
      <c r="M19" s="48" t="str">
        <f>O19</f>
        <v>Van - ICE</v>
      </c>
      <c r="N19" s="48" t="str">
        <f>P19</f>
        <v>Van - ICE</v>
      </c>
      <c r="O19" s="48" t="str">
        <f>P19</f>
        <v>Van - ICE</v>
      </c>
      <c r="P19" s="48" t="str">
        <f>T19</f>
        <v>Van - ICE</v>
      </c>
      <c r="Q19" s="48" t="str">
        <f t="shared" ref="Q19:T21" si="57">S19</f>
        <v>Van - ICE</v>
      </c>
      <c r="R19" s="48" t="str">
        <f t="shared" si="57"/>
        <v>Van - ICE</v>
      </c>
      <c r="S19" s="48" t="str">
        <f t="shared" si="57"/>
        <v>Van - ICE</v>
      </c>
      <c r="T19" s="48" t="str">
        <f t="shared" si="57"/>
        <v>Van - ICE</v>
      </c>
      <c r="U19" s="48" t="str">
        <f t="shared" ref="U19:V21" si="58">V19</f>
        <v>Van - ICE</v>
      </c>
      <c r="V19" s="48" t="str">
        <f t="shared" si="58"/>
        <v>Van - ICE</v>
      </c>
      <c r="W19" s="117" t="s">
        <v>427</v>
      </c>
      <c r="X19" s="297" t="s">
        <v>1358</v>
      </c>
      <c r="Y19" s="117" t="s">
        <v>427</v>
      </c>
      <c r="Z19" s="117" t="s">
        <v>427</v>
      </c>
      <c r="AA19" s="117" t="s">
        <v>427</v>
      </c>
      <c r="AB19" s="117" t="s">
        <v>427</v>
      </c>
      <c r="AC19" s="297" t="s">
        <v>1358</v>
      </c>
      <c r="AD19" s="117" t="s">
        <v>427</v>
      </c>
      <c r="AE19" s="117" t="s">
        <v>427</v>
      </c>
      <c r="AF19" s="117" t="s">
        <v>427</v>
      </c>
      <c r="AG19" s="117" t="s">
        <v>433</v>
      </c>
      <c r="AH19" s="117" t="s">
        <v>433</v>
      </c>
      <c r="AI19" s="117" t="s">
        <v>427</v>
      </c>
      <c r="AJ19" s="117" t="s">
        <v>427</v>
      </c>
      <c r="AK19" s="117" t="s">
        <v>433</v>
      </c>
      <c r="AL19" s="117" t="s">
        <v>433</v>
      </c>
      <c r="AM19" s="117" t="s">
        <v>433</v>
      </c>
      <c r="AN19" s="117" t="s">
        <v>427</v>
      </c>
      <c r="AO19" s="21" t="s">
        <v>433</v>
      </c>
      <c r="AP19" s="21" t="s">
        <v>433</v>
      </c>
      <c r="AQ19" s="21" t="s">
        <v>433</v>
      </c>
      <c r="AR19" s="114" t="str">
        <f t="shared" ref="AR19:AW19" si="59">$AX19</f>
        <v>None</v>
      </c>
      <c r="AS19" s="114" t="str">
        <f t="shared" si="59"/>
        <v>None</v>
      </c>
      <c r="AT19" s="114" t="str">
        <f t="shared" si="59"/>
        <v>None</v>
      </c>
      <c r="AU19" s="114" t="str">
        <f t="shared" si="59"/>
        <v>None</v>
      </c>
      <c r="AV19" s="114" t="str">
        <f t="shared" si="59"/>
        <v>None</v>
      </c>
      <c r="AW19" s="114" t="str">
        <f t="shared" si="59"/>
        <v>None</v>
      </c>
      <c r="AX19" s="21" t="s">
        <v>433</v>
      </c>
      <c r="AY19" s="21" t="s">
        <v>433</v>
      </c>
      <c r="AZ19" s="21" t="s">
        <v>433</v>
      </c>
      <c r="BA19" s="21" t="s">
        <v>433</v>
      </c>
      <c r="BB19" s="21" t="s">
        <v>433</v>
      </c>
      <c r="BC19" s="116" t="str">
        <f t="shared" ref="BC19:BK19" si="60">BC2</f>
        <v>Ridesourcing - car - ICE (25% lower deadheading km share and 2.25 passengers)</v>
      </c>
      <c r="BD19" s="116" t="str">
        <f t="shared" si="60"/>
        <v>Ridesourcing - car - ICE (average load, 25% higher deadheading km share)</v>
      </c>
      <c r="BE19" s="116" t="str">
        <f t="shared" si="60"/>
        <v>Ridesourcing - car - ICE (average load, 25% lower deadheading km share)</v>
      </c>
      <c r="BF19" s="116" t="str">
        <f t="shared" si="60"/>
        <v>Ridesourcing - car - ICE (single passenger on board, no change in deadheading km share)</v>
      </c>
      <c r="BG19" s="116" t="str">
        <f t="shared" si="60"/>
        <v>Ridesourcing - car - ICE (two passengers on board, no change in deadheading km share)</v>
      </c>
      <c r="BH19" s="116" t="str">
        <f t="shared" si="60"/>
        <v>Ridesourcing - car - ICE (25% higher average load: 1,94 passengers on board, no change in deadheading km share)</v>
      </c>
      <c r="BI19" s="21" t="str">
        <f t="shared" si="60"/>
        <v>Ridesourcing - car - ICE</v>
      </c>
      <c r="BJ19" s="21" t="str">
        <f t="shared" si="60"/>
        <v>Ridesourcing - car - HEV</v>
      </c>
      <c r="BK19" s="21" t="str">
        <f t="shared" si="60"/>
        <v>Ridesourcing - car - PHEV</v>
      </c>
      <c r="BL19" s="116" t="str">
        <f t="shared" ref="BL19:BS19" si="61">BL2</f>
        <v>Ridesourcing - car - BEV single passenger on board, no change in deadheading km share)</v>
      </c>
      <c r="BM19" s="116" t="str">
        <f t="shared" si="61"/>
        <v>Ridesourcing - car - BEV two passengers on board, no change in deadheading km share)</v>
      </c>
      <c r="BN19" s="116" t="str">
        <f t="shared" si="61"/>
        <v>Ridesourcing - car - BEV 25% higher average load: 1,94 passengers on board, no change in deadheading km share)</v>
      </c>
      <c r="BO19" s="116" t="str">
        <f t="shared" si="61"/>
        <v>Ridesourcing - car - BEV (high carbon intensity of electricity in use phase)</v>
      </c>
      <c r="BP19" s="116" t="str">
        <f t="shared" si="61"/>
        <v>Ridesourcing - car - BEV (low carbon intensity of electricity in use phase)</v>
      </c>
      <c r="BQ19" s="116" t="str">
        <f t="shared" si="61"/>
        <v>Ridesourcing - car - BEV (Lower carbon intensity of battery manufacturing)</v>
      </c>
      <c r="BR19" s="116" t="str">
        <f t="shared" si="61"/>
        <v>Ridesourcing - car - BEV (25% smaller battery)</v>
      </c>
      <c r="BS19" s="116" t="str">
        <f t="shared" si="61"/>
        <v>Ridesourcing - car - BEV (25% larger battery)</v>
      </c>
      <c r="BT19" s="21" t="str">
        <f>BT2</f>
        <v>Ridesourcing - car - BEV</v>
      </c>
      <c r="BU19" s="116" t="str">
        <f t="shared" ref="BU19:CB19" si="62">BU2</f>
        <v>Ridesourcing - car - BEV (two packs) single passenger on board, no change in deadheading km share)</v>
      </c>
      <c r="BV19" s="116" t="str">
        <f t="shared" si="62"/>
        <v>Ridesourcing - car - BEV (two packs) two passengers on board, no change in deadheading km share)</v>
      </c>
      <c r="BW19" s="116" t="str">
        <f t="shared" si="62"/>
        <v>Ridesourcing - car - BEV (two packs) 25% higher average load: 1,94 passengers on board, no change in deadheading km share)</v>
      </c>
      <c r="BX19" s="116" t="str">
        <f t="shared" si="62"/>
        <v>Ridesourcing - car - BEV (two packs) (high carbon intensity of electricity in use phase)</v>
      </c>
      <c r="BY19" s="116" t="str">
        <f t="shared" si="62"/>
        <v>Ridesourcing - car - BEV (two packs) (low carbon intensity of electricity in use phase)</v>
      </c>
      <c r="BZ19" s="116" t="str">
        <f t="shared" si="62"/>
        <v>Ridesourcing - car - BEV (two packs) (Lower carbon intensity of battery manufacturing)</v>
      </c>
      <c r="CA19" s="116" t="str">
        <f t="shared" si="62"/>
        <v>Ridesourcing - car - BEV (two packs) (25% smaller battery)</v>
      </c>
      <c r="CB19" s="116" t="str">
        <f t="shared" si="62"/>
        <v>Ridesourcing - car - BEV (two packs) (25% larger battery)</v>
      </c>
      <c r="CC19" s="21" t="str">
        <f>CC2</f>
        <v>Ridesourcing - car - BEV (two packs)</v>
      </c>
      <c r="CD19" s="21" t="s">
        <v>433</v>
      </c>
      <c r="CE19" s="21" t="s">
        <v>433</v>
      </c>
      <c r="CF19" s="21" t="s">
        <v>433</v>
      </c>
      <c r="CG19" s="21" t="str">
        <f t="shared" ref="CG19:CM19" si="63">CG2</f>
        <v>Ridesourcing - car - FCEV</v>
      </c>
      <c r="CH19" s="21" t="str">
        <f t="shared" si="63"/>
        <v>Taxi  ICE</v>
      </c>
      <c r="CI19" s="21" t="str">
        <f t="shared" si="63"/>
        <v>Taxi  HEV</v>
      </c>
      <c r="CJ19" s="21" t="str">
        <f t="shared" si="63"/>
        <v>Taxi  PHEV</v>
      </c>
      <c r="CK19" s="21" t="str">
        <f t="shared" si="63"/>
        <v>Taxi  BEV</v>
      </c>
      <c r="CL19" s="21" t="str">
        <f t="shared" si="63"/>
        <v>Taxi  BEV (two packs)</v>
      </c>
      <c r="CM19" s="21" t="str">
        <f t="shared" si="63"/>
        <v>Taxi - FCEV</v>
      </c>
      <c r="CN19" s="21" t="s">
        <v>433</v>
      </c>
      <c r="CO19" s="21" t="s">
        <v>433</v>
      </c>
      <c r="CP19" s="21" t="s">
        <v>433</v>
      </c>
      <c r="CQ19" s="21" t="s">
        <v>433</v>
      </c>
      <c r="CR19" s="21" t="s">
        <v>433</v>
      </c>
      <c r="CS19" s="21" t="str">
        <f t="shared" ref="CS19:DF19" si="64">CS2</f>
        <v>Ridesourcing - Large car - ICE</v>
      </c>
      <c r="CT19" s="21" t="str">
        <f t="shared" si="64"/>
        <v>Ridesourcing - Large car - HEV</v>
      </c>
      <c r="CU19" s="21" t="str">
        <f t="shared" si="64"/>
        <v>Ridesourcing - Large car - PHEV</v>
      </c>
      <c r="CV19" s="21" t="str">
        <f t="shared" si="64"/>
        <v>Ridesourcing - Large car - BEV</v>
      </c>
      <c r="CW19" s="21" t="str">
        <f t="shared" si="64"/>
        <v>Ridesourcing - Large car - BEV (two packs)</v>
      </c>
      <c r="CX19" s="21" t="str">
        <f t="shared" si="64"/>
        <v>Ridesourcing - Large car - FCEV</v>
      </c>
      <c r="CY19" s="21" t="str">
        <f t="shared" si="64"/>
        <v>Ridesourcing - Shared van - ICE</v>
      </c>
      <c r="CZ19" s="21" t="str">
        <f t="shared" si="64"/>
        <v>Ridesourcing - Shared van - HEV</v>
      </c>
      <c r="DA19" s="21" t="str">
        <f t="shared" si="64"/>
        <v>Ridesourcing - Shared van - PHEV</v>
      </c>
      <c r="DB19" s="21" t="str">
        <f t="shared" si="64"/>
        <v>Ridesourcing - Shared van - BEV</v>
      </c>
      <c r="DC19" s="21" t="str">
        <f t="shared" si="64"/>
        <v>Ridesourcing - Shared van - BEV (two packs)</v>
      </c>
      <c r="DD19" s="21" t="str">
        <f t="shared" si="64"/>
        <v>Ridesourcing - Shared van - FCEV</v>
      </c>
      <c r="DE19" s="21" t="str">
        <f t="shared" si="64"/>
        <v>Ridesourcing - Shared minibus - ICE</v>
      </c>
      <c r="DF19" s="21" t="str">
        <f t="shared" si="64"/>
        <v>Ridesourcing - Shared minibus - HEV</v>
      </c>
      <c r="DH19" s="21" t="str">
        <f>DH2</f>
        <v>Ridesourcing - Shared minibus - BEV</v>
      </c>
      <c r="DI19" s="21" t="str">
        <f>DI2</f>
        <v>Ridesourcing - Shared minibus - BEV (two packs)</v>
      </c>
      <c r="DJ19" s="21" t="str">
        <f>DJ2</f>
        <v>Ridesourcing - Shared minibus - FCEV</v>
      </c>
      <c r="DK19" s="21" t="str">
        <f t="shared" ref="DK19:DP19" si="65">DK2</f>
        <v>Bus - ICE (lifetime 25% lower)</v>
      </c>
      <c r="DL19" s="21" t="str">
        <f t="shared" si="65"/>
        <v>Bus - ICE (lifetime 25% larger)</v>
      </c>
      <c r="DM19" s="21" t="str">
        <f>DM2</f>
        <v>Bus - ICE (100% bus lane)</v>
      </c>
      <c r="DN19" s="21" t="str">
        <f t="shared" si="65"/>
        <v>Bus - ICE (deadheading doubled)</v>
      </c>
      <c r="DO19" s="21" t="str">
        <f t="shared" si="65"/>
        <v>Bus - ICE (ridership down by 50%)</v>
      </c>
      <c r="DP19" s="21" t="str">
        <f t="shared" si="65"/>
        <v>Bus - ICE (ridership up by 50%)</v>
      </c>
      <c r="DQ19" s="21" t="str">
        <f t="shared" ref="DQ19:DW19" si="66">DQ2</f>
        <v>Bus - ICE</v>
      </c>
      <c r="DR19" s="21" t="str">
        <f t="shared" si="66"/>
        <v>Bus - HEV</v>
      </c>
      <c r="DS19" s="21" t="str">
        <f t="shared" si="66"/>
        <v>Bus - BEV (two packs, 100% zero-carbon electricity)</v>
      </c>
      <c r="DT19" s="21" t="str">
        <f t="shared" si="66"/>
        <v>Bus - BEV (two packs)</v>
      </c>
      <c r="DU19" s="21" t="str">
        <f t="shared" si="66"/>
        <v>Bus - BEV</v>
      </c>
      <c r="DV19" s="21" t="str">
        <f t="shared" si="66"/>
        <v>Bus - FCEV, hydrogen from electrolysis (100% zero-carbon electricity)</v>
      </c>
      <c r="DW19" s="21" t="str">
        <f t="shared" si="66"/>
        <v>Bus - FCEV</v>
      </c>
      <c r="DX19" s="21" t="str">
        <f t="shared" ref="DX19:EC19" si="67">$ED19</f>
        <v>None</v>
      </c>
      <c r="DY19" s="21" t="str">
        <f t="shared" si="67"/>
        <v>None</v>
      </c>
      <c r="DZ19" s="21" t="str">
        <f t="shared" si="67"/>
        <v>None</v>
      </c>
      <c r="EA19" s="21" t="str">
        <f t="shared" si="67"/>
        <v>None</v>
      </c>
      <c r="EB19" s="21" t="str">
        <f t="shared" si="67"/>
        <v>None</v>
      </c>
      <c r="EC19" s="21" t="str">
        <f t="shared" si="67"/>
        <v>None</v>
      </c>
      <c r="ED19" s="21" t="s">
        <v>433</v>
      </c>
    </row>
    <row r="20" spans="1:134" x14ac:dyDescent="0.3">
      <c r="A20" s="21" t="s">
        <v>420</v>
      </c>
      <c r="B20" s="21" t="s">
        <v>1328</v>
      </c>
      <c r="D20" s="117">
        <v>0</v>
      </c>
      <c r="E20" s="313">
        <f>N20</f>
        <v>16.875</v>
      </c>
      <c r="F20" s="313">
        <f>M20</f>
        <v>5.625</v>
      </c>
      <c r="G20" s="48">
        <f>U20</f>
        <v>11.25</v>
      </c>
      <c r="H20" s="48">
        <f>V20</f>
        <v>11.25</v>
      </c>
      <c r="I20" s="48">
        <f>V20</f>
        <v>11.25</v>
      </c>
      <c r="J20" s="48">
        <f>W20</f>
        <v>11.25</v>
      </c>
      <c r="K20" s="48">
        <f>V20</f>
        <v>11.25</v>
      </c>
      <c r="L20" s="48">
        <f>W20</f>
        <v>11.25</v>
      </c>
      <c r="M20" s="313">
        <f>W20*0.5</f>
        <v>5.625</v>
      </c>
      <c r="N20" s="313">
        <f>W20*1.5</f>
        <v>16.875</v>
      </c>
      <c r="O20" s="48">
        <f>P20</f>
        <v>11.25</v>
      </c>
      <c r="P20" s="48">
        <f>T20</f>
        <v>11.25</v>
      </c>
      <c r="Q20" s="48">
        <f t="shared" si="57"/>
        <v>11.25</v>
      </c>
      <c r="R20" s="48">
        <f t="shared" si="57"/>
        <v>11.25</v>
      </c>
      <c r="S20" s="48">
        <f t="shared" si="57"/>
        <v>11.25</v>
      </c>
      <c r="T20" s="48">
        <f t="shared" si="57"/>
        <v>11.25</v>
      </c>
      <c r="U20" s="48">
        <f t="shared" si="58"/>
        <v>11.25</v>
      </c>
      <c r="V20" s="48">
        <f t="shared" si="58"/>
        <v>11.25</v>
      </c>
      <c r="W20" s="117">
        <f>AE20</f>
        <v>11.25</v>
      </c>
      <c r="X20" s="297">
        <f>AD20*0.5</f>
        <v>5.625</v>
      </c>
      <c r="Y20" s="117">
        <f>'Tech_Spec_New Escoot'!$B$50</f>
        <v>11.25</v>
      </c>
      <c r="Z20" s="297">
        <f>AE20*0.5</f>
        <v>5.625</v>
      </c>
      <c r="AA20" s="117">
        <f>'Tech_Spec_New Escoot'!$B$50</f>
        <v>11.25</v>
      </c>
      <c r="AB20" s="117">
        <f>'Tech_Spec_New Escoot'!$B$50</f>
        <v>11.25</v>
      </c>
      <c r="AC20" s="117">
        <f>'Tech_Spec_New Escoot'!$B$50</f>
        <v>11.25</v>
      </c>
      <c r="AD20" s="117">
        <f>'Tech_Spec_New Escoot'!$B$50</f>
        <v>11.25</v>
      </c>
      <c r="AE20" s="117">
        <f>'Tech_Spec_New Escoot'!$B$50</f>
        <v>11.25</v>
      </c>
      <c r="AF20" s="312">
        <f>AVERAGE(Tech_Spec_Escoot!F69,Tech_Spec_Escoot!F69,Tech_Spec_Escoot!F69,Tech_Spec_Escoot!G69,Tech_Spec_Escoot!G69)*Tech_Spec_Escoot!F6*'0_Total'!W21</f>
        <v>21.887078399999996</v>
      </c>
      <c r="AG20" s="117"/>
      <c r="AH20" s="117"/>
      <c r="AI20" s="117">
        <f>AJ20/2</f>
        <v>5.625</v>
      </c>
      <c r="AJ20" s="117">
        <f>AN20</f>
        <v>11.25</v>
      </c>
      <c r="AK20" s="117">
        <v>0</v>
      </c>
      <c r="AL20" s="117">
        <v>0</v>
      </c>
      <c r="AM20" s="117">
        <v>0</v>
      </c>
      <c r="AN20" s="22">
        <f>$AE20</f>
        <v>11.25</v>
      </c>
      <c r="AO20" s="117"/>
      <c r="AP20" s="117"/>
      <c r="AQ20" s="117"/>
      <c r="AR20" s="117"/>
      <c r="AS20" s="117"/>
      <c r="AT20" s="117"/>
      <c r="AU20" s="117"/>
      <c r="AV20" s="117"/>
      <c r="AW20" s="117"/>
      <c r="AX20" s="117"/>
      <c r="AY20" s="117"/>
      <c r="AZ20" s="117"/>
      <c r="BA20" s="117"/>
      <c r="BB20" s="117"/>
      <c r="BC20" s="48">
        <f t="shared" ref="BC20:BH21" si="68">$BI20</f>
        <v>23.420596293311849</v>
      </c>
      <c r="BD20" s="48">
        <f t="shared" si="68"/>
        <v>23.420596293311849</v>
      </c>
      <c r="BE20" s="48">
        <f t="shared" si="68"/>
        <v>23.420596293311849</v>
      </c>
      <c r="BF20" s="48">
        <f t="shared" si="68"/>
        <v>23.420596293311849</v>
      </c>
      <c r="BG20" s="48">
        <f t="shared" si="68"/>
        <v>23.420596293311849</v>
      </c>
      <c r="BH20" s="48">
        <f t="shared" si="68"/>
        <v>23.420596293311849</v>
      </c>
      <c r="BI20" s="329">
        <f>BI6*Tech_Spec_TNC!$O$15/(Tech_Spec_TNC!$O$13+Tech_Spec_TNC!$O$14)</f>
        <v>23.420596293311849</v>
      </c>
      <c r="BJ20" s="117">
        <f>$BI$20</f>
        <v>23.420596293311849</v>
      </c>
      <c r="BK20" s="117">
        <f>$BI$20</f>
        <v>23.420596293311849</v>
      </c>
      <c r="BL20" s="48">
        <f t="shared" ref="BL20:BS21" si="69">$BT20</f>
        <v>23.420596293311849</v>
      </c>
      <c r="BM20" s="48">
        <f t="shared" si="69"/>
        <v>23.420596293311849</v>
      </c>
      <c r="BN20" s="48">
        <f t="shared" si="69"/>
        <v>23.420596293311849</v>
      </c>
      <c r="BO20" s="48">
        <f t="shared" si="69"/>
        <v>23.420596293311849</v>
      </c>
      <c r="BP20" s="48">
        <f t="shared" si="69"/>
        <v>23.420596293311849</v>
      </c>
      <c r="BQ20" s="48">
        <f t="shared" si="69"/>
        <v>23.420596293311849</v>
      </c>
      <c r="BR20" s="48">
        <f t="shared" si="69"/>
        <v>23.420596293311849</v>
      </c>
      <c r="BS20" s="48">
        <f t="shared" si="69"/>
        <v>23.420596293311849</v>
      </c>
      <c r="BT20" s="117">
        <f>$BI$20</f>
        <v>23.420596293311849</v>
      </c>
      <c r="BU20" s="48">
        <f t="shared" ref="BU20:CB21" si="70">$CC20</f>
        <v>23.420596293311849</v>
      </c>
      <c r="BV20" s="48">
        <f t="shared" si="70"/>
        <v>23.420596293311849</v>
      </c>
      <c r="BW20" s="48">
        <f t="shared" si="70"/>
        <v>23.420596293311849</v>
      </c>
      <c r="BX20" s="48">
        <f t="shared" si="70"/>
        <v>23.420596293311849</v>
      </c>
      <c r="BY20" s="48">
        <f t="shared" si="70"/>
        <v>23.420596293311849</v>
      </c>
      <c r="BZ20" s="48">
        <f t="shared" si="70"/>
        <v>23.420596293311849</v>
      </c>
      <c r="CA20" s="48">
        <f t="shared" si="70"/>
        <v>23.420596293311849</v>
      </c>
      <c r="CB20" s="48">
        <f t="shared" si="70"/>
        <v>23.420596293311849</v>
      </c>
      <c r="CC20" s="117">
        <f>$BI$20</f>
        <v>23.420596293311849</v>
      </c>
      <c r="CD20" s="48">
        <f t="shared" ref="CD20:CF21" si="71">$CG20</f>
        <v>23.420596293311849</v>
      </c>
      <c r="CE20" s="48">
        <f t="shared" si="71"/>
        <v>23.420596293311849</v>
      </c>
      <c r="CF20" s="48">
        <f t="shared" si="71"/>
        <v>23.420596293311849</v>
      </c>
      <c r="CG20" s="117">
        <f>$BI$20</f>
        <v>23.420596293311849</v>
      </c>
      <c r="CH20" s="117">
        <f t="shared" ref="CH20:CM20" si="72">$BI$20</f>
        <v>23.420596293311849</v>
      </c>
      <c r="CI20" s="117">
        <f t="shared" si="72"/>
        <v>23.420596293311849</v>
      </c>
      <c r="CJ20" s="117">
        <f t="shared" si="72"/>
        <v>23.420596293311849</v>
      </c>
      <c r="CK20" s="117">
        <f t="shared" si="72"/>
        <v>23.420596293311849</v>
      </c>
      <c r="CL20" s="117">
        <f t="shared" si="72"/>
        <v>23.420596293311849</v>
      </c>
      <c r="CM20" s="117">
        <f t="shared" si="72"/>
        <v>23.420596293311849</v>
      </c>
      <c r="CN20" s="117"/>
      <c r="CO20" s="117"/>
      <c r="CP20" s="117"/>
      <c r="CQ20" s="117"/>
      <c r="CR20" s="117"/>
      <c r="CS20" s="117">
        <f t="shared" ref="CS20:CX20" si="73">$BI$20</f>
        <v>23.420596293311849</v>
      </c>
      <c r="CT20" s="117">
        <f t="shared" si="73"/>
        <v>23.420596293311849</v>
      </c>
      <c r="CU20" s="117">
        <f t="shared" si="73"/>
        <v>23.420596293311849</v>
      </c>
      <c r="CV20" s="117">
        <f t="shared" si="73"/>
        <v>23.420596293311849</v>
      </c>
      <c r="CW20" s="117">
        <f t="shared" si="73"/>
        <v>23.420596293311849</v>
      </c>
      <c r="CX20" s="117">
        <f t="shared" si="73"/>
        <v>23.420596293311849</v>
      </c>
      <c r="CY20" s="514">
        <f>DQ20</f>
        <v>13.394216133942162</v>
      </c>
      <c r="CZ20" s="314">
        <f>CY20</f>
        <v>13.394216133942162</v>
      </c>
      <c r="DA20" s="314">
        <f>CZ20</f>
        <v>13.394216133942162</v>
      </c>
      <c r="DB20" s="314">
        <f>DA20</f>
        <v>13.394216133942162</v>
      </c>
      <c r="DC20" s="314">
        <f>DB20</f>
        <v>13.394216133942162</v>
      </c>
      <c r="DD20" s="314">
        <f>DC20</f>
        <v>13.394216133942162</v>
      </c>
      <c r="DE20" s="514">
        <f>DQ20</f>
        <v>13.394216133942162</v>
      </c>
      <c r="DF20" s="314">
        <f>DE20</f>
        <v>13.394216133942162</v>
      </c>
      <c r="DG20" s="314"/>
      <c r="DH20" s="314">
        <f>DG20</f>
        <v>0</v>
      </c>
      <c r="DI20" s="314">
        <f>DH20</f>
        <v>0</v>
      </c>
      <c r="DJ20" s="314">
        <f>DI20</f>
        <v>0</v>
      </c>
      <c r="DK20" s="314">
        <f t="shared" ref="DK20:DM21" si="74">$DQ20</f>
        <v>13.394216133942162</v>
      </c>
      <c r="DL20" s="314">
        <f t="shared" si="74"/>
        <v>13.394216133942162</v>
      </c>
      <c r="DM20" s="314">
        <f t="shared" si="74"/>
        <v>13.394216133942162</v>
      </c>
      <c r="DN20" s="493">
        <f>$DQ20*2</f>
        <v>26.788432267884325</v>
      </c>
      <c r="DO20" s="314">
        <f>$DQ20</f>
        <v>13.394216133942162</v>
      </c>
      <c r="DP20" s="314">
        <f>$DQ20</f>
        <v>13.394216133942162</v>
      </c>
      <c r="DQ20" s="117">
        <f>DQ6*Tech_Specs_Bus!$B$62</f>
        <v>13.394216133942162</v>
      </c>
      <c r="DR20" s="117">
        <f>DQ20</f>
        <v>13.394216133942162</v>
      </c>
      <c r="DS20" s="117">
        <f>$DQ20</f>
        <v>13.394216133942162</v>
      </c>
      <c r="DT20" s="117">
        <f>$DQ20</f>
        <v>13.394216133942162</v>
      </c>
      <c r="DU20" s="117">
        <f>$DQ20</f>
        <v>13.394216133942162</v>
      </c>
      <c r="DV20" s="117">
        <f>$DQ20</f>
        <v>13.394216133942162</v>
      </c>
      <c r="DW20" s="117">
        <f>$DQ20</f>
        <v>13.394216133942162</v>
      </c>
      <c r="DX20" s="48">
        <f t="shared" ref="DX20:EC20" si="75">$ED20</f>
        <v>0</v>
      </c>
      <c r="DY20" s="48">
        <f t="shared" si="75"/>
        <v>0</v>
      </c>
      <c r="DZ20" s="48">
        <f t="shared" si="75"/>
        <v>0</v>
      </c>
      <c r="EA20" s="48">
        <f t="shared" si="75"/>
        <v>0</v>
      </c>
      <c r="EB20" s="48">
        <f t="shared" si="75"/>
        <v>0</v>
      </c>
      <c r="EC20" s="48">
        <f t="shared" si="75"/>
        <v>0</v>
      </c>
      <c r="ED20" s="117">
        <v>0</v>
      </c>
    </row>
    <row r="21" spans="1:134" x14ac:dyDescent="0.3">
      <c r="A21" s="21" t="s">
        <v>963</v>
      </c>
      <c r="B21" s="21" t="s">
        <v>964</v>
      </c>
      <c r="D21" s="117"/>
      <c r="E21" s="318">
        <f>L21</f>
        <v>5</v>
      </c>
      <c r="F21" s="318">
        <f>K21</f>
        <v>15</v>
      </c>
      <c r="G21" s="314">
        <f>W21</f>
        <v>10</v>
      </c>
      <c r="H21" s="314">
        <f>M21</f>
        <v>10</v>
      </c>
      <c r="I21" s="314">
        <f>M21</f>
        <v>10</v>
      </c>
      <c r="J21" s="314">
        <f>N21</f>
        <v>10</v>
      </c>
      <c r="K21" s="318">
        <f>W21*1.5</f>
        <v>15</v>
      </c>
      <c r="L21" s="318">
        <f>N21*0.5</f>
        <v>5</v>
      </c>
      <c r="M21" s="314">
        <f>O21</f>
        <v>10</v>
      </c>
      <c r="N21" s="314">
        <f>P21</f>
        <v>10</v>
      </c>
      <c r="O21" s="314">
        <f>P21</f>
        <v>10</v>
      </c>
      <c r="P21" s="314">
        <f>T21</f>
        <v>10</v>
      </c>
      <c r="Q21" s="314">
        <f t="shared" si="57"/>
        <v>10</v>
      </c>
      <c r="R21" s="314">
        <f t="shared" si="57"/>
        <v>10</v>
      </c>
      <c r="S21" s="314">
        <f t="shared" si="57"/>
        <v>10</v>
      </c>
      <c r="T21" s="314">
        <f t="shared" si="57"/>
        <v>10</v>
      </c>
      <c r="U21" s="314">
        <f t="shared" si="58"/>
        <v>10</v>
      </c>
      <c r="V21" s="314">
        <f t="shared" si="58"/>
        <v>10</v>
      </c>
      <c r="W21" s="61">
        <f>ROUND(AVERAGE(Tech_Spec_Escoot!D67,Tech_Spec_Escoot!D63,Tech_Spec_Escoot!F63)*0.8,-1)</f>
        <v>10</v>
      </c>
      <c r="X21" s="493">
        <f>Z21*1.5</f>
        <v>21.087499999999999</v>
      </c>
      <c r="Y21" s="61">
        <f>'Tech_Spec_New Escoot'!$B$51</f>
        <v>14.058333333333334</v>
      </c>
      <c r="Z21" s="61">
        <f>'Tech_Spec_New Escoot'!$B$51</f>
        <v>14.058333333333334</v>
      </c>
      <c r="AA21" s="61">
        <f>'Tech_Spec_New Escoot'!$B$51</f>
        <v>14.058333333333334</v>
      </c>
      <c r="AB21" s="61">
        <f>'Tech_Spec_New Escoot'!$B$51</f>
        <v>14.058333333333334</v>
      </c>
      <c r="AC21" s="61">
        <f>'Tech_Spec_New Escoot'!$B$51</f>
        <v>14.058333333333334</v>
      </c>
      <c r="AD21" s="493">
        <f>AE21*1.5</f>
        <v>21.087499999999999</v>
      </c>
      <c r="AE21" s="61">
        <f>'Tech_Spec_New Escoot'!$B$51</f>
        <v>14.058333333333334</v>
      </c>
      <c r="AF21" s="61">
        <f>W21</f>
        <v>10</v>
      </c>
      <c r="AG21" s="117"/>
      <c r="AH21" s="117"/>
      <c r="AI21" s="117">
        <f>AJ21/2</f>
        <v>7.0291666666666668</v>
      </c>
      <c r="AJ21" s="61">
        <f>AN21</f>
        <v>14.058333333333334</v>
      </c>
      <c r="AK21" s="117"/>
      <c r="AL21" s="117"/>
      <c r="AM21" s="117"/>
      <c r="AN21" s="32">
        <f>$AE21</f>
        <v>14.058333333333334</v>
      </c>
      <c r="AO21" s="117"/>
      <c r="AP21" s="117"/>
      <c r="AQ21" s="117"/>
      <c r="AR21" s="117"/>
      <c r="AS21" s="117"/>
      <c r="AT21" s="117"/>
      <c r="AU21" s="117"/>
      <c r="AV21" s="117"/>
      <c r="AW21" s="117"/>
      <c r="AX21" s="117"/>
      <c r="AY21" s="117"/>
      <c r="AZ21" s="117"/>
      <c r="BA21" s="117"/>
      <c r="BB21" s="117"/>
      <c r="BC21" s="459">
        <f t="shared" si="68"/>
        <v>1</v>
      </c>
      <c r="BD21" s="459">
        <f t="shared" si="68"/>
        <v>1</v>
      </c>
      <c r="BE21" s="459">
        <f t="shared" si="68"/>
        <v>1</v>
      </c>
      <c r="BF21" s="459">
        <f t="shared" si="68"/>
        <v>1</v>
      </c>
      <c r="BG21" s="459">
        <f t="shared" si="68"/>
        <v>1</v>
      </c>
      <c r="BH21" s="459">
        <f t="shared" si="68"/>
        <v>1</v>
      </c>
      <c r="BI21" s="61">
        <v>1</v>
      </c>
      <c r="BJ21" s="61">
        <v>1</v>
      </c>
      <c r="BK21" s="61">
        <v>1</v>
      </c>
      <c r="BL21" s="459">
        <f t="shared" si="69"/>
        <v>1</v>
      </c>
      <c r="BM21" s="459">
        <f t="shared" si="69"/>
        <v>1</v>
      </c>
      <c r="BN21" s="459">
        <f t="shared" si="69"/>
        <v>1</v>
      </c>
      <c r="BO21" s="459">
        <f t="shared" si="69"/>
        <v>1</v>
      </c>
      <c r="BP21" s="459">
        <f t="shared" si="69"/>
        <v>1</v>
      </c>
      <c r="BQ21" s="459">
        <f t="shared" si="69"/>
        <v>1</v>
      </c>
      <c r="BR21" s="459">
        <f t="shared" si="69"/>
        <v>1</v>
      </c>
      <c r="BS21" s="459">
        <f t="shared" si="69"/>
        <v>1</v>
      </c>
      <c r="BT21" s="61">
        <v>1</v>
      </c>
      <c r="BU21" s="459">
        <f t="shared" si="70"/>
        <v>1</v>
      </c>
      <c r="BV21" s="459">
        <f t="shared" si="70"/>
        <v>1</v>
      </c>
      <c r="BW21" s="459">
        <f t="shared" si="70"/>
        <v>1</v>
      </c>
      <c r="BX21" s="459">
        <f t="shared" si="70"/>
        <v>1</v>
      </c>
      <c r="BY21" s="459">
        <f t="shared" si="70"/>
        <v>1</v>
      </c>
      <c r="BZ21" s="459">
        <f t="shared" si="70"/>
        <v>1</v>
      </c>
      <c r="CA21" s="459">
        <f t="shared" si="70"/>
        <v>1</v>
      </c>
      <c r="CB21" s="459">
        <f t="shared" si="70"/>
        <v>1</v>
      </c>
      <c r="CC21" s="61">
        <v>1</v>
      </c>
      <c r="CD21" s="459">
        <f t="shared" si="71"/>
        <v>1</v>
      </c>
      <c r="CE21" s="459">
        <f t="shared" si="71"/>
        <v>1</v>
      </c>
      <c r="CF21" s="459">
        <f t="shared" si="71"/>
        <v>1</v>
      </c>
      <c r="CG21" s="61">
        <v>1</v>
      </c>
      <c r="CH21" s="61">
        <v>1</v>
      </c>
      <c r="CI21" s="61">
        <v>1</v>
      </c>
      <c r="CJ21" s="61">
        <v>1</v>
      </c>
      <c r="CK21" s="61">
        <v>1</v>
      </c>
      <c r="CL21" s="61">
        <v>1</v>
      </c>
      <c r="CM21" s="61">
        <v>1</v>
      </c>
      <c r="CN21" s="117"/>
      <c r="CO21" s="117"/>
      <c r="CP21" s="117"/>
      <c r="CQ21" s="117"/>
      <c r="CR21" s="117"/>
      <c r="CS21" s="61">
        <v>1</v>
      </c>
      <c r="CT21" s="61">
        <v>1</v>
      </c>
      <c r="CU21" s="61">
        <v>1</v>
      </c>
      <c r="CV21" s="61">
        <v>1</v>
      </c>
      <c r="CW21" s="61">
        <v>1</v>
      </c>
      <c r="CX21" s="61">
        <v>1</v>
      </c>
      <c r="CY21" s="61">
        <v>1</v>
      </c>
      <c r="CZ21" s="61">
        <v>1</v>
      </c>
      <c r="DA21" s="61">
        <v>1</v>
      </c>
      <c r="DB21" s="61">
        <v>1</v>
      </c>
      <c r="DC21" s="61">
        <v>1</v>
      </c>
      <c r="DD21" s="61">
        <v>1</v>
      </c>
      <c r="DE21" s="61">
        <v>1</v>
      </c>
      <c r="DF21" s="61">
        <v>1</v>
      </c>
      <c r="DG21" s="61"/>
      <c r="DH21" s="61">
        <v>1</v>
      </c>
      <c r="DI21" s="61">
        <v>1</v>
      </c>
      <c r="DJ21" s="61">
        <v>1</v>
      </c>
      <c r="DK21" s="314">
        <f t="shared" si="74"/>
        <v>1</v>
      </c>
      <c r="DL21" s="314">
        <f t="shared" si="74"/>
        <v>1</v>
      </c>
      <c r="DM21" s="314">
        <f t="shared" si="74"/>
        <v>1</v>
      </c>
      <c r="DN21" s="314">
        <f>$DQ21</f>
        <v>1</v>
      </c>
      <c r="DO21" s="314">
        <f>$DQ21</f>
        <v>1</v>
      </c>
      <c r="DP21" s="314">
        <f>$DQ21</f>
        <v>1</v>
      </c>
      <c r="DQ21" s="61">
        <v>1</v>
      </c>
      <c r="DR21" s="61">
        <v>1</v>
      </c>
      <c r="DS21" s="61">
        <v>1</v>
      </c>
      <c r="DT21" s="61">
        <v>1</v>
      </c>
      <c r="DU21" s="61">
        <v>1</v>
      </c>
      <c r="DV21" s="61">
        <v>1</v>
      </c>
      <c r="DW21" s="61">
        <v>1</v>
      </c>
      <c r="DX21" s="117"/>
      <c r="DY21" s="117"/>
      <c r="DZ21" s="117"/>
      <c r="EA21" s="117"/>
      <c r="EB21" s="117"/>
      <c r="EC21" s="117"/>
      <c r="ED21" s="117"/>
    </row>
    <row r="22" spans="1:134" x14ac:dyDescent="0.3">
      <c r="A22" s="21" t="s">
        <v>1208</v>
      </c>
      <c r="B22" s="21" t="str">
        <f>B7</f>
        <v>[km/vehicle]</v>
      </c>
      <c r="D22" s="21">
        <f t="shared" ref="D22:BX22" si="76">(D$7+IF(D$19=D$2,D$20*365*D$4))</f>
        <v>6600</v>
      </c>
      <c r="E22" s="21">
        <f t="shared" si="76"/>
        <v>725</v>
      </c>
      <c r="F22" s="21">
        <f t="shared" si="76"/>
        <v>6525</v>
      </c>
      <c r="G22" s="21">
        <f t="shared" si="76"/>
        <v>1208.3333333333335</v>
      </c>
      <c r="H22" s="21">
        <f t="shared" si="76"/>
        <v>3625</v>
      </c>
      <c r="I22" s="21">
        <f t="shared" si="76"/>
        <v>2416.666666666667</v>
      </c>
      <c r="J22" s="21">
        <f t="shared" si="76"/>
        <v>2416.666666666667</v>
      </c>
      <c r="K22" s="21">
        <f t="shared" si="76"/>
        <v>2416.666666666667</v>
      </c>
      <c r="L22" s="21">
        <f t="shared" si="76"/>
        <v>2416.666666666667</v>
      </c>
      <c r="M22" s="21">
        <f t="shared" si="76"/>
        <v>2416.666666666667</v>
      </c>
      <c r="N22" s="21">
        <f t="shared" si="76"/>
        <v>2416.666666666667</v>
      </c>
      <c r="O22" s="21">
        <f t="shared" si="76"/>
        <v>4350</v>
      </c>
      <c r="P22" s="21">
        <f t="shared" si="76"/>
        <v>1450</v>
      </c>
      <c r="Q22" s="21">
        <f t="shared" si="76"/>
        <v>2416.666666666667</v>
      </c>
      <c r="R22" s="21">
        <f t="shared" si="76"/>
        <v>2416.666666666667</v>
      </c>
      <c r="S22" s="21">
        <f t="shared" si="76"/>
        <v>2416.666666666667</v>
      </c>
      <c r="T22" s="21">
        <f t="shared" si="76"/>
        <v>2416.666666666667</v>
      </c>
      <c r="U22" s="21">
        <f t="shared" si="76"/>
        <v>2416.666666666667</v>
      </c>
      <c r="V22" s="21">
        <f t="shared" si="76"/>
        <v>2416.666666666667</v>
      </c>
      <c r="W22" s="21">
        <f t="shared" si="76"/>
        <v>2416.666666666667</v>
      </c>
      <c r="X22" s="21">
        <f>(X$7+IF(X$19=X$2,X$20*365*X$4))</f>
        <v>8555</v>
      </c>
      <c r="Y22" s="21">
        <f>(Y$7+IF(Y$19=Y$2,Y$20*365*Y$4))</f>
        <v>5703.3333333333339</v>
      </c>
      <c r="Z22" s="21">
        <f>(Z$7+IF(Z$19=Z$2,Z$20*365*Z$4))</f>
        <v>5703.3333333333339</v>
      </c>
      <c r="AA22" s="21">
        <f>(AA$7+IF(AA$19=AA$2,AA$20*365*AA$4))</f>
        <v>8555</v>
      </c>
      <c r="AB22" s="21">
        <f t="shared" ref="AB22:AD22" si="77">(AB$7+IF(AB$19=AB$2,AB$20*365*AB$4))</f>
        <v>5703.3333333333339</v>
      </c>
      <c r="AC22" s="21">
        <f t="shared" si="77"/>
        <v>5703.3333333333339</v>
      </c>
      <c r="AD22" s="21">
        <f t="shared" si="77"/>
        <v>5703.3333333333339</v>
      </c>
      <c r="AE22" s="21">
        <f>(AE$7+IF(AE$19=AE$2,AE$20*365*AE$4))</f>
        <v>5703.3333333333339</v>
      </c>
      <c r="AF22" s="21">
        <f t="shared" si="76"/>
        <v>3237.5</v>
      </c>
      <c r="AG22" s="21">
        <f t="shared" si="76"/>
        <v>13440</v>
      </c>
      <c r="AH22" s="21">
        <f t="shared" si="76"/>
        <v>13440</v>
      </c>
      <c r="AI22" s="21">
        <f t="shared" si="76"/>
        <v>5510</v>
      </c>
      <c r="AJ22" s="21">
        <f t="shared" si="76"/>
        <v>5510</v>
      </c>
      <c r="AK22" s="21">
        <f t="shared" si="76"/>
        <v>49000</v>
      </c>
      <c r="AL22" s="21">
        <f t="shared" si="76"/>
        <v>49000</v>
      </c>
      <c r="AM22" s="21">
        <f t="shared" si="76"/>
        <v>19610</v>
      </c>
      <c r="AN22" s="21">
        <f t="shared" si="76"/>
        <v>19610</v>
      </c>
      <c r="AO22" s="21">
        <f t="shared" si="76"/>
        <v>181500</v>
      </c>
      <c r="AP22" s="21">
        <f t="shared" si="76"/>
        <v>181500</v>
      </c>
      <c r="AQ22" s="21">
        <f t="shared" si="76"/>
        <v>181500</v>
      </c>
      <c r="AR22" s="21">
        <f t="shared" si="76"/>
        <v>181500</v>
      </c>
      <c r="AS22" s="21">
        <f t="shared" si="76"/>
        <v>181500</v>
      </c>
      <c r="AT22" s="21">
        <f t="shared" si="76"/>
        <v>181500</v>
      </c>
      <c r="AU22" s="21">
        <f t="shared" si="76"/>
        <v>181500</v>
      </c>
      <c r="AV22" s="21">
        <f t="shared" si="76"/>
        <v>181500</v>
      </c>
      <c r="AW22" s="21">
        <f t="shared" si="76"/>
        <v>181500</v>
      </c>
      <c r="AX22" s="21">
        <f t="shared" si="76"/>
        <v>181500</v>
      </c>
      <c r="AY22" s="21">
        <f t="shared" si="76"/>
        <v>181500</v>
      </c>
      <c r="AZ22" s="21">
        <f t="shared" si="76"/>
        <v>181500</v>
      </c>
      <c r="BA22" s="21">
        <f t="shared" si="76"/>
        <v>181500</v>
      </c>
      <c r="BB22" s="21">
        <f t="shared" si="76"/>
        <v>181500</v>
      </c>
      <c r="BC22" s="21">
        <f t="shared" si="76"/>
        <v>400000</v>
      </c>
      <c r="BD22" s="21">
        <f t="shared" si="76"/>
        <v>400000</v>
      </c>
      <c r="BE22" s="21">
        <f t="shared" si="76"/>
        <v>400000</v>
      </c>
      <c r="BF22" s="21">
        <f t="shared" si="76"/>
        <v>400000</v>
      </c>
      <c r="BG22" s="21">
        <f t="shared" si="76"/>
        <v>400000</v>
      </c>
      <c r="BH22" s="21">
        <f t="shared" si="76"/>
        <v>400000</v>
      </c>
      <c r="BI22" s="21">
        <f t="shared" si="76"/>
        <v>400000</v>
      </c>
      <c r="BJ22" s="21">
        <f t="shared" si="76"/>
        <v>400000</v>
      </c>
      <c r="BK22" s="21">
        <f t="shared" si="76"/>
        <v>400000</v>
      </c>
      <c r="BL22" s="21">
        <f t="shared" si="76"/>
        <v>400000</v>
      </c>
      <c r="BM22" s="21">
        <f t="shared" si="76"/>
        <v>400000</v>
      </c>
      <c r="BN22" s="21">
        <f t="shared" si="76"/>
        <v>400000</v>
      </c>
      <c r="BO22" s="21">
        <f t="shared" si="76"/>
        <v>400000</v>
      </c>
      <c r="BP22" s="21">
        <f t="shared" si="76"/>
        <v>400000</v>
      </c>
      <c r="BQ22" s="21">
        <f t="shared" si="76"/>
        <v>400000</v>
      </c>
      <c r="BR22" s="21">
        <f t="shared" si="76"/>
        <v>400000</v>
      </c>
      <c r="BS22" s="21">
        <f t="shared" si="76"/>
        <v>400000</v>
      </c>
      <c r="BT22" s="21">
        <f t="shared" si="76"/>
        <v>400000</v>
      </c>
      <c r="BU22" s="21">
        <f t="shared" si="76"/>
        <v>400000</v>
      </c>
      <c r="BV22" s="21">
        <f t="shared" si="76"/>
        <v>400000</v>
      </c>
      <c r="BW22" s="21">
        <f t="shared" si="76"/>
        <v>400000</v>
      </c>
      <c r="BX22" s="21">
        <f t="shared" si="76"/>
        <v>400000</v>
      </c>
      <c r="BY22" s="21">
        <f>(BY$7+IF(BY$19=BY$2,BY$20*365*BY$4))</f>
        <v>400000</v>
      </c>
      <c r="BZ22" s="21">
        <f>(BZ$7+IF(BZ$19=BZ$2,BZ$20*365*BZ$4))</f>
        <v>400000</v>
      </c>
      <c r="CA22" s="21">
        <f>(CA$7+IF(CA$19=CA$2,CA$20*365*CA$4))</f>
        <v>400000</v>
      </c>
      <c r="CB22" s="21">
        <f>(CB$7+IF(CB$19=CB$2,CB$20*365*CB$4))</f>
        <v>400000</v>
      </c>
      <c r="CC22" s="21">
        <f>(CC$7+IF(CC$19=CC$2,CC$20*365*CC$4))</f>
        <v>400000</v>
      </c>
      <c r="CD22" s="21">
        <f t="shared" ref="CD22:ED22" si="78">(CD$7+IF(CD$19=CD$2,CD$20*365*CD$4))</f>
        <v>339531.4466036869</v>
      </c>
      <c r="CE22" s="21">
        <f t="shared" si="78"/>
        <v>339531.4466036869</v>
      </c>
      <c r="CF22" s="21">
        <f t="shared" si="78"/>
        <v>339531.4466036869</v>
      </c>
      <c r="CG22" s="21">
        <f t="shared" si="78"/>
        <v>400000</v>
      </c>
      <c r="CH22" s="21">
        <f t="shared" si="78"/>
        <v>400000</v>
      </c>
      <c r="CI22" s="21">
        <f t="shared" si="78"/>
        <v>400000</v>
      </c>
      <c r="CJ22" s="21">
        <f t="shared" si="78"/>
        <v>400000</v>
      </c>
      <c r="CK22" s="21">
        <f t="shared" si="78"/>
        <v>400000</v>
      </c>
      <c r="CL22" s="21">
        <f t="shared" si="78"/>
        <v>400000</v>
      </c>
      <c r="CM22" s="21">
        <f t="shared" si="78"/>
        <v>400000</v>
      </c>
      <c r="CN22" s="21">
        <f t="shared" si="78"/>
        <v>181500</v>
      </c>
      <c r="CO22" s="21">
        <f t="shared" si="78"/>
        <v>181500</v>
      </c>
      <c r="CP22" s="21">
        <f t="shared" si="78"/>
        <v>181500</v>
      </c>
      <c r="CQ22" s="21">
        <f t="shared" si="78"/>
        <v>181500</v>
      </c>
      <c r="CR22" s="21">
        <f t="shared" si="78"/>
        <v>181500</v>
      </c>
      <c r="CS22" s="21">
        <f t="shared" si="78"/>
        <v>400000</v>
      </c>
      <c r="CT22" s="21">
        <f t="shared" si="78"/>
        <v>400000</v>
      </c>
      <c r="CU22" s="21">
        <f t="shared" si="78"/>
        <v>400000</v>
      </c>
      <c r="CV22" s="21">
        <f t="shared" si="78"/>
        <v>400000</v>
      </c>
      <c r="CW22" s="21">
        <f t="shared" si="78"/>
        <v>400000</v>
      </c>
      <c r="CX22" s="21">
        <f t="shared" si="78"/>
        <v>400000</v>
      </c>
      <c r="CY22" s="21">
        <f t="shared" si="78"/>
        <v>374113.35320221056</v>
      </c>
      <c r="CZ22" s="21">
        <f t="shared" si="78"/>
        <v>374113.35320221056</v>
      </c>
      <c r="DA22" s="21">
        <f t="shared" si="78"/>
        <v>374113.35320221056</v>
      </c>
      <c r="DB22" s="21">
        <f t="shared" si="78"/>
        <v>374113.35320221056</v>
      </c>
      <c r="DC22" s="21">
        <f t="shared" si="78"/>
        <v>374113.35320221056</v>
      </c>
      <c r="DD22" s="21">
        <f t="shared" si="78"/>
        <v>374113.35320221056</v>
      </c>
      <c r="DE22" s="21">
        <f t="shared" si="78"/>
        <v>374113.35320221056</v>
      </c>
      <c r="DF22" s="21">
        <f t="shared" si="78"/>
        <v>374113.35320221056</v>
      </c>
      <c r="DH22" s="21">
        <f t="shared" si="78"/>
        <v>339531.4466036869</v>
      </c>
      <c r="DI22" s="21">
        <f t="shared" si="78"/>
        <v>339531.4466036869</v>
      </c>
      <c r="DJ22" s="21">
        <f t="shared" si="78"/>
        <v>339531.4466036869</v>
      </c>
      <c r="DK22" s="21">
        <f t="shared" si="78"/>
        <v>330000</v>
      </c>
      <c r="DL22" s="21">
        <f t="shared" si="78"/>
        <v>550000</v>
      </c>
      <c r="DM22" s="21">
        <f t="shared" si="78"/>
        <v>440000</v>
      </c>
      <c r="DN22" s="21">
        <f t="shared" si="78"/>
        <v>484000</v>
      </c>
      <c r="DO22" s="21">
        <f t="shared" si="78"/>
        <v>440000</v>
      </c>
      <c r="DP22" s="21">
        <f t="shared" si="78"/>
        <v>440000</v>
      </c>
      <c r="DQ22" s="21">
        <f t="shared" si="78"/>
        <v>440000</v>
      </c>
      <c r="DR22" s="21">
        <f t="shared" si="78"/>
        <v>440000</v>
      </c>
      <c r="DS22" s="21">
        <f t="shared" si="78"/>
        <v>440000</v>
      </c>
      <c r="DT22" s="21">
        <f t="shared" si="78"/>
        <v>440000</v>
      </c>
      <c r="DU22" s="21">
        <f t="shared" si="78"/>
        <v>440000</v>
      </c>
      <c r="DV22" s="21">
        <f t="shared" si="78"/>
        <v>440000</v>
      </c>
      <c r="DW22" s="21">
        <f t="shared" si="78"/>
        <v>440000</v>
      </c>
      <c r="DX22" s="21">
        <f t="shared" si="78"/>
        <v>2640000</v>
      </c>
      <c r="DY22" s="21">
        <f t="shared" si="78"/>
        <v>2640000</v>
      </c>
      <c r="DZ22" s="21">
        <f t="shared" si="78"/>
        <v>2640000</v>
      </c>
      <c r="EA22" s="21">
        <f t="shared" si="78"/>
        <v>2640000</v>
      </c>
      <c r="EB22" s="21">
        <f t="shared" si="78"/>
        <v>2640000</v>
      </c>
      <c r="EC22" s="21">
        <f t="shared" si="78"/>
        <v>2640000</v>
      </c>
      <c r="ED22" s="21">
        <f t="shared" si="78"/>
        <v>2640000</v>
      </c>
    </row>
    <row r="24" spans="1:134" x14ac:dyDescent="0.3">
      <c r="A24" s="21" t="s">
        <v>959</v>
      </c>
      <c r="B24" s="21" t="str">
        <f>B4</f>
        <v>[years]</v>
      </c>
      <c r="C24" s="21" t="s">
        <v>960</v>
      </c>
      <c r="D24" s="21">
        <f>('5_Infrastructure'!D21*'5_Infrastructure'!D7+'5_Infrastructure'!D22*'5_Infrastructure'!D8)</f>
        <v>30</v>
      </c>
      <c r="E24" s="21">
        <f>('5_Infrastructure'!G21*'5_Infrastructure'!G7+'5_Infrastructure'!G22*'5_Infrastructure'!G8)</f>
        <v>30</v>
      </c>
      <c r="F24" s="21">
        <f>('5_Infrastructure'!H21*'5_Infrastructure'!H7+'5_Infrastructure'!H22*'5_Infrastructure'!H8)</f>
        <v>30</v>
      </c>
      <c r="G24" s="21">
        <f>('5_Infrastructure'!J21*'5_Infrastructure'!J7+'5_Infrastructure'!J22*'5_Infrastructure'!J8)</f>
        <v>30</v>
      </c>
      <c r="H24" s="21">
        <f>('5_Infrastructure'!K21*'5_Infrastructure'!K7+'5_Infrastructure'!K22*'5_Infrastructure'!K8)</f>
        <v>30</v>
      </c>
      <c r="I24" s="21">
        <f>('5_Infrastructure'!K21*'5_Infrastructure'!K7+'5_Infrastructure'!K22*'5_Infrastructure'!K8)</f>
        <v>30</v>
      </c>
      <c r="J24" s="21">
        <f>('5_Infrastructure'!L21*'5_Infrastructure'!L7+'5_Infrastructure'!L22*'5_Infrastructure'!L8)</f>
        <v>30</v>
      </c>
      <c r="K24" s="21">
        <f>('5_Infrastructure'!D21*'5_Infrastructure'!D7+'5_Infrastructure'!D22*'5_Infrastructure'!D8)</f>
        <v>30</v>
      </c>
      <c r="L24" s="21">
        <f>('5_Infrastructure'!L21*'5_Infrastructure'!L7+'5_Infrastructure'!L22*'5_Infrastructure'!L8)</f>
        <v>30</v>
      </c>
      <c r="M24" s="21">
        <f>('5_Infrastructure'!L21*'5_Infrastructure'!L7+'5_Infrastructure'!L22*'5_Infrastructure'!L8)</f>
        <v>30</v>
      </c>
      <c r="N24" s="21">
        <f>('5_Infrastructure'!N21*'5_Infrastructure'!N7+'5_Infrastructure'!N22*'5_Infrastructure'!N8)</f>
        <v>30</v>
      </c>
      <c r="O24" s="21">
        <f>('5_Infrastructure'!N21*'5_Infrastructure'!N7+'5_Infrastructure'!N22*'5_Infrastructure'!N8)</f>
        <v>30</v>
      </c>
      <c r="P24" s="21">
        <f>('5_Infrastructure'!O21*'5_Infrastructure'!O7+'5_Infrastructure'!O22*'5_Infrastructure'!O8)</f>
        <v>30</v>
      </c>
      <c r="Q24" s="21">
        <f>('5_Infrastructure'!N21*'5_Infrastructure'!N7+'5_Infrastructure'!N22*'5_Infrastructure'!N8)</f>
        <v>30</v>
      </c>
      <c r="R24" s="21">
        <f>('5_Infrastructure'!O21*'5_Infrastructure'!O7+'5_Infrastructure'!O22*'5_Infrastructure'!O8)</f>
        <v>30</v>
      </c>
      <c r="S24" s="21">
        <f>('5_Infrastructure'!P21*'5_Infrastructure'!P7+'5_Infrastructure'!P22*'5_Infrastructure'!P8)</f>
        <v>30</v>
      </c>
      <c r="T24" s="21">
        <f>('5_Infrastructure'!S21*'5_Infrastructure'!S7+'5_Infrastructure'!S22*'5_Infrastructure'!S8)</f>
        <v>30</v>
      </c>
      <c r="U24" s="21">
        <f>('5_Infrastructure'!S21*'5_Infrastructure'!S7+'5_Infrastructure'!S22*'5_Infrastructure'!S8)</f>
        <v>30</v>
      </c>
      <c r="V24" s="21">
        <f>('5_Infrastructure'!T21*'5_Infrastructure'!T7+'5_Infrastructure'!T22*'5_Infrastructure'!T8)</f>
        <v>30</v>
      </c>
      <c r="W24" s="21">
        <f>('5_Infrastructure'!W21*'5_Infrastructure'!W7+'5_Infrastructure'!W22*'5_Infrastructure'!W8)</f>
        <v>30</v>
      </c>
      <c r="X24" s="21">
        <f>('5_Infrastructure'!X21*'5_Infrastructure'!X7+'5_Infrastructure'!X22*'5_Infrastructure'!X8)</f>
        <v>30</v>
      </c>
      <c r="Y24" s="21">
        <f>('5_Infrastructure'!Y21*'5_Infrastructure'!Y7+'5_Infrastructure'!Y22*'5_Infrastructure'!Y8)</f>
        <v>30</v>
      </c>
      <c r="Z24" s="21">
        <f>('5_Infrastructure'!Z21*'5_Infrastructure'!Z7+'5_Infrastructure'!Z22*'5_Infrastructure'!Z8)</f>
        <v>30</v>
      </c>
      <c r="AA24" s="21">
        <f>('5_Infrastructure'!AA21*'5_Infrastructure'!AA7+'5_Infrastructure'!AA22*'5_Infrastructure'!AA8)</f>
        <v>30</v>
      </c>
      <c r="AB24" s="21">
        <f>('5_Infrastructure'!AB21*'5_Infrastructure'!AB7+'5_Infrastructure'!AB22*'5_Infrastructure'!AB8)</f>
        <v>30</v>
      </c>
      <c r="AC24" s="21">
        <f>('5_Infrastructure'!AC21*'5_Infrastructure'!AC7+'5_Infrastructure'!AC22*'5_Infrastructure'!AC8)</f>
        <v>30</v>
      </c>
      <c r="AD24" s="21">
        <f>('5_Infrastructure'!AD21*'5_Infrastructure'!AD7+'5_Infrastructure'!AD22*'5_Infrastructure'!AD8)</f>
        <v>30</v>
      </c>
      <c r="AE24" s="21">
        <f>('5_Infrastructure'!AE21*'5_Infrastructure'!AE7+'5_Infrastructure'!AE22*'5_Infrastructure'!AE8)</f>
        <v>30</v>
      </c>
      <c r="AF24" s="21">
        <f>('5_Infrastructure'!AF21*'5_Infrastructure'!AF7+'5_Infrastructure'!AF22*'5_Infrastructure'!AF8)</f>
        <v>30</v>
      </c>
      <c r="AG24" s="21">
        <f>('5_Infrastructure'!AG21*'5_Infrastructure'!AG7+'5_Infrastructure'!AG22*'5_Infrastructure'!AG8)</f>
        <v>30</v>
      </c>
      <c r="AH24" s="21">
        <f>('5_Infrastructure'!AH21*'5_Infrastructure'!AH7+'5_Infrastructure'!AH22*'5_Infrastructure'!AH8)</f>
        <v>30</v>
      </c>
      <c r="AI24" s="21">
        <f>('5_Infrastructure'!AI21*'5_Infrastructure'!AI7+'5_Infrastructure'!AI22*'5_Infrastructure'!AI8)</f>
        <v>30</v>
      </c>
      <c r="AJ24" s="21">
        <f>('5_Infrastructure'!AJ21*'5_Infrastructure'!AJ7+'5_Infrastructure'!AJ22*'5_Infrastructure'!AJ8)</f>
        <v>30</v>
      </c>
      <c r="AK24" s="21">
        <f>('5_Infrastructure'!AK21*'5_Infrastructure'!AK7+'5_Infrastructure'!AK22*'5_Infrastructure'!AK8)</f>
        <v>30</v>
      </c>
      <c r="AL24" s="21">
        <f>('5_Infrastructure'!AL21*'5_Infrastructure'!AL7+'5_Infrastructure'!AL22*'5_Infrastructure'!AL8)</f>
        <v>30</v>
      </c>
      <c r="AM24" s="21">
        <f>('5_Infrastructure'!AM21*'5_Infrastructure'!AM7+'5_Infrastructure'!AM22*'5_Infrastructure'!AM8)</f>
        <v>30</v>
      </c>
      <c r="AN24" s="21">
        <f>('5_Infrastructure'!AN21*'5_Infrastructure'!AN7+'5_Infrastructure'!AN22*'5_Infrastructure'!AN8)</f>
        <v>30</v>
      </c>
      <c r="AO24" s="21">
        <f>('5_Infrastructure'!AO21*'5_Infrastructure'!AO7+'5_Infrastructure'!AO22*'5_Infrastructure'!AO8)</f>
        <v>30</v>
      </c>
      <c r="AP24" s="21">
        <f>('5_Infrastructure'!AP21*'5_Infrastructure'!AP7+'5_Infrastructure'!AP22*'5_Infrastructure'!AP8)</f>
        <v>30</v>
      </c>
      <c r="AQ24" s="21">
        <f>('5_Infrastructure'!AQ21*'5_Infrastructure'!AQ7+'5_Infrastructure'!AQ22*'5_Infrastructure'!AQ8)</f>
        <v>30</v>
      </c>
      <c r="AR24" s="114">
        <f t="shared" ref="AR24:AW24" si="79">$AX24</f>
        <v>30</v>
      </c>
      <c r="AS24" s="114">
        <f t="shared" si="79"/>
        <v>30</v>
      </c>
      <c r="AT24" s="114">
        <f t="shared" si="79"/>
        <v>30</v>
      </c>
      <c r="AU24" s="114">
        <f t="shared" si="79"/>
        <v>30</v>
      </c>
      <c r="AV24" s="114">
        <f t="shared" si="79"/>
        <v>30</v>
      </c>
      <c r="AW24" s="114">
        <f t="shared" si="79"/>
        <v>30</v>
      </c>
      <c r="AX24" s="21">
        <f>('5_Infrastructure'!AX21*'5_Infrastructure'!AX7+'5_Infrastructure'!AX22*'5_Infrastructure'!AX8)</f>
        <v>30</v>
      </c>
      <c r="AY24" s="21">
        <f>('5_Infrastructure'!BB21*'5_Infrastructure'!BB7+'5_Infrastructure'!BB22*'5_Infrastructure'!BB8)</f>
        <v>30</v>
      </c>
      <c r="AZ24" s="21">
        <f>('5_Infrastructure'!BA21*'5_Infrastructure'!BA7+'5_Infrastructure'!BA22*'5_Infrastructure'!BA8)</f>
        <v>30</v>
      </c>
      <c r="BA24" s="21">
        <f>('5_Infrastructure'!BB21*'5_Infrastructure'!BB7+'5_Infrastructure'!BB22*'5_Infrastructure'!BB8)</f>
        <v>30</v>
      </c>
      <c r="BB24" s="21">
        <f>('5_Infrastructure'!BI21*'5_Infrastructure'!BI7+'5_Infrastructure'!BI22*'5_Infrastructure'!BI8)</f>
        <v>30</v>
      </c>
      <c r="BC24" s="114">
        <f t="shared" ref="BC24:BH24" si="80">$BI24</f>
        <v>30</v>
      </c>
      <c r="BD24" s="114">
        <f t="shared" si="80"/>
        <v>30</v>
      </c>
      <c r="BE24" s="114">
        <f t="shared" si="80"/>
        <v>30</v>
      </c>
      <c r="BF24" s="114">
        <f t="shared" si="80"/>
        <v>30</v>
      </c>
      <c r="BG24" s="114">
        <f t="shared" si="80"/>
        <v>30</v>
      </c>
      <c r="BH24" s="114">
        <f t="shared" si="80"/>
        <v>30</v>
      </c>
      <c r="BI24" s="21">
        <f>('5_Infrastructure'!BI21*'5_Infrastructure'!BI7+'5_Infrastructure'!BI22*'5_Infrastructure'!BI8)</f>
        <v>30</v>
      </c>
      <c r="BJ24" s="21">
        <f>('5_Infrastructure'!BJ21*'5_Infrastructure'!BJ7+'5_Infrastructure'!BJ22*'5_Infrastructure'!BJ8)</f>
        <v>30</v>
      </c>
      <c r="BK24" s="21">
        <f>('5_Infrastructure'!BK21*'5_Infrastructure'!BK7+'5_Infrastructure'!BK22*'5_Infrastructure'!BK8)</f>
        <v>30</v>
      </c>
      <c r="BL24" s="114">
        <f t="shared" ref="BL24:BS24" si="81">$BT24</f>
        <v>30</v>
      </c>
      <c r="BM24" s="114">
        <f t="shared" si="81"/>
        <v>30</v>
      </c>
      <c r="BN24" s="114">
        <f t="shared" si="81"/>
        <v>30</v>
      </c>
      <c r="BO24" s="114">
        <f t="shared" si="81"/>
        <v>30</v>
      </c>
      <c r="BP24" s="114">
        <f t="shared" si="81"/>
        <v>30</v>
      </c>
      <c r="BQ24" s="114">
        <f t="shared" si="81"/>
        <v>30</v>
      </c>
      <c r="BR24" s="114">
        <f t="shared" si="81"/>
        <v>30</v>
      </c>
      <c r="BS24" s="114">
        <f t="shared" si="81"/>
        <v>30</v>
      </c>
      <c r="BT24" s="21">
        <f>('5_Infrastructure'!BT21*'5_Infrastructure'!BT7+'5_Infrastructure'!BT22*'5_Infrastructure'!BT8)</f>
        <v>30</v>
      </c>
      <c r="BU24" s="114">
        <f t="shared" ref="BU24:CB24" si="82">$CC24</f>
        <v>30</v>
      </c>
      <c r="BV24" s="114">
        <f t="shared" si="82"/>
        <v>30</v>
      </c>
      <c r="BW24" s="114">
        <f t="shared" si="82"/>
        <v>30</v>
      </c>
      <c r="BX24" s="114">
        <f t="shared" si="82"/>
        <v>30</v>
      </c>
      <c r="BY24" s="114">
        <f t="shared" si="82"/>
        <v>30</v>
      </c>
      <c r="BZ24" s="114">
        <f t="shared" si="82"/>
        <v>30</v>
      </c>
      <c r="CA24" s="114">
        <f t="shared" si="82"/>
        <v>30</v>
      </c>
      <c r="CB24" s="114">
        <f t="shared" si="82"/>
        <v>30</v>
      </c>
      <c r="CC24" s="21">
        <f>('5_Infrastructure'!BK21*'5_Infrastructure'!BK7+'5_Infrastructure'!BK22*'5_Infrastructure'!BK8)</f>
        <v>30</v>
      </c>
      <c r="CD24" s="21">
        <f>('5_Infrastructure'!CP21*'5_Infrastructure'!CP7+'5_Infrastructure'!CP22*'5_Infrastructure'!CP8)</f>
        <v>30</v>
      </c>
      <c r="CE24" s="21">
        <f>('5_Infrastructure'!CO21*'5_Infrastructure'!CO7+'5_Infrastructure'!CO22*'5_Infrastructure'!CO8)</f>
        <v>30</v>
      </c>
      <c r="CF24" s="21">
        <f>('5_Infrastructure'!CP21*'5_Infrastructure'!CP7+'5_Infrastructure'!CP22*'5_Infrastructure'!CP8)</f>
        <v>30</v>
      </c>
      <c r="CG24" s="21">
        <f>('5_Infrastructure'!CN21*'5_Infrastructure'!CN7+'5_Infrastructure'!CN22*'5_Infrastructure'!CN8)</f>
        <v>30</v>
      </c>
      <c r="CH24" s="21">
        <f>('5_Infrastructure'!CH21*'5_Infrastructure'!CH7+'5_Infrastructure'!CH22*'5_Infrastructure'!CH8)</f>
        <v>30</v>
      </c>
      <c r="CI24" s="21">
        <f>('5_Infrastructure'!CI21*'5_Infrastructure'!CI7+'5_Infrastructure'!CI22*'5_Infrastructure'!CI8)</f>
        <v>30</v>
      </c>
      <c r="CJ24" s="21">
        <f>('5_Infrastructure'!CJ21*'5_Infrastructure'!CJ7+'5_Infrastructure'!CJ22*'5_Infrastructure'!CJ8)</f>
        <v>30</v>
      </c>
      <c r="CK24" s="21">
        <f>('5_Infrastructure'!CK21*'5_Infrastructure'!CK7+'5_Infrastructure'!CK22*'5_Infrastructure'!CK8)</f>
        <v>30</v>
      </c>
      <c r="CL24" s="21">
        <f>('5_Infrastructure'!CM21*'5_Infrastructure'!CM7+'5_Infrastructure'!CM22*'5_Infrastructure'!CM8)</f>
        <v>30</v>
      </c>
      <c r="CM24" s="21">
        <f>('5_Infrastructure'!CZ21*'5_Infrastructure'!CZ7+'5_Infrastructure'!CZ22*'5_Infrastructure'!CZ8)</f>
        <v>30</v>
      </c>
      <c r="CN24" s="21">
        <f>('5_Infrastructure'!CN21*'5_Infrastructure'!CN7+'5_Infrastructure'!CN22*'5_Infrastructure'!CN8)</f>
        <v>30</v>
      </c>
      <c r="CO24" s="21">
        <f>('5_Infrastructure'!CO21*'5_Infrastructure'!CO7+'5_Infrastructure'!CO22*'5_Infrastructure'!CO8)</f>
        <v>30</v>
      </c>
      <c r="CP24" s="21">
        <f>('5_Infrastructure'!CP21*'5_Infrastructure'!CP7+'5_Infrastructure'!CP22*'5_Infrastructure'!CP8)</f>
        <v>30</v>
      </c>
      <c r="CQ24" s="21">
        <f>('5_Infrastructure'!CQ21*'5_Infrastructure'!CQ7+'5_Infrastructure'!CQ22*'5_Infrastructure'!CQ8)</f>
        <v>30</v>
      </c>
      <c r="CR24" s="21">
        <f>('5_Infrastructure'!CS21*'5_Infrastructure'!CS7+'5_Infrastructure'!CS22*'5_Infrastructure'!CS8)</f>
        <v>30</v>
      </c>
      <c r="CS24" s="21">
        <f>('5_Infrastructure'!CS21*'5_Infrastructure'!CS7+'5_Infrastructure'!CS22*'5_Infrastructure'!CS8)</f>
        <v>30</v>
      </c>
      <c r="CT24" s="21">
        <f>('5_Infrastructure'!CT21*'5_Infrastructure'!CT7+'5_Infrastructure'!CT22*'5_Infrastructure'!CT8)</f>
        <v>30</v>
      </c>
      <c r="CU24" s="21">
        <f>('5_Infrastructure'!CU21*'5_Infrastructure'!CU7+'5_Infrastructure'!CU22*'5_Infrastructure'!CU8)</f>
        <v>30</v>
      </c>
      <c r="CV24" s="21">
        <f>('5_Infrastructure'!CV21*'5_Infrastructure'!CV7+'5_Infrastructure'!CV22*'5_Infrastructure'!CV8)</f>
        <v>30</v>
      </c>
      <c r="CW24" s="21">
        <f>('5_Infrastructure'!CX21*'5_Infrastructure'!CX7+'5_Infrastructure'!CX22*'5_Infrastructure'!CX8)</f>
        <v>30</v>
      </c>
      <c r="CX24" s="21">
        <f>('5_Infrastructure'!DQ21*'5_Infrastructure'!DQ7+'5_Infrastructure'!DQ22*'5_Infrastructure'!DQ8)</f>
        <v>30.000000000000004</v>
      </c>
      <c r="CY24" s="21">
        <f>('5_Infrastructure'!CY21*'5_Infrastructure'!CY7+'5_Infrastructure'!CY22*'5_Infrastructure'!CY8)</f>
        <v>30</v>
      </c>
      <c r="CZ24" s="21">
        <f>('5_Infrastructure'!CZ21*'5_Infrastructure'!CZ7+'5_Infrastructure'!CZ22*'5_Infrastructure'!CZ8)</f>
        <v>30</v>
      </c>
      <c r="DA24" s="21">
        <f>('5_Infrastructure'!DA21*'5_Infrastructure'!DA7+'5_Infrastructure'!DA22*'5_Infrastructure'!DA8)</f>
        <v>30</v>
      </c>
      <c r="DB24" s="21">
        <f>('5_Infrastructure'!DB21*'5_Infrastructure'!DB7+'5_Infrastructure'!DB22*'5_Infrastructure'!DB8)</f>
        <v>30</v>
      </c>
      <c r="DC24" s="21">
        <f>('5_Infrastructure'!DC21*'5_Infrastructure'!DC7+'5_Infrastructure'!DC22*'5_Infrastructure'!DC8)</f>
        <v>30</v>
      </c>
      <c r="DD24" s="21">
        <f>('5_Infrastructure'!DD21*'5_Infrastructure'!DD7+'5_Infrastructure'!DD22*'5_Infrastructure'!DD8)</f>
        <v>30</v>
      </c>
      <c r="DE24" s="21">
        <f>('5_Infrastructure'!DE21*'5_Infrastructure'!DE7+'5_Infrastructure'!DE22*'5_Infrastructure'!DE8)</f>
        <v>30</v>
      </c>
      <c r="DF24" s="21">
        <f>('5_Infrastructure'!DF21*'5_Infrastructure'!DF7+'5_Infrastructure'!DF22*'5_Infrastructure'!DF8)</f>
        <v>30</v>
      </c>
      <c r="DH24" s="21">
        <f>('5_Infrastructure'!DH21*'5_Infrastructure'!DH7+'5_Infrastructure'!DH22*'5_Infrastructure'!DH8)</f>
        <v>30</v>
      </c>
      <c r="DI24" s="21">
        <f>('5_Infrastructure'!DI21*'5_Infrastructure'!DI7+'5_Infrastructure'!DI22*'5_Infrastructure'!DI8)</f>
        <v>30</v>
      </c>
      <c r="DJ24" s="21">
        <f>('5_Infrastructure'!DJ21*'5_Infrastructure'!DJ7+'5_Infrastructure'!DJ22*'5_Infrastructure'!DJ8)</f>
        <v>30</v>
      </c>
      <c r="DK24" s="21">
        <f>('5_Infrastructure'!DK21*'5_Infrastructure'!DK7+'5_Infrastructure'!DK22*'5_Infrastructure'!DK8)</f>
        <v>30.000000000000004</v>
      </c>
      <c r="DL24" s="21">
        <f>('5_Infrastructure'!DL21*'5_Infrastructure'!DL7+'5_Infrastructure'!DL22*'5_Infrastructure'!DL8)</f>
        <v>30.000000000000004</v>
      </c>
      <c r="DM24" s="21">
        <f>('5_Infrastructure'!DM21*'5_Infrastructure'!DM7+'5_Infrastructure'!DM22*'5_Infrastructure'!DM8)</f>
        <v>30</v>
      </c>
      <c r="DN24" s="21">
        <f>('5_Infrastructure'!DN21*'5_Infrastructure'!DN7+'5_Infrastructure'!DN22*'5_Infrastructure'!DN8)</f>
        <v>30.000000000000004</v>
      </c>
      <c r="DO24" s="21">
        <f>('5_Infrastructure'!DO21*'5_Infrastructure'!DO7+'5_Infrastructure'!DO22*'5_Infrastructure'!DO8)</f>
        <v>30.000000000000004</v>
      </c>
      <c r="DP24" s="21">
        <f>('5_Infrastructure'!DP21*'5_Infrastructure'!DP7+'5_Infrastructure'!DP22*'5_Infrastructure'!DP8)</f>
        <v>30.000000000000004</v>
      </c>
      <c r="DQ24" s="21">
        <f>('5_Infrastructure'!DQ21*'5_Infrastructure'!DQ7+'5_Infrastructure'!DQ22*'5_Infrastructure'!DQ8)</f>
        <v>30.000000000000004</v>
      </c>
      <c r="DR24" s="21">
        <f>('5_Infrastructure'!DR21*'5_Infrastructure'!DR7+'5_Infrastructure'!DR22*'5_Infrastructure'!DR8)</f>
        <v>30.000000000000004</v>
      </c>
      <c r="DS24" s="21">
        <f>('5_Infrastructure'!DQ21*'5_Infrastructure'!DQ7+'5_Infrastructure'!DQ22*'5_Infrastructure'!DQ8)</f>
        <v>30.000000000000004</v>
      </c>
      <c r="DT24" s="21">
        <f>('5_Infrastructure'!DR21*'5_Infrastructure'!DR7+'5_Infrastructure'!DR22*'5_Infrastructure'!DR8)</f>
        <v>30.000000000000004</v>
      </c>
      <c r="DU24" s="21">
        <f>('5_Infrastructure'!DU21*'5_Infrastructure'!DU7+'5_Infrastructure'!DU22*'5_Infrastructure'!DU8)</f>
        <v>30.000000000000004</v>
      </c>
      <c r="DV24" s="21">
        <f>('5_Infrastructure'!EC21*'5_Infrastructure'!EC7+'5_Infrastructure'!EC22*'5_Infrastructure'!EC8)</f>
        <v>50</v>
      </c>
      <c r="DW24" s="21">
        <f>('5_Infrastructure'!ED21*'5_Infrastructure'!ED7+'5_Infrastructure'!ED22*'5_Infrastructure'!ED8)</f>
        <v>50</v>
      </c>
      <c r="DX24" s="21">
        <f>('5_Infrastructure'!DX21*'5_Infrastructure'!DX7+'5_Infrastructure'!DX22*'5_Infrastructure'!DX8)</f>
        <v>62.5</v>
      </c>
      <c r="DY24" s="21">
        <f>('5_Infrastructure'!DY21*'5_Infrastructure'!DY7+'5_Infrastructure'!DY22*'5_Infrastructure'!DY8)</f>
        <v>37.5</v>
      </c>
      <c r="DZ24" s="21">
        <f>('5_Infrastructure'!DZ21*'5_Infrastructure'!DZ7+'5_Infrastructure'!DZ22*'5_Infrastructure'!DZ8)</f>
        <v>50</v>
      </c>
      <c r="EA24" s="21">
        <f>('5_Infrastructure'!EA21*'5_Infrastructure'!EA7+'5_Infrastructure'!EA22*'5_Infrastructure'!EA8)</f>
        <v>50</v>
      </c>
      <c r="EB24" s="21">
        <f>('5_Infrastructure'!EB21*'5_Infrastructure'!EB7+'5_Infrastructure'!EB22*'5_Infrastructure'!EB8)</f>
        <v>50</v>
      </c>
      <c r="EC24" s="21">
        <f>('5_Infrastructure'!EC21*'5_Infrastructure'!EC7+'5_Infrastructure'!EC22*'5_Infrastructure'!EC8)</f>
        <v>50</v>
      </c>
      <c r="ED24" s="21">
        <f>('5_Infrastructure'!ED21*'5_Infrastructure'!ED7+'5_Infrastructure'!ED22*'5_Infrastructure'!ED8)</f>
        <v>50</v>
      </c>
    </row>
    <row r="29" spans="1:134" x14ac:dyDescent="0.3">
      <c r="A29" s="21" t="s">
        <v>590</v>
      </c>
    </row>
    <row r="75" spans="1:134" x14ac:dyDescent="0.3">
      <c r="CC75" s="21">
        <f>CC63*CC$4*(1+CC$36)</f>
        <v>0</v>
      </c>
    </row>
    <row r="76" spans="1:134" x14ac:dyDescent="0.3">
      <c r="A76" s="21" t="s">
        <v>853</v>
      </c>
      <c r="B76" s="21" t="s">
        <v>843</v>
      </c>
      <c r="D76" s="21">
        <f t="shared" ref="D76:AQ76" ca="1" si="83">SUM(D77:D81)</f>
        <v>0.43235824895616282</v>
      </c>
      <c r="E76" s="21">
        <f t="shared" ca="1" si="83"/>
        <v>6.3563192777933439</v>
      </c>
      <c r="F76" s="21">
        <f t="shared" ca="1" si="83"/>
        <v>0.35361559525578917</v>
      </c>
      <c r="G76" s="21">
        <f t="shared" ca="1" si="83"/>
        <v>2.7371995251853645</v>
      </c>
      <c r="H76" s="21">
        <f t="shared" ca="1" si="83"/>
        <v>0.96934197201387595</v>
      </c>
      <c r="I76" s="21">
        <f t="shared" ref="I76" ca="1" si="84">SUM(I77:I81)</f>
        <v>1.0367034066410095</v>
      </c>
      <c r="J76" s="21">
        <f t="shared" ca="1" si="83"/>
        <v>1.1940521710265477</v>
      </c>
      <c r="K76" s="21">
        <f t="shared" ref="K76" ca="1" si="85">SUM(K77:K81)</f>
        <v>1.2442668417996947</v>
      </c>
      <c r="L76" s="21">
        <f t="shared" ca="1" si="83"/>
        <v>1.9316867370836106</v>
      </c>
      <c r="M76" s="21">
        <f t="shared" ca="1" si="83"/>
        <v>1.1800089038018706</v>
      </c>
      <c r="N76" s="21">
        <f t="shared" ca="1" si="83"/>
        <v>1.6811274593230308</v>
      </c>
      <c r="O76" s="21">
        <f t="shared" ca="1" si="83"/>
        <v>1.0640016885146921</v>
      </c>
      <c r="P76" s="21">
        <f t="shared" ca="1" si="83"/>
        <v>1.9804179211340889</v>
      </c>
      <c r="Q76" s="21">
        <f t="shared" ca="1" si="83"/>
        <v>1.4128177494823282</v>
      </c>
      <c r="R76" s="21">
        <f t="shared" ca="1" si="83"/>
        <v>1.4996834703244466</v>
      </c>
      <c r="S76" s="21">
        <f t="shared" ca="1" si="83"/>
        <v>1.6081418979514832</v>
      </c>
      <c r="T76" s="21">
        <f t="shared" ca="1" si="83"/>
        <v>1.2896650173113531</v>
      </c>
      <c r="U76" s="21">
        <f t="shared" ca="1" si="83"/>
        <v>1.4716383720066297</v>
      </c>
      <c r="V76" s="21">
        <f t="shared" ca="1" si="83"/>
        <v>1.3951612750885363</v>
      </c>
      <c r="W76" s="21">
        <f t="shared" ca="1" si="83"/>
        <v>1.4562506099033876</v>
      </c>
      <c r="X76" s="21">
        <f t="shared" ref="X76:Y76" ca="1" si="86">SUM(X77:X81)</f>
        <v>0.50326206037366694</v>
      </c>
      <c r="Y76" s="21">
        <f t="shared" ca="1" si="86"/>
        <v>1.1917330536341586</v>
      </c>
      <c r="Z76" s="21">
        <f t="shared" ca="1" si="83"/>
        <v>1.0795923119608779</v>
      </c>
      <c r="AA76" s="21">
        <f t="shared" ref="AA76" ca="1" si="87">SUM(AA77:AA81)</f>
        <v>0.8848427968225594</v>
      </c>
      <c r="AB76" s="21">
        <f t="shared" ref="AB76:AC76" ca="1" si="88">SUM(AB77:AB81)</f>
        <v>1.1156067679650776</v>
      </c>
      <c r="AC76" s="21">
        <f t="shared" ca="1" si="88"/>
        <v>0.9776559772880663</v>
      </c>
      <c r="AD76" s="21">
        <f t="shared" ref="AD76" ca="1" si="89">SUM(AD77:AD81)</f>
        <v>1.1390017435579329</v>
      </c>
      <c r="AE76" s="21">
        <f t="shared" ca="1" si="83"/>
        <v>1.2578206067520432</v>
      </c>
      <c r="AF76" s="21">
        <f t="shared" ca="1" si="83"/>
        <v>1.6397924568296229</v>
      </c>
      <c r="AG76" s="21">
        <f t="shared" ca="1" si="83"/>
        <v>0.12269379184819221</v>
      </c>
      <c r="AH76" s="21">
        <f t="shared" ca="1" si="83"/>
        <v>0.3864896459081511</v>
      </c>
      <c r="AI76" s="21">
        <f t="shared" ca="1" si="83"/>
        <v>0.68220569398115449</v>
      </c>
      <c r="AJ76" s="21">
        <f t="shared" ca="1" si="83"/>
        <v>1.0613792410902398</v>
      </c>
      <c r="AK76" s="21">
        <f t="shared" ca="1" si="83"/>
        <v>0.92961440588143363</v>
      </c>
      <c r="AL76" s="21">
        <f t="shared" ca="1" si="83"/>
        <v>0.49023587112521849</v>
      </c>
      <c r="AM76" s="21">
        <f t="shared" ca="1" si="83"/>
        <v>1.0838950347985015</v>
      </c>
      <c r="AN76" s="21">
        <f t="shared" ca="1" si="83"/>
        <v>1.0174130887593651</v>
      </c>
      <c r="AO76" s="21">
        <f t="shared" ca="1" si="83"/>
        <v>2.1835613123627797</v>
      </c>
      <c r="AP76" s="21">
        <f t="shared" ca="1" si="83"/>
        <v>1.7335949156685733</v>
      </c>
      <c r="AQ76" s="21">
        <f t="shared" ca="1" si="83"/>
        <v>1.6803579381173797</v>
      </c>
      <c r="AR76" s="21">
        <f t="shared" ref="AR76:BW76" ca="1" si="90">SUM(AR77:AR81)</f>
        <v>1.7796559851656371</v>
      </c>
      <c r="AS76" s="21">
        <f t="shared" ca="1" si="90"/>
        <v>1.9568870894361425</v>
      </c>
      <c r="AT76" s="21">
        <f t="shared" ca="1" si="90"/>
        <v>1.0749210971928735</v>
      </c>
      <c r="AU76" s="21">
        <f t="shared" ca="1" si="90"/>
        <v>1.7471787469534417</v>
      </c>
      <c r="AV76" s="21">
        <f t="shared" ca="1" si="90"/>
        <v>1.7092436004094806</v>
      </c>
      <c r="AW76" s="21">
        <f t="shared" ca="1" si="90"/>
        <v>1.8500683699217935</v>
      </c>
      <c r="AX76" s="21">
        <f t="shared" ca="1" si="90"/>
        <v>1.7796559851656371</v>
      </c>
      <c r="AY76" s="21">
        <f t="shared" ca="1" si="90"/>
        <v>3.9166890384204684</v>
      </c>
      <c r="AZ76" s="21">
        <f t="shared" ca="1" si="90"/>
        <v>2.4951818741553473</v>
      </c>
      <c r="BA76" s="21">
        <f t="shared" ca="1" si="90"/>
        <v>4.2780719085990917</v>
      </c>
      <c r="BB76" s="21">
        <f t="shared" ca="1" si="90"/>
        <v>1.8534671165307863</v>
      </c>
      <c r="BC76" s="21">
        <f t="shared" ca="1" si="90"/>
        <v>2.232160883859398</v>
      </c>
      <c r="BD76" s="21">
        <f t="shared" ca="1" si="90"/>
        <v>4.4479569518547235</v>
      </c>
      <c r="BE76" s="21">
        <f t="shared" ca="1" si="90"/>
        <v>3.2402335410862229</v>
      </c>
      <c r="BF76" s="21">
        <f t="shared" ca="1" si="90"/>
        <v>5.8113154045305002</v>
      </c>
      <c r="BG76" s="21">
        <f t="shared" ca="1" si="90"/>
        <v>2.9056577022652501</v>
      </c>
      <c r="BH76" s="21">
        <f t="shared" ca="1" si="90"/>
        <v>2.9993885958867099</v>
      </c>
      <c r="BI76" s="21">
        <f t="shared" ca="1" si="90"/>
        <v>3.7492357448583875</v>
      </c>
      <c r="BJ76" s="21">
        <f t="shared" ca="1" si="90"/>
        <v>2.8909428584375045</v>
      </c>
      <c r="BK76" s="21">
        <f t="shared" ca="1" si="90"/>
        <v>2.8248463282313367</v>
      </c>
      <c r="BL76" s="21">
        <f t="shared" ca="1" si="90"/>
        <v>4.582933666704335</v>
      </c>
      <c r="BM76" s="21">
        <f t="shared" ca="1" si="90"/>
        <v>2.1885581352228525</v>
      </c>
      <c r="BN76" s="21">
        <f t="shared" ca="1" si="90"/>
        <v>2.2433143420629635</v>
      </c>
      <c r="BO76" s="21">
        <f t="shared" ca="1" si="90"/>
        <v>3.097830512555833</v>
      </c>
      <c r="BP76" s="21">
        <f t="shared" ca="1" si="90"/>
        <v>1.4604869728588274</v>
      </c>
      <c r="BQ76" s="21">
        <f t="shared" ca="1" si="90"/>
        <v>2.7377865137345032</v>
      </c>
      <c r="BR76" s="21">
        <f t="shared" ca="1" si="90"/>
        <v>2.6996071564894302</v>
      </c>
      <c r="BS76" s="21">
        <f t="shared" ca="1" si="90"/>
        <v>2.8380053584464902</v>
      </c>
      <c r="BT76" s="21">
        <f t="shared" ca="1" si="90"/>
        <v>2.7688062574679599</v>
      </c>
      <c r="BU76" s="21">
        <f t="shared" ca="1" si="90"/>
        <v>4.7207728568789253</v>
      </c>
      <c r="BV76" s="21">
        <f t="shared" ca="1" si="90"/>
        <v>2.3603864284394627</v>
      </c>
      <c r="BW76" s="21">
        <f t="shared" ca="1" si="90"/>
        <v>2.436527926131058</v>
      </c>
      <c r="BX76" s="21">
        <f t="shared" ref="BX76:DC76" ca="1" si="91">SUM(BX77:BX81)</f>
        <v>3.3746841627516955</v>
      </c>
      <c r="BY76" s="21">
        <f t="shared" ca="1" si="91"/>
        <v>1.7373406230546897</v>
      </c>
      <c r="BZ76" s="21">
        <f t="shared" ca="1" si="91"/>
        <v>2.9890076732465727</v>
      </c>
      <c r="CA76" s="21">
        <f t="shared" ca="1" si="91"/>
        <v>2.9072617057067625</v>
      </c>
      <c r="CB76" s="21">
        <f t="shared" ca="1" si="91"/>
        <v>3.1840581096208824</v>
      </c>
      <c r="CC76" s="21">
        <f t="shared" ca="1" si="91"/>
        <v>3.0456599076638224</v>
      </c>
      <c r="CD76" s="21">
        <f t="shared" ca="1" si="91"/>
        <v>6.7268889489476331</v>
      </c>
      <c r="CE76" s="21">
        <f t="shared" ca="1" si="91"/>
        <v>4.0879033276057584</v>
      </c>
      <c r="CF76" s="21">
        <f t="shared" ca="1" si="91"/>
        <v>7.3977854608858413</v>
      </c>
      <c r="CG76" s="21">
        <f t="shared" ca="1" si="91"/>
        <v>2.9059820120580349</v>
      </c>
      <c r="CH76" s="21">
        <f t="shared" ca="1" si="91"/>
        <v>4.8704445030743395</v>
      </c>
      <c r="CI76" s="21">
        <f t="shared" ca="1" si="91"/>
        <v>3.7554543161206797</v>
      </c>
      <c r="CJ76" s="21">
        <f t="shared" ca="1" si="91"/>
        <v>3.6695865574249575</v>
      </c>
      <c r="CK76" s="21">
        <f t="shared" ca="1" si="91"/>
        <v>3.5968217801651226</v>
      </c>
      <c r="CL76" s="21">
        <f t="shared" ca="1" si="91"/>
        <v>3.9563941345477596</v>
      </c>
      <c r="CM76" s="21">
        <f t="shared" ca="1" si="91"/>
        <v>3.7750157845023833</v>
      </c>
      <c r="CN76" s="21">
        <f t="shared" ca="1" si="91"/>
        <v>2.8159982778851118</v>
      </c>
      <c r="CO76" s="21">
        <f t="shared" ca="1" si="91"/>
        <v>2.2096391179017494</v>
      </c>
      <c r="CP76" s="21">
        <f t="shared" ca="1" si="91"/>
        <v>1.9285026241127896</v>
      </c>
      <c r="CQ76" s="21">
        <f t="shared" ca="1" si="91"/>
        <v>1.9109823001210189</v>
      </c>
      <c r="CR76" s="21">
        <f t="shared" ca="1" si="91"/>
        <v>2.1727016912263517</v>
      </c>
      <c r="CS76" s="21">
        <f t="shared" ca="1" si="91"/>
        <v>4.8516005754555067</v>
      </c>
      <c r="CT76" s="21">
        <f t="shared" ca="1" si="91"/>
        <v>3.6955906006536483</v>
      </c>
      <c r="CU76" s="21">
        <f t="shared" ca="1" si="91"/>
        <v>3.4005435039781737</v>
      </c>
      <c r="CV76" s="21">
        <f t="shared" ca="1" si="91"/>
        <v>2.9434641907935344</v>
      </c>
      <c r="CW76" s="21">
        <f t="shared" ca="1" si="91"/>
        <v>3.2202646296947255</v>
      </c>
      <c r="CX76" s="21">
        <f t="shared" ca="1" si="91"/>
        <v>3.3654794156826471</v>
      </c>
      <c r="CY76" s="21">
        <f t="shared" ca="1" si="91"/>
        <v>1.3166320187517324</v>
      </c>
      <c r="CZ76" s="21">
        <f t="shared" ca="1" si="91"/>
        <v>1.0047411196675302</v>
      </c>
      <c r="DA76" s="21">
        <f t="shared" ca="1" si="91"/>
        <v>0.91489413801476605</v>
      </c>
      <c r="DB76" s="21">
        <f t="shared" ca="1" si="91"/>
        <v>0.80594171446480922</v>
      </c>
      <c r="DC76" s="21">
        <f t="shared" ca="1" si="91"/>
        <v>0.88590967857021197</v>
      </c>
      <c r="DD76" s="21">
        <f t="shared" ref="DD76:DF76" ca="1" si="92">SUM(DD77:DD81)</f>
        <v>0.91960054001430991</v>
      </c>
      <c r="DE76" s="21">
        <f t="shared" ca="1" si="92"/>
        <v>1.0075003673314775</v>
      </c>
      <c r="DF76" s="21">
        <f t="shared" ca="1" si="92"/>
        <v>0.76814334052437516</v>
      </c>
      <c r="DH76" s="21">
        <f t="shared" ref="DH76:DS76" ca="1" si="93">SUM(DH77:DH81)</f>
        <v>0.71108689151169568</v>
      </c>
      <c r="DI76" s="21">
        <f t="shared" ca="1" si="93"/>
        <v>0.787420235383538</v>
      </c>
      <c r="DJ76" s="21">
        <f t="shared" ca="1" si="93"/>
        <v>0.69292953852294414</v>
      </c>
      <c r="DK76" s="21">
        <f t="shared" ca="1" si="93"/>
        <v>1.2141379598104289</v>
      </c>
      <c r="DL76" s="21">
        <f t="shared" ca="1" si="93"/>
        <v>1.1619164177549699</v>
      </c>
      <c r="DM76" s="21">
        <f t="shared" ca="1" si="93"/>
        <v>1.1086588837037126</v>
      </c>
      <c r="DN76" s="21">
        <f t="shared" ca="1" si="93"/>
        <v>1.2898573885283406</v>
      </c>
      <c r="DO76" s="21">
        <f t="shared" ca="1" si="93"/>
        <v>2.362998992051534</v>
      </c>
      <c r="DP76" s="21">
        <f t="shared" ca="1" si="93"/>
        <v>0.78766633068384484</v>
      </c>
      <c r="DQ76" s="21">
        <f t="shared" ca="1" si="93"/>
        <v>1.181499496025767</v>
      </c>
      <c r="DR76" s="21">
        <f t="shared" ca="1" si="93"/>
        <v>0.89769091940766066</v>
      </c>
      <c r="DS76" s="21">
        <f t="shared" ca="1" si="93"/>
        <v>0.56735445936910545</v>
      </c>
      <c r="DT76" s="21">
        <f t="shared" ref="DT76:ED76" ca="1" si="94">SUM(DT77:DT81)</f>
        <v>1.0660873532229724</v>
      </c>
      <c r="DU76" s="21">
        <f t="shared" ca="1" si="94"/>
        <v>1.0217426683441548</v>
      </c>
      <c r="DV76" s="21">
        <f t="shared" ref="DV76" ca="1" si="95">SUM(DV77:DV81)</f>
        <v>1.2910852037610334</v>
      </c>
      <c r="DW76" s="21">
        <f t="shared" ca="1" si="94"/>
        <v>0.9121737650071291</v>
      </c>
      <c r="DX76" s="21">
        <f t="shared" ca="1" si="94"/>
        <v>0.94449972079806077</v>
      </c>
      <c r="DY76" s="21">
        <f t="shared" ca="1" si="94"/>
        <v>0.9767376726445739</v>
      </c>
      <c r="DZ76" s="21">
        <f t="shared" ca="1" si="94"/>
        <v>0.9767376726445739</v>
      </c>
      <c r="EA76" s="21">
        <f t="shared" ca="1" si="94"/>
        <v>0.94449972079806077</v>
      </c>
      <c r="EB76" s="21">
        <f t="shared" ca="1" si="94"/>
        <v>1.2754519369873374</v>
      </c>
      <c r="EC76" s="21">
        <f t="shared" ca="1" si="94"/>
        <v>0.76527116219240243</v>
      </c>
      <c r="ED76" s="21">
        <f t="shared" ca="1" si="94"/>
        <v>0.95658895274050326</v>
      </c>
    </row>
    <row r="77" spans="1:134" x14ac:dyDescent="0.3">
      <c r="A77" s="21" t="str">
        <f>A84</f>
        <v>Vehicle and battery manufacturing, assembly and disposal - Including fluids</v>
      </c>
      <c r="D77" s="305">
        <f t="shared" ref="D77:AQ77" ca="1" si="96">D84/D$17</f>
        <v>0.28608082351542902</v>
      </c>
      <c r="E77" s="305">
        <f t="shared" ca="1" si="96"/>
        <v>3.1106262730823859</v>
      </c>
      <c r="F77" s="305">
        <f t="shared" ca="1" si="96"/>
        <v>0.22766161641212609</v>
      </c>
      <c r="G77" s="305">
        <f t="shared" ca="1" si="96"/>
        <v>1.5625931877532397</v>
      </c>
      <c r="H77" s="305">
        <f t="shared" ca="1" si="96"/>
        <v>0.52086439591774669</v>
      </c>
      <c r="I77" s="305">
        <f t="shared" ref="I77" ca="1" si="97">I84/I$17</f>
        <v>0.78129659387661987</v>
      </c>
      <c r="J77" s="305">
        <f t="shared" ca="1" si="96"/>
        <v>0.78129659387661987</v>
      </c>
      <c r="K77" s="305">
        <f t="shared" ref="K77" ca="1" si="98">K84/K$17</f>
        <v>0.78129659387661987</v>
      </c>
      <c r="L77" s="305">
        <f t="shared" ca="1" si="96"/>
        <v>0.78129659387661987</v>
      </c>
      <c r="M77" s="305">
        <f t="shared" ca="1" si="96"/>
        <v>0.78129659387661987</v>
      </c>
      <c r="N77" s="305">
        <f t="shared" ca="1" si="96"/>
        <v>0.78129659387661987</v>
      </c>
      <c r="O77" s="305">
        <f t="shared" ca="1" si="96"/>
        <v>0.43405366326478889</v>
      </c>
      <c r="P77" s="305">
        <f t="shared" ca="1" si="96"/>
        <v>1.3021609897943667</v>
      </c>
      <c r="Q77" s="305">
        <f t="shared" ca="1" si="96"/>
        <v>0.73786373345556044</v>
      </c>
      <c r="R77" s="305">
        <f t="shared" ca="1" si="96"/>
        <v>0.82472945429767897</v>
      </c>
      <c r="S77" s="305">
        <f t="shared" ca="1" si="96"/>
        <v>0.93318788192471558</v>
      </c>
      <c r="T77" s="305">
        <f t="shared" ca="1" si="96"/>
        <v>0.61468636431274037</v>
      </c>
      <c r="U77" s="305">
        <f t="shared" ca="1" si="96"/>
        <v>0.78129659387661987</v>
      </c>
      <c r="V77" s="305">
        <f t="shared" ca="1" si="96"/>
        <v>0.78129659387661987</v>
      </c>
      <c r="W77" s="305">
        <f t="shared" ca="1" si="96"/>
        <v>0.78129659387661987</v>
      </c>
      <c r="X77" s="305">
        <f t="shared" ref="X77:AA81" ca="1" si="99">X84/X$17</f>
        <v>0.38980729437473144</v>
      </c>
      <c r="Y77" s="305">
        <f t="shared" ca="1" si="99"/>
        <v>0.7269247803490626</v>
      </c>
      <c r="Z77" s="305">
        <f t="shared" ca="1" si="99"/>
        <v>0.7269247803490626</v>
      </c>
      <c r="AA77" s="305">
        <f t="shared" ca="1" si="99"/>
        <v>0.4846165202327084</v>
      </c>
      <c r="AB77" s="305">
        <f t="shared" ref="AB77:AC77" ca="1" si="100">AB84/AB$17</f>
        <v>0.58471094156209702</v>
      </c>
      <c r="AC77" s="305">
        <f t="shared" ca="1" si="100"/>
        <v>0.7269247803490626</v>
      </c>
      <c r="AD77" s="305">
        <f t="shared" ref="AD77" ca="1" si="101">AD84/AD$17</f>
        <v>0.7269247803490626</v>
      </c>
      <c r="AE77" s="305">
        <f t="shared" ca="1" si="96"/>
        <v>0.7269247803490626</v>
      </c>
      <c r="AF77" s="305">
        <f t="shared" ca="1" si="96"/>
        <v>0.71446861253220184</v>
      </c>
      <c r="AG77" s="305">
        <f t="shared" ca="1" si="96"/>
        <v>8.6234710901394465E-2</v>
      </c>
      <c r="AH77" s="305">
        <f t="shared" ca="1" si="96"/>
        <v>0.15088575294465986</v>
      </c>
      <c r="AI77" s="305">
        <f t="shared" ca="1" si="96"/>
        <v>0.26933428090186151</v>
      </c>
      <c r="AJ77" s="305">
        <f t="shared" ca="1" si="96"/>
        <v>0.44713915737079202</v>
      </c>
      <c r="AK77" s="305">
        <f t="shared" ca="1" si="96"/>
        <v>9.3283946638785101E-2</v>
      </c>
      <c r="AL77" s="305">
        <f t="shared" ca="1" si="96"/>
        <v>0.12055830855593497</v>
      </c>
      <c r="AM77" s="305">
        <f t="shared" ca="1" si="96"/>
        <v>0.23309094264663283</v>
      </c>
      <c r="AN77" s="305">
        <f t="shared" ca="1" si="96"/>
        <v>0.43619023939789026</v>
      </c>
      <c r="AO77" s="305">
        <f t="shared" ca="1" si="96"/>
        <v>0.28786300115290503</v>
      </c>
      <c r="AP77" s="305">
        <f t="shared" ca="1" si="96"/>
        <v>0.31003031186221175</v>
      </c>
      <c r="AQ77" s="305">
        <f t="shared" ca="1" si="96"/>
        <v>0.38530792765197441</v>
      </c>
      <c r="AR77" s="305">
        <f t="shared" ref="AR77:BW77" ca="1" si="102">AR84/AR$17</f>
        <v>0.5534386047823634</v>
      </c>
      <c r="AS77" s="305">
        <f t="shared" ca="1" si="102"/>
        <v>0.5534386047823634</v>
      </c>
      <c r="AT77" s="305">
        <f t="shared" ca="1" si="102"/>
        <v>0.5534386047823634</v>
      </c>
      <c r="AU77" s="305">
        <f t="shared" ca="1" si="102"/>
        <v>0.52096136657016778</v>
      </c>
      <c r="AV77" s="305">
        <f t="shared" ca="1" si="102"/>
        <v>0.48334076955901589</v>
      </c>
      <c r="AW77" s="305">
        <f t="shared" ca="1" si="102"/>
        <v>0.62353644000571073</v>
      </c>
      <c r="AX77" s="305">
        <f t="shared" ca="1" si="102"/>
        <v>0.5534386047823634</v>
      </c>
      <c r="AY77" s="305">
        <f t="shared" ca="1" si="102"/>
        <v>0.5141582980003806</v>
      </c>
      <c r="AZ77" s="305">
        <f t="shared" ca="1" si="102"/>
        <v>0.5141582980003806</v>
      </c>
      <c r="BA77" s="305">
        <f t="shared" ca="1" si="102"/>
        <v>0.5141582980003806</v>
      </c>
      <c r="BB77" s="305">
        <f t="shared" ca="1" si="102"/>
        <v>0.5141582980003806</v>
      </c>
      <c r="BC77" s="305">
        <f t="shared" ca="1" si="102"/>
        <v>0.14438892869101999</v>
      </c>
      <c r="BD77" s="305">
        <f t="shared" ca="1" si="102"/>
        <v>0.28771928752360137</v>
      </c>
      <c r="BE77" s="305">
        <f t="shared" ca="1" si="102"/>
        <v>0.20959683197083548</v>
      </c>
      <c r="BF77" s="305">
        <f t="shared" ca="1" si="102"/>
        <v>0.37590910745420714</v>
      </c>
      <c r="BG77" s="305">
        <f t="shared" ca="1" si="102"/>
        <v>0.18795455372710357</v>
      </c>
      <c r="BH77" s="305">
        <f t="shared" ca="1" si="102"/>
        <v>0.19401760384733269</v>
      </c>
      <c r="BI77" s="305">
        <f t="shared" ca="1" si="102"/>
        <v>0.24252200480916591</v>
      </c>
      <c r="BJ77" s="305">
        <f t="shared" ca="1" si="102"/>
        <v>0.26119713793077637</v>
      </c>
      <c r="BK77" s="305">
        <f t="shared" ca="1" si="102"/>
        <v>0.32461080850285318</v>
      </c>
      <c r="BL77" s="305">
        <f t="shared" ca="1" si="102"/>
        <v>0.78364103934204288</v>
      </c>
      <c r="BM77" s="305">
        <f t="shared" ca="1" si="102"/>
        <v>0.39182051967102144</v>
      </c>
      <c r="BN77" s="305">
        <f t="shared" ca="1" si="102"/>
        <v>0.40445989127331244</v>
      </c>
      <c r="BO77" s="305">
        <f t="shared" ca="1" si="102"/>
        <v>0.50557486409164065</v>
      </c>
      <c r="BP77" s="305">
        <f t="shared" ca="1" si="102"/>
        <v>0.50557486409164065</v>
      </c>
      <c r="BQ77" s="305">
        <f t="shared" ca="1" si="102"/>
        <v>0.47455512035818376</v>
      </c>
      <c r="BR77" s="305">
        <f t="shared" ca="1" si="102"/>
        <v>0.43668489260728965</v>
      </c>
      <c r="BS77" s="305">
        <f t="shared" ca="1" si="102"/>
        <v>0.57446483557599182</v>
      </c>
      <c r="BT77" s="305">
        <f t="shared" ca="1" si="102"/>
        <v>0.50557486409164065</v>
      </c>
      <c r="BU77" s="305">
        <f t="shared" ca="1" si="102"/>
        <v>1.210847594281721</v>
      </c>
      <c r="BV77" s="305">
        <f t="shared" ca="1" si="102"/>
        <v>0.60542379714086048</v>
      </c>
      <c r="BW77" s="305">
        <f t="shared" ca="1" si="102"/>
        <v>0.62495359704863018</v>
      </c>
      <c r="BX77" s="305">
        <f t="shared" ref="BX77:DF77" ca="1" si="103">BX84/BX$17</f>
        <v>0.78119199631078784</v>
      </c>
      <c r="BY77" s="305">
        <f t="shared" ca="1" si="103"/>
        <v>0.78119199631078784</v>
      </c>
      <c r="BZ77" s="305">
        <f t="shared" ca="1" si="103"/>
        <v>0.72453976189353786</v>
      </c>
      <c r="CA77" s="305">
        <f t="shared" ca="1" si="103"/>
        <v>0.6434120533420854</v>
      </c>
      <c r="CB77" s="305">
        <f t="shared" ca="1" si="103"/>
        <v>0.91897193927949006</v>
      </c>
      <c r="CC77" s="305">
        <f t="shared" ca="1" si="103"/>
        <v>0.78119199631078784</v>
      </c>
      <c r="CD77" s="305">
        <f t="shared" ca="1" si="103"/>
        <v>0.43311323839436977</v>
      </c>
      <c r="CE77" s="305">
        <f t="shared" ca="1" si="103"/>
        <v>0.43311323839436977</v>
      </c>
      <c r="CF77" s="305">
        <f t="shared" ca="1" si="103"/>
        <v>0.43311323839436977</v>
      </c>
      <c r="CG77" s="305">
        <f t="shared" ca="1" si="103"/>
        <v>0.433121971083409</v>
      </c>
      <c r="CH77" s="305">
        <f t="shared" ca="1" si="103"/>
        <v>0.3150481979740074</v>
      </c>
      <c r="CI77" s="305">
        <f t="shared" ca="1" si="103"/>
        <v>0.33928327206459746</v>
      </c>
      <c r="CJ77" s="305">
        <f t="shared" ca="1" si="103"/>
        <v>0.42165573308231413</v>
      </c>
      <c r="CK77" s="305">
        <f t="shared" ca="1" si="103"/>
        <v>0.65677115406843789</v>
      </c>
      <c r="CL77" s="305">
        <f t="shared" ca="1" si="103"/>
        <v>1.0147372098365095</v>
      </c>
      <c r="CM77" s="305">
        <f t="shared" ca="1" si="103"/>
        <v>0.56264707443825723</v>
      </c>
      <c r="CN77" s="305">
        <f t="shared" ca="1" si="103"/>
        <v>0.3566931758140639</v>
      </c>
      <c r="CO77" s="305">
        <f t="shared" ca="1" si="103"/>
        <v>0.38603904444935228</v>
      </c>
      <c r="CP77" s="305">
        <f t="shared" ca="1" si="103"/>
        <v>0.45412450101866203</v>
      </c>
      <c r="CQ77" s="305">
        <f t="shared" ca="1" si="103"/>
        <v>0.6197991945317729</v>
      </c>
      <c r="CR77" s="305">
        <f t="shared" ca="1" si="103"/>
        <v>0.64326201814190354</v>
      </c>
      <c r="CS77" s="305">
        <f t="shared" ca="1" si="103"/>
        <v>0.30051187438634364</v>
      </c>
      <c r="CT77" s="305">
        <f t="shared" ca="1" si="103"/>
        <v>0.32523441357646415</v>
      </c>
      <c r="CU77" s="305">
        <f t="shared" ca="1" si="103"/>
        <v>0.38258994125799506</v>
      </c>
      <c r="CV77" s="305">
        <f t="shared" ca="1" si="103"/>
        <v>0.56147725708030705</v>
      </c>
      <c r="CW77" s="305">
        <f t="shared" ca="1" si="103"/>
        <v>0.83704117800478284</v>
      </c>
      <c r="CX77" s="305">
        <f t="shared" ca="1" si="103"/>
        <v>0.54187789402318076</v>
      </c>
      <c r="CY77" s="305">
        <f t="shared" ca="1" si="103"/>
        <v>8.6818224998381863E-2</v>
      </c>
      <c r="CZ77" s="305">
        <f t="shared" ca="1" si="103"/>
        <v>9.3960594910792686E-2</v>
      </c>
      <c r="DA77" s="305">
        <f t="shared" ca="1" si="103"/>
        <v>0.11053067260680519</v>
      </c>
      <c r="DB77" s="305">
        <f t="shared" ca="1" si="103"/>
        <v>0.16221142321319071</v>
      </c>
      <c r="DC77" s="305">
        <f t="shared" ca="1" si="103"/>
        <v>0.24182215585765302</v>
      </c>
      <c r="DD77" s="305">
        <f t="shared" ca="1" si="103"/>
        <v>0.15654914475849319</v>
      </c>
      <c r="DE77" s="305">
        <f t="shared" ca="1" si="103"/>
        <v>7.5553650908723444E-2</v>
      </c>
      <c r="DF77" s="305">
        <f t="shared" ca="1" si="103"/>
        <v>7.8923806281140485E-2</v>
      </c>
      <c r="DG77" s="305"/>
      <c r="DH77" s="305">
        <f t="shared" ref="DH77:DS77" ca="1" si="104">DH84/DH$17</f>
        <v>0.15844060838136562</v>
      </c>
      <c r="DI77" s="305">
        <f t="shared" ca="1" si="104"/>
        <v>0.23443295465176087</v>
      </c>
      <c r="DJ77" s="305">
        <f t="shared" ca="1" si="104"/>
        <v>0.13117940987070983</v>
      </c>
      <c r="DK77" s="305">
        <f t="shared" ca="1" si="104"/>
        <v>0.12888216325417512</v>
      </c>
      <c r="DL77" s="305">
        <f t="shared" ca="1" si="104"/>
        <v>7.7331369810924686E-2</v>
      </c>
      <c r="DM77" s="305">
        <f t="shared" ca="1" si="104"/>
        <v>9.6662917352143593E-2</v>
      </c>
      <c r="DN77" s="305">
        <f t="shared" ca="1" si="104"/>
        <v>9.6662917352143607E-2</v>
      </c>
      <c r="DO77" s="305">
        <f t="shared" ca="1" si="104"/>
        <v>0.19332583470428719</v>
      </c>
      <c r="DP77" s="305">
        <f t="shared" ca="1" si="104"/>
        <v>6.4441944901429071E-2</v>
      </c>
      <c r="DQ77" s="305">
        <f t="shared" ca="1" si="104"/>
        <v>9.6662917352143593E-2</v>
      </c>
      <c r="DR77" s="305">
        <f t="shared" ca="1" si="104"/>
        <v>9.61147914242928E-2</v>
      </c>
      <c r="DS77" s="305">
        <f t="shared" ca="1" si="104"/>
        <v>0.2138293505618323</v>
      </c>
      <c r="DT77" s="305">
        <f t="shared" ref="DT77:ED77" ca="1" si="105">DT84/DT$17</f>
        <v>0.2138293505618323</v>
      </c>
      <c r="DU77" s="305">
        <f t="shared" ca="1" si="105"/>
        <v>0.16982379164089648</v>
      </c>
      <c r="DV77" s="305">
        <f t="shared" ref="DV77" ca="1" si="106">DV84/DV$17</f>
        <v>0.13403031684970204</v>
      </c>
      <c r="DW77" s="305">
        <f t="shared" ca="1" si="105"/>
        <v>0.13382319812544347</v>
      </c>
      <c r="DX77" s="305">
        <f t="shared" ca="1" si="105"/>
        <v>2.4784506467133524E-2</v>
      </c>
      <c r="DY77" s="305">
        <f t="shared" ca="1" si="105"/>
        <v>2.4784506467133524E-2</v>
      </c>
      <c r="DZ77" s="305">
        <f t="shared" ca="1" si="105"/>
        <v>2.4784506467133524E-2</v>
      </c>
      <c r="EA77" s="305">
        <f t="shared" ca="1" si="105"/>
        <v>2.4784506467133524E-2</v>
      </c>
      <c r="EB77" s="305">
        <f t="shared" ca="1" si="105"/>
        <v>3.3046008622844701E-2</v>
      </c>
      <c r="EC77" s="305">
        <f t="shared" ca="1" si="105"/>
        <v>1.9827605173706821E-2</v>
      </c>
      <c r="ED77" s="305">
        <f t="shared" ca="1" si="105"/>
        <v>2.4784506467133524E-2</v>
      </c>
    </row>
    <row r="78" spans="1:134" x14ac:dyDescent="0.3">
      <c r="A78" s="21" t="str">
        <f>A85</f>
        <v>Vehicle delivery at point of purchase</v>
      </c>
      <c r="D78" s="305">
        <f t="shared" ref="D78:BH81" si="107">D85/D$17</f>
        <v>1.591998041596299E-2</v>
      </c>
      <c r="E78" s="305">
        <f t="shared" si="107"/>
        <v>0.14492671826945616</v>
      </c>
      <c r="F78" s="305">
        <f t="shared" si="107"/>
        <v>1.610296869660624E-2</v>
      </c>
      <c r="G78" s="305">
        <f t="shared" si="107"/>
        <v>8.6956030961673689E-2</v>
      </c>
      <c r="H78" s="305">
        <f t="shared" si="107"/>
        <v>2.8985343653891233E-2</v>
      </c>
      <c r="I78" s="305">
        <f t="shared" ref="I78" si="108">I85/I$17</f>
        <v>4.3478015480836844E-2</v>
      </c>
      <c r="J78" s="305">
        <f t="shared" si="107"/>
        <v>4.3478015480836844E-2</v>
      </c>
      <c r="K78" s="305">
        <f t="shared" ref="K78" si="109">K85/K$17</f>
        <v>4.3478015480836844E-2</v>
      </c>
      <c r="L78" s="305">
        <f t="shared" si="107"/>
        <v>4.3478015480836844E-2</v>
      </c>
      <c r="M78" s="305">
        <f t="shared" si="107"/>
        <v>4.3478015480836844E-2</v>
      </c>
      <c r="N78" s="305">
        <f t="shared" si="107"/>
        <v>4.3478015480836844E-2</v>
      </c>
      <c r="O78" s="305">
        <f t="shared" si="107"/>
        <v>2.415445304490936E-2</v>
      </c>
      <c r="P78" s="305">
        <f t="shared" si="107"/>
        <v>7.2463359134728081E-2</v>
      </c>
      <c r="Q78" s="305">
        <f t="shared" si="107"/>
        <v>4.3478015480836844E-2</v>
      </c>
      <c r="R78" s="305">
        <f t="shared" si="107"/>
        <v>4.3478015480836844E-2</v>
      </c>
      <c r="S78" s="305">
        <f t="shared" si="107"/>
        <v>4.3478015480836844E-2</v>
      </c>
      <c r="T78" s="305">
        <f t="shared" si="107"/>
        <v>4.3478015480836844E-2</v>
      </c>
      <c r="U78" s="305">
        <f t="shared" si="107"/>
        <v>4.3478015480836844E-2</v>
      </c>
      <c r="V78" s="305">
        <f t="shared" si="107"/>
        <v>4.3478015480836844E-2</v>
      </c>
      <c r="W78" s="305">
        <f t="shared" si="107"/>
        <v>4.3478015480836844E-2</v>
      </c>
      <c r="X78" s="305">
        <f t="shared" si="99"/>
        <v>2.3701373238039173E-2</v>
      </c>
      <c r="Y78" s="305">
        <f t="shared" si="99"/>
        <v>3.5552059857058754E-2</v>
      </c>
      <c r="Z78" s="305">
        <f t="shared" si="99"/>
        <v>3.5552059857058754E-2</v>
      </c>
      <c r="AA78" s="305">
        <f t="shared" si="99"/>
        <v>2.3701373238039173E-2</v>
      </c>
      <c r="AB78" s="305">
        <f t="shared" ref="AB78:AC78" si="110">AB85/AB$17</f>
        <v>3.5552059857058754E-2</v>
      </c>
      <c r="AC78" s="305">
        <f t="shared" si="110"/>
        <v>3.5552059857058754E-2</v>
      </c>
      <c r="AD78" s="305">
        <f t="shared" ref="AD78" si="111">AD85/AD$17</f>
        <v>3.5552059857058754E-2</v>
      </c>
      <c r="AE78" s="305">
        <f t="shared" ref="AE78" si="112">AE85/AE$17</f>
        <v>3.5552059857058754E-2</v>
      </c>
      <c r="AF78" s="305">
        <f t="shared" si="107"/>
        <v>3.2454631890457365E-2</v>
      </c>
      <c r="AG78" s="305">
        <f t="shared" si="107"/>
        <v>8.7429279880425134E-3</v>
      </c>
      <c r="AH78" s="305">
        <f t="shared" si="107"/>
        <v>1.1743365058278861E-2</v>
      </c>
      <c r="AI78" s="305">
        <f t="shared" si="107"/>
        <v>2.8644433100411596E-2</v>
      </c>
      <c r="AJ78" s="305">
        <f t="shared" si="107"/>
        <v>3.3854704655074112E-2</v>
      </c>
      <c r="AK78" s="305">
        <f t="shared" si="107"/>
        <v>9.6572964052335127E-3</v>
      </c>
      <c r="AL78" s="305">
        <f t="shared" si="107"/>
        <v>9.4500904002699851E-3</v>
      </c>
      <c r="AM78" s="305">
        <f t="shared" si="107"/>
        <v>2.4130929314453958E-2</v>
      </c>
      <c r="AN78" s="305">
        <f t="shared" si="107"/>
        <v>2.5953092326657934E-2</v>
      </c>
      <c r="AO78" s="305">
        <f t="shared" si="107"/>
        <v>4.4685582809844832E-3</v>
      </c>
      <c r="AP78" s="305">
        <f t="shared" si="107"/>
        <v>4.7747641338089048E-3</v>
      </c>
      <c r="AQ78" s="305">
        <f t="shared" si="107"/>
        <v>5.289410953180633E-3</v>
      </c>
      <c r="AR78" s="305">
        <f t="shared" si="107"/>
        <v>5.4232055242057382E-3</v>
      </c>
      <c r="AS78" s="305">
        <f t="shared" si="107"/>
        <v>5.4232055242057382E-3</v>
      </c>
      <c r="AT78" s="305">
        <f t="shared" si="107"/>
        <v>5.4232055242057382E-3</v>
      </c>
      <c r="AU78" s="305">
        <f t="shared" si="107"/>
        <v>5.4232055242057382E-3</v>
      </c>
      <c r="AV78" s="305">
        <f t="shared" si="107"/>
        <v>5.1086559913968181E-3</v>
      </c>
      <c r="AW78" s="305">
        <f t="shared" si="107"/>
        <v>5.7377550570146549E-3</v>
      </c>
      <c r="AX78" s="305">
        <f t="shared" si="107"/>
        <v>5.4232055242057382E-3</v>
      </c>
      <c r="AY78" s="305">
        <f t="shared" si="107"/>
        <v>5.0652736632957407E-3</v>
      </c>
      <c r="AZ78" s="305">
        <f t="shared" si="107"/>
        <v>5.0652736632957407E-3</v>
      </c>
      <c r="BA78" s="305">
        <f t="shared" si="107"/>
        <v>5.0652736632957407E-3</v>
      </c>
      <c r="BB78" s="305">
        <f t="shared" si="107"/>
        <v>5.0652736632957407E-3</v>
      </c>
      <c r="BC78" s="305">
        <f t="shared" si="107"/>
        <v>2.2410666881658996E-3</v>
      </c>
      <c r="BD78" s="305">
        <f t="shared" si="107"/>
        <v>4.4657032686472977E-3</v>
      </c>
      <c r="BE78" s="305">
        <f t="shared" si="107"/>
        <v>3.2531613215311447E-3</v>
      </c>
      <c r="BF78" s="305">
        <f t="shared" si="107"/>
        <v>5.8345012053974271E-3</v>
      </c>
      <c r="BG78" s="305">
        <f t="shared" si="107"/>
        <v>2.9172506026987136E-3</v>
      </c>
      <c r="BH78" s="305">
        <f t="shared" si="107"/>
        <v>3.0113554608502844E-3</v>
      </c>
      <c r="BI78" s="305">
        <f>BI85/BI$17</f>
        <v>3.7641943260628562E-3</v>
      </c>
      <c r="BJ78" s="305">
        <f t="shared" ref="BJ78:ED81" si="113">BJ85/BJ$17</f>
        <v>4.0221339704250621E-3</v>
      </c>
      <c r="BK78" s="305">
        <f t="shared" si="113"/>
        <v>4.4556587261945129E-3</v>
      </c>
      <c r="BL78" s="305">
        <f t="shared" si="113"/>
        <v>7.3547641514501204E-3</v>
      </c>
      <c r="BM78" s="305">
        <f t="shared" si="113"/>
        <v>3.6773820757250602E-3</v>
      </c>
      <c r="BN78" s="305">
        <f t="shared" si="113"/>
        <v>3.7960073039742556E-3</v>
      </c>
      <c r="BO78" s="305">
        <f t="shared" si="113"/>
        <v>4.74500912996782E-3</v>
      </c>
      <c r="BP78" s="305">
        <f t="shared" si="113"/>
        <v>4.74500912996782E-3</v>
      </c>
      <c r="BQ78" s="305">
        <f t="shared" si="113"/>
        <v>4.74500912996782E-3</v>
      </c>
      <c r="BR78" s="305">
        <f t="shared" si="113"/>
        <v>4.435879635789018E-3</v>
      </c>
      <c r="BS78" s="305">
        <f t="shared" si="113"/>
        <v>5.054138624146623E-3</v>
      </c>
      <c r="BT78" s="305">
        <f t="shared" si="113"/>
        <v>4.74500912996782E-3</v>
      </c>
      <c r="BU78" s="305">
        <f t="shared" si="113"/>
        <v>9.2713670153586943E-3</v>
      </c>
      <c r="BV78" s="305">
        <f t="shared" si="113"/>
        <v>4.6356835076793472E-3</v>
      </c>
      <c r="BW78" s="305">
        <f t="shared" si="113"/>
        <v>4.7852216853464229E-3</v>
      </c>
      <c r="BX78" s="305">
        <f t="shared" si="113"/>
        <v>5.9815271066830291E-3</v>
      </c>
      <c r="BY78" s="305">
        <f t="shared" si="113"/>
        <v>5.9815271066830291E-3</v>
      </c>
      <c r="BZ78" s="305">
        <f t="shared" si="113"/>
        <v>5.9815271066830291E-3</v>
      </c>
      <c r="CA78" s="305">
        <f t="shared" si="113"/>
        <v>5.3632681183254241E-3</v>
      </c>
      <c r="CB78" s="305">
        <f t="shared" si="113"/>
        <v>6.5997860950406341E-3</v>
      </c>
      <c r="CC78" s="305">
        <f t="shared" si="113"/>
        <v>5.9815271066830291E-3</v>
      </c>
      <c r="CD78" s="305">
        <f t="shared" si="113"/>
        <v>4.2668514506054075E-3</v>
      </c>
      <c r="CE78" s="305">
        <f t="shared" si="113"/>
        <v>4.2668514506054075E-3</v>
      </c>
      <c r="CF78" s="305">
        <f t="shared" si="113"/>
        <v>4.2668514506054075E-3</v>
      </c>
      <c r="CG78" s="305">
        <f t="shared" si="113"/>
        <v>4.2668514506054075E-3</v>
      </c>
      <c r="CH78" s="305">
        <f t="shared" ref="CH78:CM81" si="114">CH85/CH$17</f>
        <v>4.8898764472248253E-3</v>
      </c>
      <c r="CI78" s="305">
        <f t="shared" si="114"/>
        <v>5.2249529290736094E-3</v>
      </c>
      <c r="CJ78" s="305">
        <f t="shared" si="114"/>
        <v>5.7881232409377203E-3</v>
      </c>
      <c r="CK78" s="305">
        <f t="shared" si="114"/>
        <v>6.1640038681969357E-3</v>
      </c>
      <c r="CL78" s="305">
        <f t="shared" si="114"/>
        <v>7.7703024827623602E-3</v>
      </c>
      <c r="CM78" s="305">
        <f t="shared" si="114"/>
        <v>5.5428531592165353E-3</v>
      </c>
      <c r="CN78" s="305">
        <f t="shared" si="113"/>
        <v>5.6771617925760985E-3</v>
      </c>
      <c r="CO78" s="305">
        <f t="shared" si="113"/>
        <v>6.0518066563382232E-3</v>
      </c>
      <c r="CP78" s="305">
        <f t="shared" si="113"/>
        <v>6.6094321732002659E-3</v>
      </c>
      <c r="CQ78" s="305">
        <f t="shared" si="113"/>
        <v>6.5740997122420049E-3</v>
      </c>
      <c r="CR78" s="305">
        <f t="shared" si="113"/>
        <v>6.4587696369331126E-3</v>
      </c>
      <c r="CS78" s="305">
        <f t="shared" si="113"/>
        <v>4.7822896925600123E-3</v>
      </c>
      <c r="CT78" s="305">
        <f t="shared" si="113"/>
        <v>5.097880534568968E-3</v>
      </c>
      <c r="CU78" s="305">
        <f t="shared" si="113"/>
        <v>5.5676093989259811E-3</v>
      </c>
      <c r="CV78" s="305">
        <f t="shared" si="113"/>
        <v>5.7144917013242343E-3</v>
      </c>
      <c r="CW78" s="305">
        <f t="shared" si="113"/>
        <v>6.9510096780394442E-3</v>
      </c>
      <c r="CX78" s="305">
        <f t="shared" si="113"/>
        <v>5.4406952963214801E-3</v>
      </c>
      <c r="CY78" s="305">
        <f t="shared" ref="CY78:DD81" si="115">CY85/CY$17</f>
        <v>1.3816089743007684E-3</v>
      </c>
      <c r="CZ78" s="305">
        <f t="shared" si="115"/>
        <v>1.4727835303309158E-3</v>
      </c>
      <c r="DA78" s="305">
        <f t="shared" si="115"/>
        <v>1.6084887377116823E-3</v>
      </c>
      <c r="DB78" s="305">
        <f t="shared" si="115"/>
        <v>1.6509232032512955E-3</v>
      </c>
      <c r="DC78" s="305">
        <f t="shared" si="115"/>
        <v>2.0081546641918069E-3</v>
      </c>
      <c r="DD78" s="305">
        <f t="shared" si="115"/>
        <v>1.5718231079827891E-3</v>
      </c>
      <c r="DE78" s="305">
        <f t="shared" ref="DE78:DJ78" si="116">DE85/DE$17</f>
        <v>1.1523625421272217E-3</v>
      </c>
      <c r="DF78" s="305">
        <f t="shared" si="116"/>
        <v>1.1836167010325547E-3</v>
      </c>
      <c r="DG78" s="305"/>
      <c r="DH78" s="305">
        <f t="shared" si="116"/>
        <v>1.5381655847528822E-3</v>
      </c>
      <c r="DI78" s="305">
        <f t="shared" si="116"/>
        <v>1.8791631861999577E-3</v>
      </c>
      <c r="DJ78" s="305">
        <f t="shared" si="116"/>
        <v>1.3381636035097598E-3</v>
      </c>
      <c r="DK78" s="305">
        <f t="shared" si="113"/>
        <v>1.6768715305214873E-3</v>
      </c>
      <c r="DL78" s="305">
        <f t="shared" si="113"/>
        <v>1.0061229183128924E-3</v>
      </c>
      <c r="DM78" s="305">
        <f t="shared" si="113"/>
        <v>1.2576536478911156E-3</v>
      </c>
      <c r="DN78" s="305">
        <f t="shared" si="113"/>
        <v>1.2576536478911156E-3</v>
      </c>
      <c r="DO78" s="305">
        <f t="shared" si="113"/>
        <v>2.5153072957822312E-3</v>
      </c>
      <c r="DP78" s="305">
        <f t="shared" si="113"/>
        <v>8.3843576526074378E-4</v>
      </c>
      <c r="DQ78" s="305">
        <f t="shared" si="113"/>
        <v>1.2576536478911156E-3</v>
      </c>
      <c r="DR78" s="305">
        <f t="shared" si="113"/>
        <v>1.2582030864003689E-3</v>
      </c>
      <c r="DS78" s="305">
        <f t="shared" ref="DS78" si="117">DS85/DS$17</f>
        <v>2.0820772401338155E-3</v>
      </c>
      <c r="DT78" s="305">
        <f t="shared" si="113"/>
        <v>2.0820772401338155E-3</v>
      </c>
      <c r="DU78" s="305">
        <f t="shared" si="113"/>
        <v>1.7429512822520082E-3</v>
      </c>
      <c r="DV78" s="305">
        <f t="shared" ref="DV78" si="118">DV85/DV$17</f>
        <v>1.486106959116427E-3</v>
      </c>
      <c r="DW78" s="305">
        <f t="shared" si="113"/>
        <v>1.486106959116427E-3</v>
      </c>
      <c r="DX78" s="305">
        <f t="shared" si="113"/>
        <v>3.129923355303168E-4</v>
      </c>
      <c r="DY78" s="305">
        <f t="shared" si="113"/>
        <v>3.129923355303168E-4</v>
      </c>
      <c r="DZ78" s="305">
        <f t="shared" si="113"/>
        <v>3.129923355303168E-4</v>
      </c>
      <c r="EA78" s="305">
        <f t="shared" si="113"/>
        <v>3.129923355303168E-4</v>
      </c>
      <c r="EB78" s="305">
        <f t="shared" si="113"/>
        <v>4.1732311404042244E-4</v>
      </c>
      <c r="EC78" s="305">
        <f t="shared" si="113"/>
        <v>2.5039386842425347E-4</v>
      </c>
      <c r="ED78" s="305">
        <f t="shared" si="113"/>
        <v>3.129923355303168E-4</v>
      </c>
    </row>
    <row r="79" spans="1:134" x14ac:dyDescent="0.3">
      <c r="A79" s="21" t="str">
        <f>A86</f>
        <v>Vehicle use (including fuel production)</v>
      </c>
      <c r="D79" s="305">
        <f t="shared" si="107"/>
        <v>0.10272971336374727</v>
      </c>
      <c r="E79" s="305">
        <f t="shared" si="107"/>
        <v>6.6427221653518748E-2</v>
      </c>
      <c r="F79" s="305">
        <f t="shared" si="107"/>
        <v>2.3422712933753951E-2</v>
      </c>
      <c r="G79" s="305">
        <f t="shared" si="107"/>
        <v>5.7785463767107838E-2</v>
      </c>
      <c r="H79" s="305">
        <f t="shared" si="107"/>
        <v>5.7785463767107845E-2</v>
      </c>
      <c r="I79" s="305">
        <f t="shared" ref="I79" si="119">I86/I$17</f>
        <v>7.7047285022810455E-2</v>
      </c>
      <c r="J79" s="305">
        <f t="shared" si="107"/>
        <v>7.7047285022810455E-2</v>
      </c>
      <c r="K79" s="305">
        <f t="shared" ref="K79" si="120">K86/K$17</f>
        <v>5.7785463767107838E-2</v>
      </c>
      <c r="L79" s="305">
        <f t="shared" si="107"/>
        <v>7.7047285022810455E-2</v>
      </c>
      <c r="M79" s="305">
        <f t="shared" si="107"/>
        <v>7.7047285022810455E-2</v>
      </c>
      <c r="N79" s="305">
        <f t="shared" si="107"/>
        <v>7.7047285022810455E-2</v>
      </c>
      <c r="O79" s="305">
        <f t="shared" si="107"/>
        <v>7.7047285022810455E-2</v>
      </c>
      <c r="P79" s="305">
        <f t="shared" si="107"/>
        <v>7.7047285022810455E-2</v>
      </c>
      <c r="Q79" s="305">
        <f t="shared" si="107"/>
        <v>0.10272971336374727</v>
      </c>
      <c r="R79" s="305">
        <f t="shared" si="107"/>
        <v>0.10272971336374727</v>
      </c>
      <c r="S79" s="305">
        <f t="shared" si="107"/>
        <v>0.10272971336374727</v>
      </c>
      <c r="T79" s="305">
        <f t="shared" si="107"/>
        <v>0.10272971336374727</v>
      </c>
      <c r="U79" s="305">
        <f t="shared" si="107"/>
        <v>0.11809283849514444</v>
      </c>
      <c r="V79" s="305">
        <f t="shared" si="107"/>
        <v>4.1640378548895907E-2</v>
      </c>
      <c r="W79" s="305">
        <f t="shared" si="107"/>
        <v>0.10272971336374727</v>
      </c>
      <c r="X79" s="305">
        <f t="shared" si="99"/>
        <v>4.504731861198738E-2</v>
      </c>
      <c r="Y79" s="305">
        <f t="shared" si="99"/>
        <v>4.504731861198738E-2</v>
      </c>
      <c r="Z79" s="305">
        <f t="shared" si="99"/>
        <v>0.11113487172987203</v>
      </c>
      <c r="AA79" s="305">
        <f t="shared" si="99"/>
        <v>0.11113487172987203</v>
      </c>
      <c r="AB79" s="305">
        <f t="shared" ref="AB79:AC79" si="121">AB86/AB$17</f>
        <v>0.11113487172987203</v>
      </c>
      <c r="AC79" s="305">
        <f t="shared" si="121"/>
        <v>0.11113487172987203</v>
      </c>
      <c r="AD79" s="305">
        <f t="shared" ref="AD79" si="122">AD86/AD$17</f>
        <v>0.11113487172987203</v>
      </c>
      <c r="AE79" s="305">
        <f t="shared" ref="AE79" si="123">AE86/AE$17</f>
        <v>0.11113487172987203</v>
      </c>
      <c r="AF79" s="305">
        <f t="shared" si="107"/>
        <v>0.10110307291601824</v>
      </c>
      <c r="AG79" s="305">
        <f t="shared" si="107"/>
        <v>0</v>
      </c>
      <c r="AH79" s="305">
        <f t="shared" si="107"/>
        <v>0.19612036187624479</v>
      </c>
      <c r="AI79" s="305">
        <f t="shared" si="107"/>
        <v>0</v>
      </c>
      <c r="AJ79" s="305">
        <f t="shared" si="107"/>
        <v>0.19612036187624482</v>
      </c>
      <c r="AK79" s="305">
        <f t="shared" si="107"/>
        <v>0.79332529947476416</v>
      </c>
      <c r="AL79" s="305">
        <f t="shared" si="107"/>
        <v>0.32699806902134998</v>
      </c>
      <c r="AM79" s="305">
        <f t="shared" si="107"/>
        <v>0.79332529947476405</v>
      </c>
      <c r="AN79" s="305">
        <f t="shared" si="107"/>
        <v>0.32699806902134998</v>
      </c>
      <c r="AO79" s="305">
        <f t="shared" si="107"/>
        <v>1.8547222835260513</v>
      </c>
      <c r="AP79" s="305">
        <f t="shared" si="107"/>
        <v>1.3815788438510384</v>
      </c>
      <c r="AQ79" s="305">
        <f t="shared" si="107"/>
        <v>1.251905425220138</v>
      </c>
      <c r="AR79" s="305">
        <f t="shared" si="107"/>
        <v>1.1851039671375527</v>
      </c>
      <c r="AS79" s="305">
        <f t="shared" si="107"/>
        <v>1.3623350714080582</v>
      </c>
      <c r="AT79" s="305">
        <f t="shared" si="107"/>
        <v>0.48036907916478899</v>
      </c>
      <c r="AU79" s="305">
        <f t="shared" ref="AU79:BA80" si="124">AU86/AU$17</f>
        <v>1.1851039671375527</v>
      </c>
      <c r="AV79" s="305">
        <f t="shared" si="124"/>
        <v>1.1851039671375527</v>
      </c>
      <c r="AW79" s="305">
        <f t="shared" si="124"/>
        <v>1.1851039671375527</v>
      </c>
      <c r="AX79" s="305">
        <f t="shared" si="124"/>
        <v>1.1851039671375527</v>
      </c>
      <c r="AY79" s="305">
        <f t="shared" si="124"/>
        <v>3.3594723210029813</v>
      </c>
      <c r="AZ79" s="305">
        <f t="shared" si="124"/>
        <v>1.93796515673786</v>
      </c>
      <c r="BA79" s="305">
        <f t="shared" si="124"/>
        <v>3.7208551911816041</v>
      </c>
      <c r="BB79" s="305">
        <f t="shared" si="107"/>
        <v>1.2962503991132992</v>
      </c>
      <c r="BC79" s="305">
        <f t="shared" ref="BC79:BH80" si="125">BC86/BC$17</f>
        <v>1.740081612579629</v>
      </c>
      <c r="BD79" s="305">
        <f t="shared" si="125"/>
        <v>3.4674060285860926</v>
      </c>
      <c r="BE79" s="305">
        <f t="shared" si="125"/>
        <v>2.525924921486558</v>
      </c>
      <c r="BF79" s="305">
        <f t="shared" si="125"/>
        <v>4.5302124741297227</v>
      </c>
      <c r="BG79" s="305">
        <f t="shared" si="125"/>
        <v>2.2651062370648614</v>
      </c>
      <c r="BH79" s="305">
        <f t="shared" si="125"/>
        <v>2.3381741801959857</v>
      </c>
      <c r="BI79" s="305">
        <f>BI86/BI$17</f>
        <v>2.9227177252449823</v>
      </c>
      <c r="BJ79" s="305">
        <f t="shared" si="113"/>
        <v>2.1771264688049361</v>
      </c>
      <c r="BK79" s="305">
        <f t="shared" si="113"/>
        <v>2.06593215416029</v>
      </c>
      <c r="BL79" s="305">
        <f>BL86/BL$17</f>
        <v>2.8946504944451719</v>
      </c>
      <c r="BM79" s="305">
        <f>BM86/BM$17</f>
        <v>1.4473252472225859</v>
      </c>
      <c r="BN79" s="305">
        <f>BN86/BN$17</f>
        <v>1.4940131584233143</v>
      </c>
      <c r="BO79" s="305">
        <f t="shared" si="113"/>
        <v>2.1468016512733583</v>
      </c>
      <c r="BP79" s="305">
        <f t="shared" si="113"/>
        <v>0.75697759972204426</v>
      </c>
      <c r="BQ79" s="305">
        <f t="shared" ref="BQ79:BS80" si="126">BQ86/BQ$17</f>
        <v>1.8675164480291433</v>
      </c>
      <c r="BR79" s="305">
        <f t="shared" si="126"/>
        <v>1.8675164480291433</v>
      </c>
      <c r="BS79" s="305">
        <f t="shared" si="126"/>
        <v>1.8675164480291433</v>
      </c>
      <c r="BT79" s="305">
        <f t="shared" si="113"/>
        <v>1.8675164480291433</v>
      </c>
      <c r="BU79" s="305">
        <f t="shared" ref="BU79:BW80" si="127">BU86/BU$17</f>
        <v>2.8946504944451719</v>
      </c>
      <c r="BV79" s="305">
        <f t="shared" si="127"/>
        <v>1.4473252472225859</v>
      </c>
      <c r="BW79" s="305">
        <f t="shared" si="127"/>
        <v>1.4940131584233143</v>
      </c>
      <c r="BX79" s="305">
        <f t="shared" si="113"/>
        <v>2.1468016512733583</v>
      </c>
      <c r="BY79" s="305">
        <f t="shared" si="113"/>
        <v>0.75697759972204426</v>
      </c>
      <c r="BZ79" s="305">
        <f t="shared" ref="BZ79:CB80" si="128">BZ86/BZ$17</f>
        <v>1.8675164480291433</v>
      </c>
      <c r="CA79" s="305">
        <f t="shared" si="128"/>
        <v>1.8675164480291433</v>
      </c>
      <c r="CB79" s="305">
        <f t="shared" si="128"/>
        <v>1.8675164480291433</v>
      </c>
      <c r="CC79" s="305">
        <f t="shared" si="113"/>
        <v>1.8675164480291433</v>
      </c>
      <c r="CD79" s="305">
        <f t="shared" ref="CD79:CF80" si="129">CD86/CD$17</f>
        <v>5.2939404391036966</v>
      </c>
      <c r="CE79" s="305">
        <f t="shared" si="129"/>
        <v>3.053893925152356</v>
      </c>
      <c r="CF79" s="305">
        <f t="shared" si="129"/>
        <v>5.8634165971530656</v>
      </c>
      <c r="CG79" s="305">
        <f t="shared" si="113"/>
        <v>2.0426637731670456</v>
      </c>
      <c r="CH79" s="305">
        <f t="shared" si="114"/>
        <v>3.7967563118640406</v>
      </c>
      <c r="CI79" s="305">
        <f t="shared" si="114"/>
        <v>2.8281960282252552</v>
      </c>
      <c r="CJ79" s="305">
        <f t="shared" si="114"/>
        <v>2.6837490594592004</v>
      </c>
      <c r="CK79" s="305">
        <f t="shared" si="114"/>
        <v>2.4259971465325947</v>
      </c>
      <c r="CL79" s="305">
        <f t="shared" si="114"/>
        <v>2.4259971465325947</v>
      </c>
      <c r="CM79" s="305">
        <f t="shared" si="114"/>
        <v>2.6535222703170662</v>
      </c>
      <c r="CN79" s="305">
        <f t="shared" si="113"/>
        <v>2.4138665013537572</v>
      </c>
      <c r="CO79" s="305">
        <f t="shared" si="113"/>
        <v>1.7769482892448947</v>
      </c>
      <c r="CP79" s="305">
        <f t="shared" si="113"/>
        <v>1.4264037514359587</v>
      </c>
      <c r="CQ79" s="305">
        <f t="shared" si="113"/>
        <v>1.2458202016555977</v>
      </c>
      <c r="CR79" s="305">
        <f t="shared" si="113"/>
        <v>1.4812852438776514</v>
      </c>
      <c r="CS79" s="305">
        <f t="shared" si="113"/>
        <v>3.8038311571203072</v>
      </c>
      <c r="CT79" s="305">
        <f t="shared" si="113"/>
        <v>2.8001595214278088</v>
      </c>
      <c r="CU79" s="305">
        <f t="shared" si="113"/>
        <v>2.4995693153113452</v>
      </c>
      <c r="CV79" s="305">
        <f t="shared" si="113"/>
        <v>1.9631946077257285</v>
      </c>
      <c r="CW79" s="305">
        <f t="shared" si="113"/>
        <v>1.9631946077257285</v>
      </c>
      <c r="CX79" s="305">
        <f t="shared" si="113"/>
        <v>2.3342463057026395</v>
      </c>
      <c r="CY79" s="305">
        <f t="shared" si="115"/>
        <v>1.0989311817680822</v>
      </c>
      <c r="CZ79" s="305">
        <f t="shared" si="115"/>
        <v>0.80896929566963038</v>
      </c>
      <c r="DA79" s="305">
        <f t="shared" si="115"/>
        <v>0.71195911749637797</v>
      </c>
      <c r="DB79" s="305">
        <f t="shared" si="115"/>
        <v>0.5671691726564525</v>
      </c>
      <c r="DC79" s="305">
        <f t="shared" si="115"/>
        <v>0.5671691726564525</v>
      </c>
      <c r="DD79" s="305">
        <f t="shared" si="115"/>
        <v>0.67436643355262649</v>
      </c>
      <c r="DE79" s="305">
        <f t="shared" ref="DE79:DJ79" si="130">DE86/DE$17</f>
        <v>0.83526763887226652</v>
      </c>
      <c r="DF79" s="305">
        <f t="shared" si="130"/>
        <v>0.61487551242925165</v>
      </c>
      <c r="DG79" s="305"/>
      <c r="DH79" s="305">
        <f t="shared" si="130"/>
        <v>0.54142239548854976</v>
      </c>
      <c r="DI79" s="305">
        <f t="shared" si="130"/>
        <v>0.54142239548854976</v>
      </c>
      <c r="DJ79" s="305">
        <f t="shared" si="130"/>
        <v>0.5501657267278397</v>
      </c>
      <c r="DK79" s="305">
        <f t="shared" si="113"/>
        <v>0.96573225110845395</v>
      </c>
      <c r="DL79" s="305">
        <f t="shared" si="113"/>
        <v>0.96573225110845395</v>
      </c>
      <c r="DM79" s="305">
        <f t="shared" si="113"/>
        <v>0.86915902599760864</v>
      </c>
      <c r="DN79" s="305">
        <f t="shared" si="113"/>
        <v>0.96573225110845407</v>
      </c>
      <c r="DO79" s="305">
        <f t="shared" si="113"/>
        <v>1.9314645022169079</v>
      </c>
      <c r="DP79" s="305">
        <f t="shared" si="113"/>
        <v>0.64382150073896938</v>
      </c>
      <c r="DQ79" s="305">
        <f t="shared" si="113"/>
        <v>0.96573225110845395</v>
      </c>
      <c r="DR79" s="305">
        <f t="shared" si="113"/>
        <v>0.71091598086032548</v>
      </c>
      <c r="DS79" s="305">
        <f t="shared" ref="DS79" si="131">DS86/DS$17</f>
        <v>0.30595657821488215</v>
      </c>
      <c r="DT79" s="305">
        <f t="shared" si="113"/>
        <v>0.75481618268336226</v>
      </c>
      <c r="DU79" s="305">
        <f t="shared" si="113"/>
        <v>0.75481618268336226</v>
      </c>
      <c r="DV79" s="305">
        <f t="shared" ref="DV79" si="132">DV86/DV$17</f>
        <v>1.0293112187045037</v>
      </c>
      <c r="DW79" s="305">
        <f t="shared" si="113"/>
        <v>0.68847733067782246</v>
      </c>
      <c r="DX79" s="305">
        <f t="shared" si="113"/>
        <v>0.87104529422562738</v>
      </c>
      <c r="DY79" s="305">
        <f t="shared" si="113"/>
        <v>0.87104529422562738</v>
      </c>
      <c r="DZ79" s="305">
        <f t="shared" si="113"/>
        <v>0.87104529422562738</v>
      </c>
      <c r="EA79" s="305">
        <f t="shared" si="113"/>
        <v>0.87104529422562738</v>
      </c>
      <c r="EB79" s="305">
        <f t="shared" si="113"/>
        <v>1.1613937256341698</v>
      </c>
      <c r="EC79" s="305">
        <f t="shared" si="113"/>
        <v>0.69683623538050188</v>
      </c>
      <c r="ED79" s="305">
        <f t="shared" si="113"/>
        <v>0.87104529422562738</v>
      </c>
    </row>
    <row r="80" spans="1:134" x14ac:dyDescent="0.3">
      <c r="A80" s="21" t="str">
        <f>A87</f>
        <v>Operational services</v>
      </c>
      <c r="D80" s="305">
        <f t="shared" si="107"/>
        <v>0</v>
      </c>
      <c r="E80" s="305">
        <f t="shared" si="107"/>
        <v>3.0067113331269595</v>
      </c>
      <c r="F80" s="305">
        <f t="shared" si="107"/>
        <v>5.8800565552279291E-2</v>
      </c>
      <c r="G80" s="305">
        <f t="shared" si="107"/>
        <v>1.0022371110423198</v>
      </c>
      <c r="H80" s="305">
        <f t="shared" si="107"/>
        <v>0.33407903701410657</v>
      </c>
      <c r="I80" s="305">
        <f t="shared" ref="I80" si="133">I87/I$17</f>
        <v>0.1072537805997188</v>
      </c>
      <c r="J80" s="305">
        <f t="shared" si="107"/>
        <v>0.26460254498525682</v>
      </c>
      <c r="K80" s="305">
        <f t="shared" ref="K80" si="134">K87/K$17</f>
        <v>0.33407903701410663</v>
      </c>
      <c r="L80" s="305">
        <f t="shared" si="107"/>
        <v>1.0022371110423198</v>
      </c>
      <c r="M80" s="305">
        <f t="shared" si="107"/>
        <v>0.25055927776057996</v>
      </c>
      <c r="N80" s="305">
        <f t="shared" si="107"/>
        <v>0.75167783328173987</v>
      </c>
      <c r="O80" s="305">
        <f t="shared" si="107"/>
        <v>0.50111855552115991</v>
      </c>
      <c r="P80" s="305">
        <f t="shared" si="107"/>
        <v>0.50111855552115991</v>
      </c>
      <c r="Q80" s="305">
        <f t="shared" si="107"/>
        <v>0.50111855552115991</v>
      </c>
      <c r="R80" s="305">
        <f t="shared" si="107"/>
        <v>0.50111855552115991</v>
      </c>
      <c r="S80" s="305">
        <f t="shared" si="107"/>
        <v>0.50111855552115991</v>
      </c>
      <c r="T80" s="305">
        <f t="shared" si="107"/>
        <v>0.50111855552115991</v>
      </c>
      <c r="U80" s="305">
        <f t="shared" si="107"/>
        <v>0.50111855552115991</v>
      </c>
      <c r="V80" s="305">
        <f t="shared" si="107"/>
        <v>0.50111855552115991</v>
      </c>
      <c r="W80" s="305">
        <f t="shared" si="107"/>
        <v>0.50111855552115991</v>
      </c>
      <c r="X80" s="305">
        <f t="shared" si="99"/>
        <v>1.6953768915189696E-2</v>
      </c>
      <c r="Y80" s="305">
        <f t="shared" si="99"/>
        <v>0.35645658958233067</v>
      </c>
      <c r="Z80" s="305">
        <f t="shared" si="99"/>
        <v>0.17822829479116534</v>
      </c>
      <c r="AA80" s="305">
        <f t="shared" si="99"/>
        <v>0.23763772638822042</v>
      </c>
      <c r="AB80" s="305">
        <f t="shared" ref="AB80:AC80" si="135">AB87/AB$17</f>
        <v>0.35645658958233067</v>
      </c>
      <c r="AC80" s="305">
        <f t="shared" si="135"/>
        <v>7.6291960118353624E-2</v>
      </c>
      <c r="AD80" s="305">
        <f t="shared" ref="AD80" si="136">AD87/AD$17</f>
        <v>0.23763772638822045</v>
      </c>
      <c r="AE80" s="305">
        <f t="shared" ref="AE80" si="137">AE87/AE$17</f>
        <v>0.35645658958233067</v>
      </c>
      <c r="AF80" s="305">
        <f t="shared" si="107"/>
        <v>0.76413840782992193</v>
      </c>
      <c r="AG80" s="305">
        <f t="shared" si="107"/>
        <v>0</v>
      </c>
      <c r="AH80" s="305">
        <f t="shared" si="107"/>
        <v>0</v>
      </c>
      <c r="AI80" s="305">
        <f t="shared" si="107"/>
        <v>0.35645658958233067</v>
      </c>
      <c r="AJ80" s="305">
        <f t="shared" si="107"/>
        <v>0.35645658958233067</v>
      </c>
      <c r="AK80" s="305">
        <f t="shared" si="107"/>
        <v>0</v>
      </c>
      <c r="AL80" s="305">
        <f t="shared" si="107"/>
        <v>0</v>
      </c>
      <c r="AM80" s="305">
        <f t="shared" si="107"/>
        <v>0</v>
      </c>
      <c r="AN80" s="305">
        <f t="shared" si="107"/>
        <v>0.19504228486580358</v>
      </c>
      <c r="AO80" s="305">
        <f t="shared" si="107"/>
        <v>0</v>
      </c>
      <c r="AP80" s="305">
        <f t="shared" si="107"/>
        <v>0</v>
      </c>
      <c r="AQ80" s="305">
        <f t="shared" si="107"/>
        <v>0</v>
      </c>
      <c r="AR80" s="305">
        <f t="shared" si="107"/>
        <v>0</v>
      </c>
      <c r="AS80" s="305">
        <f t="shared" si="107"/>
        <v>0</v>
      </c>
      <c r="AT80" s="305">
        <f t="shared" si="107"/>
        <v>0</v>
      </c>
      <c r="AU80" s="305">
        <f t="shared" si="124"/>
        <v>0</v>
      </c>
      <c r="AV80" s="305">
        <f t="shared" si="124"/>
        <v>0</v>
      </c>
      <c r="AW80" s="305">
        <f t="shared" si="124"/>
        <v>0</v>
      </c>
      <c r="AX80" s="305">
        <f t="shared" si="124"/>
        <v>0</v>
      </c>
      <c r="AY80" s="305">
        <f t="shared" si="124"/>
        <v>0</v>
      </c>
      <c r="AZ80" s="305">
        <f t="shared" si="124"/>
        <v>0</v>
      </c>
      <c r="BA80" s="305">
        <f t="shared" si="124"/>
        <v>0</v>
      </c>
      <c r="BB80" s="305">
        <f t="shared" si="107"/>
        <v>0</v>
      </c>
      <c r="BC80" s="305">
        <f t="shared" si="125"/>
        <v>0.30989829942624031</v>
      </c>
      <c r="BD80" s="305">
        <f t="shared" si="125"/>
        <v>0.61752461718513274</v>
      </c>
      <c r="BE80" s="305">
        <f t="shared" si="125"/>
        <v>0.44985237013486495</v>
      </c>
      <c r="BF80" s="305">
        <f t="shared" si="125"/>
        <v>0.80680419333383235</v>
      </c>
      <c r="BG80" s="305">
        <f t="shared" si="125"/>
        <v>0.40340209666691618</v>
      </c>
      <c r="BH80" s="305">
        <f t="shared" si="125"/>
        <v>0.41641506752713925</v>
      </c>
      <c r="BI80" s="305">
        <f>BI87/BI$17</f>
        <v>0.5205188344089241</v>
      </c>
      <c r="BJ80" s="305">
        <f t="shared" si="113"/>
        <v>0.3877334174678721</v>
      </c>
      <c r="BK80" s="305">
        <f t="shared" si="113"/>
        <v>0.36793036411386437</v>
      </c>
      <c r="BL80" s="305">
        <f t="shared" si="113"/>
        <v>0.80680419333383235</v>
      </c>
      <c r="BM80" s="305">
        <f t="shared" si="113"/>
        <v>0.30049339853760082</v>
      </c>
      <c r="BN80" s="305">
        <f t="shared" si="113"/>
        <v>0.29434429129109146</v>
      </c>
      <c r="BO80" s="305">
        <f t="shared" si="113"/>
        <v>0.38233274584677768</v>
      </c>
      <c r="BP80" s="305">
        <f t="shared" si="113"/>
        <v>0.13481325770108596</v>
      </c>
      <c r="BQ80" s="305">
        <f t="shared" si="126"/>
        <v>0.33259369400311972</v>
      </c>
      <c r="BR80" s="305">
        <f t="shared" si="126"/>
        <v>0.33259369400311972</v>
      </c>
      <c r="BS80" s="305">
        <f t="shared" si="126"/>
        <v>0.33259369400311972</v>
      </c>
      <c r="BT80" s="305">
        <f t="shared" si="113"/>
        <v>0.33259369400311972</v>
      </c>
      <c r="BU80" s="305">
        <f t="shared" si="127"/>
        <v>0.51552022570483558</v>
      </c>
      <c r="BV80" s="305">
        <f t="shared" si="127"/>
        <v>0.25776011285241779</v>
      </c>
      <c r="BW80" s="305">
        <f t="shared" si="127"/>
        <v>0.26607495520249574</v>
      </c>
      <c r="BX80" s="305">
        <f t="shared" si="113"/>
        <v>0.38233274584677768</v>
      </c>
      <c r="BY80" s="305">
        <f t="shared" si="113"/>
        <v>0.13481325770108596</v>
      </c>
      <c r="BZ80" s="305">
        <f t="shared" si="128"/>
        <v>0.33259369400311972</v>
      </c>
      <c r="CA80" s="305">
        <f t="shared" si="128"/>
        <v>0.33259369400311972</v>
      </c>
      <c r="CB80" s="305">
        <f t="shared" si="128"/>
        <v>0.33259369400311972</v>
      </c>
      <c r="CC80" s="305">
        <f t="shared" si="113"/>
        <v>0.33259369400311972</v>
      </c>
      <c r="CD80" s="305">
        <f t="shared" si="129"/>
        <v>0.94281965137825618</v>
      </c>
      <c r="CE80" s="305">
        <f t="shared" si="129"/>
        <v>0.54388054398772201</v>
      </c>
      <c r="CF80" s="305">
        <f t="shared" si="129"/>
        <v>1.0442400052670953</v>
      </c>
      <c r="CG80" s="305">
        <f t="shared" si="113"/>
        <v>0.36378640233179693</v>
      </c>
      <c r="CH80" s="305">
        <f t="shared" si="114"/>
        <v>0.67617996528232771</v>
      </c>
      <c r="CI80" s="305">
        <f t="shared" si="114"/>
        <v>0.50368507617969316</v>
      </c>
      <c r="CJ80" s="305">
        <f t="shared" si="114"/>
        <v>0.4779599207305103</v>
      </c>
      <c r="CK80" s="305">
        <f t="shared" si="114"/>
        <v>0.432055821226005</v>
      </c>
      <c r="CL80" s="305">
        <f t="shared" si="114"/>
        <v>0.432055821226005</v>
      </c>
      <c r="CM80" s="305">
        <f t="shared" si="114"/>
        <v>0.47257670738893826</v>
      </c>
      <c r="CN80" s="305">
        <f t="shared" si="113"/>
        <v>0</v>
      </c>
      <c r="CO80" s="305">
        <f t="shared" si="113"/>
        <v>0</v>
      </c>
      <c r="CP80" s="305">
        <f t="shared" si="113"/>
        <v>0</v>
      </c>
      <c r="CQ80" s="305">
        <f t="shared" si="113"/>
        <v>0</v>
      </c>
      <c r="CR80" s="305">
        <f t="shared" si="113"/>
        <v>0</v>
      </c>
      <c r="CS80" s="305">
        <f t="shared" si="113"/>
        <v>0.67743995360573195</v>
      </c>
      <c r="CT80" s="305">
        <f t="shared" si="113"/>
        <v>0.49869193923969629</v>
      </c>
      <c r="CU80" s="305">
        <f t="shared" si="113"/>
        <v>0.44515859170803707</v>
      </c>
      <c r="CV80" s="305">
        <f t="shared" si="113"/>
        <v>0.34963341143237747</v>
      </c>
      <c r="CW80" s="305">
        <f t="shared" si="113"/>
        <v>0.34963341143237747</v>
      </c>
      <c r="CX80" s="305">
        <f t="shared" si="113"/>
        <v>0.41571553618501833</v>
      </c>
      <c r="CY80" s="305">
        <f t="shared" si="115"/>
        <v>0.11192817592082319</v>
      </c>
      <c r="CZ80" s="305">
        <f t="shared" si="115"/>
        <v>8.2395020855240128E-2</v>
      </c>
      <c r="DA80" s="305">
        <f t="shared" si="115"/>
        <v>7.251435455981628E-2</v>
      </c>
      <c r="DB80" s="305">
        <f t="shared" si="115"/>
        <v>5.7767230548342388E-2</v>
      </c>
      <c r="DC80" s="305">
        <f t="shared" si="115"/>
        <v>5.7767230548342388E-2</v>
      </c>
      <c r="DD80" s="305">
        <f t="shared" si="115"/>
        <v>6.8685470084063796E-2</v>
      </c>
      <c r="DE80" s="305">
        <f t="shared" ref="DE80:DJ80" si="138">DE87/DE$17</f>
        <v>8.5073555811064183E-2</v>
      </c>
      <c r="DF80" s="305">
        <f t="shared" si="138"/>
        <v>6.2626209599275617E-2</v>
      </c>
      <c r="DG80" s="305"/>
      <c r="DH80" s="305">
        <f t="shared" si="138"/>
        <v>0</v>
      </c>
      <c r="DI80" s="305">
        <f t="shared" si="138"/>
        <v>0</v>
      </c>
      <c r="DJ80" s="305">
        <f t="shared" si="138"/>
        <v>0</v>
      </c>
      <c r="DK80" s="305">
        <f t="shared" si="113"/>
        <v>0.10730358345649489</v>
      </c>
      <c r="DL80" s="305">
        <f t="shared" si="113"/>
        <v>0.10730358345649488</v>
      </c>
      <c r="DM80" s="305">
        <f t="shared" si="113"/>
        <v>9.6573225110845415E-2</v>
      </c>
      <c r="DN80" s="305">
        <f t="shared" si="113"/>
        <v>0.21460716691298981</v>
      </c>
      <c r="DO80" s="305">
        <f t="shared" si="113"/>
        <v>0.21460716691298978</v>
      </c>
      <c r="DP80" s="305">
        <f t="shared" si="113"/>
        <v>7.1535722304329932E-2</v>
      </c>
      <c r="DQ80" s="305">
        <f t="shared" si="113"/>
        <v>0.10730358345649489</v>
      </c>
      <c r="DR80" s="305">
        <f t="shared" si="113"/>
        <v>7.8990664540036171E-2</v>
      </c>
      <c r="DS80" s="305">
        <f t="shared" ref="DS80" si="139">DS87/DS$17</f>
        <v>3.3995175357209133E-2</v>
      </c>
      <c r="DT80" s="305">
        <f t="shared" si="113"/>
        <v>8.3868464742595822E-2</v>
      </c>
      <c r="DU80" s="305">
        <f t="shared" si="113"/>
        <v>8.3868464742595822E-2</v>
      </c>
      <c r="DV80" s="305">
        <f t="shared" ref="DV80" si="140">DV87/DV$17</f>
        <v>0.11436791318938933</v>
      </c>
      <c r="DW80" s="305">
        <f t="shared" si="113"/>
        <v>7.6497481186424715E-2</v>
      </c>
      <c r="DX80" s="305">
        <f t="shared" si="113"/>
        <v>0</v>
      </c>
      <c r="DY80" s="305">
        <f t="shared" si="113"/>
        <v>0</v>
      </c>
      <c r="DZ80" s="305">
        <f t="shared" si="113"/>
        <v>0</v>
      </c>
      <c r="EA80" s="305">
        <f t="shared" si="113"/>
        <v>0</v>
      </c>
      <c r="EB80" s="305">
        <f t="shared" si="113"/>
        <v>0</v>
      </c>
      <c r="EC80" s="305">
        <f t="shared" si="113"/>
        <v>0</v>
      </c>
      <c r="ED80" s="305">
        <f t="shared" si="113"/>
        <v>0</v>
      </c>
    </row>
    <row r="81" spans="1:134" x14ac:dyDescent="0.3">
      <c r="A81" s="21" t="str">
        <f>A88</f>
        <v>Infrastructure network (from the vehicleperspective)</v>
      </c>
      <c r="D81" s="305">
        <f t="shared" si="107"/>
        <v>2.7627731661023575E-2</v>
      </c>
      <c r="E81" s="305">
        <f t="shared" si="107"/>
        <v>2.7627731661023575E-2</v>
      </c>
      <c r="F81" s="305">
        <f t="shared" si="107"/>
        <v>2.7627731661023575E-2</v>
      </c>
      <c r="G81" s="305">
        <f t="shared" si="107"/>
        <v>2.7627731661023575E-2</v>
      </c>
      <c r="H81" s="305">
        <f t="shared" si="107"/>
        <v>2.7627731661023575E-2</v>
      </c>
      <c r="I81" s="305">
        <f t="shared" ref="I81" si="141">I88/I$17</f>
        <v>2.7627731661023575E-2</v>
      </c>
      <c r="J81" s="305">
        <f t="shared" si="107"/>
        <v>2.7627731661023575E-2</v>
      </c>
      <c r="K81" s="305">
        <f t="shared" ref="K81" si="142">K88/K$17</f>
        <v>2.7627731661023575E-2</v>
      </c>
      <c r="L81" s="305">
        <f t="shared" si="107"/>
        <v>2.7627731661023575E-2</v>
      </c>
      <c r="M81" s="305">
        <f t="shared" si="107"/>
        <v>2.7627731661023575E-2</v>
      </c>
      <c r="N81" s="305">
        <f t="shared" si="107"/>
        <v>2.7627731661023575E-2</v>
      </c>
      <c r="O81" s="305">
        <f t="shared" si="107"/>
        <v>2.7627731661023575E-2</v>
      </c>
      <c r="P81" s="305">
        <f t="shared" si="107"/>
        <v>2.7627731661023575E-2</v>
      </c>
      <c r="Q81" s="305">
        <f t="shared" si="107"/>
        <v>2.7627731661023575E-2</v>
      </c>
      <c r="R81" s="305">
        <f t="shared" si="107"/>
        <v>2.7627731661023575E-2</v>
      </c>
      <c r="S81" s="305">
        <f t="shared" si="107"/>
        <v>2.7627731661023575E-2</v>
      </c>
      <c r="T81" s="305">
        <f t="shared" si="107"/>
        <v>2.7652368632868705E-2</v>
      </c>
      <c r="U81" s="305">
        <f t="shared" si="107"/>
        <v>2.7652368632868705E-2</v>
      </c>
      <c r="V81" s="305">
        <f t="shared" si="107"/>
        <v>2.7627731661023575E-2</v>
      </c>
      <c r="W81" s="305">
        <f t="shared" si="107"/>
        <v>2.7627731661023575E-2</v>
      </c>
      <c r="X81" s="305">
        <f t="shared" si="99"/>
        <v>2.7752305233719292E-2</v>
      </c>
      <c r="Y81" s="305">
        <f t="shared" si="99"/>
        <v>2.7752305233719292E-2</v>
      </c>
      <c r="Z81" s="305">
        <f t="shared" si="99"/>
        <v>2.7752305233719292E-2</v>
      </c>
      <c r="AA81" s="305">
        <f t="shared" si="99"/>
        <v>2.7752305233719292E-2</v>
      </c>
      <c r="AB81" s="305">
        <f t="shared" ref="AB81:AC81" si="143">AB88/AB$17</f>
        <v>2.7752305233719292E-2</v>
      </c>
      <c r="AC81" s="305">
        <f t="shared" si="143"/>
        <v>2.7752305233719292E-2</v>
      </c>
      <c r="AD81" s="305">
        <f t="shared" ref="AD81" si="144">AD88/AD$17</f>
        <v>2.7752305233719292E-2</v>
      </c>
      <c r="AE81" s="305">
        <f t="shared" ref="AE81" si="145">AE88/AE$17</f>
        <v>2.7752305233719292E-2</v>
      </c>
      <c r="AF81" s="305">
        <f t="shared" si="107"/>
        <v>2.7627731661023575E-2</v>
      </c>
      <c r="AG81" s="305">
        <f t="shared" si="107"/>
        <v>2.7716152958755239E-2</v>
      </c>
      <c r="AH81" s="305">
        <f t="shared" si="107"/>
        <v>2.7740166028967599E-2</v>
      </c>
      <c r="AI81" s="305">
        <f t="shared" si="107"/>
        <v>2.7770390396550708E-2</v>
      </c>
      <c r="AJ81" s="305">
        <f t="shared" si="107"/>
        <v>2.7808427605798137E-2</v>
      </c>
      <c r="AK81" s="305">
        <f t="shared" si="107"/>
        <v>3.3347863362650804E-2</v>
      </c>
      <c r="AL81" s="305">
        <f t="shared" si="107"/>
        <v>3.3229403147663539E-2</v>
      </c>
      <c r="AM81" s="305">
        <f t="shared" si="107"/>
        <v>3.3347863362650804E-2</v>
      </c>
      <c r="AN81" s="305">
        <f t="shared" si="107"/>
        <v>3.3229403147663539E-2</v>
      </c>
      <c r="AO81" s="305">
        <f t="shared" si="107"/>
        <v>3.650746940283902E-2</v>
      </c>
      <c r="AP81" s="305">
        <f t="shared" si="107"/>
        <v>3.7210995821514409E-2</v>
      </c>
      <c r="AQ81" s="305">
        <f t="shared" si="107"/>
        <v>3.7855174292086589E-2</v>
      </c>
      <c r="AR81" s="305">
        <f t="shared" si="107"/>
        <v>3.5690207721515231E-2</v>
      </c>
      <c r="AS81" s="305">
        <f t="shared" si="107"/>
        <v>3.5690207721515231E-2</v>
      </c>
      <c r="AT81" s="305">
        <f t="shared" si="107"/>
        <v>3.5690207721515231E-2</v>
      </c>
      <c r="AU81" s="305">
        <f t="shared" si="107"/>
        <v>3.5690207721515231E-2</v>
      </c>
      <c r="AV81" s="305">
        <f t="shared" si="107"/>
        <v>3.5690207721515231E-2</v>
      </c>
      <c r="AW81" s="305">
        <f t="shared" si="107"/>
        <v>3.5690207721515231E-2</v>
      </c>
      <c r="AX81" s="305">
        <f t="shared" si="107"/>
        <v>3.5690207721515231E-2</v>
      </c>
      <c r="AY81" s="305">
        <f t="shared" si="107"/>
        <v>3.7993145753810804E-2</v>
      </c>
      <c r="AZ81" s="305">
        <f t="shared" si="107"/>
        <v>3.7993145753810804E-2</v>
      </c>
      <c r="BA81" s="305">
        <f t="shared" si="107"/>
        <v>3.7993145753810804E-2</v>
      </c>
      <c r="BB81" s="305">
        <f t="shared" si="107"/>
        <v>3.7993145753810804E-2</v>
      </c>
      <c r="BC81" s="305">
        <f t="shared" si="107"/>
        <v>3.5550976474342959E-2</v>
      </c>
      <c r="BD81" s="305">
        <f t="shared" si="107"/>
        <v>7.0841315291249374E-2</v>
      </c>
      <c r="BE81" s="305">
        <f t="shared" si="107"/>
        <v>5.1606256172433328E-2</v>
      </c>
      <c r="BF81" s="305">
        <f t="shared" si="107"/>
        <v>9.2555128407341133E-2</v>
      </c>
      <c r="BG81" s="305">
        <f t="shared" si="107"/>
        <v>4.6277564203670567E-2</v>
      </c>
      <c r="BH81" s="305">
        <f t="shared" si="107"/>
        <v>4.7770388855401871E-2</v>
      </c>
      <c r="BI81" s="305">
        <f>BI88/BI$17</f>
        <v>5.971298606925235E-2</v>
      </c>
      <c r="BJ81" s="305">
        <f t="shared" si="113"/>
        <v>6.0863700263494684E-2</v>
      </c>
      <c r="BK81" s="305">
        <f t="shared" si="113"/>
        <v>6.1917342728135025E-2</v>
      </c>
      <c r="BL81" s="305">
        <f t="shared" si="113"/>
        <v>9.0483175431837454E-2</v>
      </c>
      <c r="BM81" s="305">
        <f t="shared" si="113"/>
        <v>4.5241587715918727E-2</v>
      </c>
      <c r="BN81" s="305">
        <f t="shared" si="113"/>
        <v>4.6700993771270939E-2</v>
      </c>
      <c r="BO81" s="305">
        <f t="shared" si="113"/>
        <v>5.8376242214088679E-2</v>
      </c>
      <c r="BP81" s="305">
        <f t="shared" si="113"/>
        <v>5.8376242214088679E-2</v>
      </c>
      <c r="BQ81" s="305">
        <f t="shared" si="113"/>
        <v>5.8376242214088679E-2</v>
      </c>
      <c r="BR81" s="305">
        <f t="shared" si="113"/>
        <v>5.8376242214088679E-2</v>
      </c>
      <c r="BS81" s="305">
        <f t="shared" si="113"/>
        <v>5.8376242214088679E-2</v>
      </c>
      <c r="BT81" s="305">
        <f t="shared" si="113"/>
        <v>5.8376242214088679E-2</v>
      </c>
      <c r="BU81" s="305">
        <f t="shared" si="113"/>
        <v>9.0483175431837454E-2</v>
      </c>
      <c r="BV81" s="305">
        <f t="shared" si="113"/>
        <v>4.5241587715918727E-2</v>
      </c>
      <c r="BW81" s="305">
        <f t="shared" si="113"/>
        <v>4.6700993771270939E-2</v>
      </c>
      <c r="BX81" s="305">
        <f t="shared" si="113"/>
        <v>5.8376242214088679E-2</v>
      </c>
      <c r="BY81" s="305">
        <f t="shared" si="113"/>
        <v>5.8376242214088679E-2</v>
      </c>
      <c r="BZ81" s="305">
        <f t="shared" si="113"/>
        <v>5.8376242214088679E-2</v>
      </c>
      <c r="CA81" s="305">
        <f t="shared" si="113"/>
        <v>5.8376242214088679E-2</v>
      </c>
      <c r="CB81" s="305">
        <f t="shared" si="113"/>
        <v>5.8376242214088679E-2</v>
      </c>
      <c r="CC81" s="305">
        <f t="shared" si="113"/>
        <v>5.8376242214088679E-2</v>
      </c>
      <c r="CD81" s="305">
        <f t="shared" si="113"/>
        <v>5.2748768620704663E-2</v>
      </c>
      <c r="CE81" s="305">
        <f t="shared" si="113"/>
        <v>5.2748768620704663E-2</v>
      </c>
      <c r="CF81" s="305">
        <f t="shared" si="113"/>
        <v>5.2748768620704663E-2</v>
      </c>
      <c r="CG81" s="305">
        <f t="shared" si="113"/>
        <v>6.2143014025177926E-2</v>
      </c>
      <c r="CH81" s="305">
        <f t="shared" si="114"/>
        <v>7.7570151506738502E-2</v>
      </c>
      <c r="CI81" s="305">
        <f t="shared" si="114"/>
        <v>7.9064986722060193E-2</v>
      </c>
      <c r="CJ81" s="305">
        <f t="shared" si="114"/>
        <v>8.0433720911994966E-2</v>
      </c>
      <c r="CK81" s="305">
        <f t="shared" si="114"/>
        <v>7.5833654469888073E-2</v>
      </c>
      <c r="CL81" s="305">
        <f t="shared" si="114"/>
        <v>7.5833654469888073E-2</v>
      </c>
      <c r="CM81" s="305">
        <f t="shared" si="114"/>
        <v>8.0726879198904922E-2</v>
      </c>
      <c r="CN81" s="305">
        <f t="shared" si="113"/>
        <v>3.9761438924714593E-2</v>
      </c>
      <c r="CO81" s="305">
        <f t="shared" si="113"/>
        <v>4.0599977551164235E-2</v>
      </c>
      <c r="CP81" s="305">
        <f t="shared" si="113"/>
        <v>4.1364939484968714E-2</v>
      </c>
      <c r="CQ81" s="305">
        <f t="shared" si="113"/>
        <v>3.878880422140623E-2</v>
      </c>
      <c r="CR81" s="305">
        <f t="shared" si="113"/>
        <v>4.1695659569863243E-2</v>
      </c>
      <c r="CS81" s="305">
        <f t="shared" si="113"/>
        <v>6.5035300650564246E-2</v>
      </c>
      <c r="CT81" s="305">
        <f t="shared" si="113"/>
        <v>6.6406845875110088E-2</v>
      </c>
      <c r="CU81" s="305">
        <f t="shared" si="113"/>
        <v>6.76580463018705E-2</v>
      </c>
      <c r="CV81" s="305">
        <f t="shared" si="113"/>
        <v>6.3444422853797353E-2</v>
      </c>
      <c r="CW81" s="305">
        <f t="shared" si="113"/>
        <v>6.3444422853797353E-2</v>
      </c>
      <c r="CX81" s="305">
        <f t="shared" si="113"/>
        <v>6.8198984475486932E-2</v>
      </c>
      <c r="CY81" s="305">
        <f t="shared" si="115"/>
        <v>1.7572827090144186E-2</v>
      </c>
      <c r="CZ81" s="305">
        <f t="shared" si="115"/>
        <v>1.7943424701536145E-2</v>
      </c>
      <c r="DA81" s="305">
        <f t="shared" si="115"/>
        <v>1.8281504614054929E-2</v>
      </c>
      <c r="DB81" s="305">
        <f t="shared" si="115"/>
        <v>1.714296484357223E-2</v>
      </c>
      <c r="DC81" s="305">
        <f t="shared" si="115"/>
        <v>1.714296484357223E-2</v>
      </c>
      <c r="DD81" s="305">
        <f t="shared" si="115"/>
        <v>1.8427668511143597E-2</v>
      </c>
      <c r="DE81" s="305">
        <f t="shared" ref="DE81:DJ81" si="146">DE88/DE$17</f>
        <v>1.0453159197296153E-2</v>
      </c>
      <c r="DF81" s="305">
        <f t="shared" si="146"/>
        <v>1.0534195513674875E-2</v>
      </c>
      <c r="DG81" s="305"/>
      <c r="DH81" s="305">
        <f t="shared" si="146"/>
        <v>9.6857220570274478E-3</v>
      </c>
      <c r="DI81" s="305">
        <f t="shared" si="146"/>
        <v>9.6857220570274478E-3</v>
      </c>
      <c r="DJ81" s="305">
        <f t="shared" si="146"/>
        <v>1.0246238320884737E-2</v>
      </c>
      <c r="DK81" s="305">
        <f t="shared" si="113"/>
        <v>1.0543090460783534E-2</v>
      </c>
      <c r="DL81" s="305">
        <f t="shared" si="113"/>
        <v>1.0543090460783534E-2</v>
      </c>
      <c r="DM81" s="305">
        <f t="shared" si="113"/>
        <v>4.5006061595223842E-2</v>
      </c>
      <c r="DN81" s="305">
        <f t="shared" si="113"/>
        <v>1.1597399506861891E-2</v>
      </c>
      <c r="DO81" s="305">
        <f t="shared" si="113"/>
        <v>2.1086180921567069E-2</v>
      </c>
      <c r="DP81" s="305">
        <f t="shared" si="113"/>
        <v>7.0287269738556904E-3</v>
      </c>
      <c r="DQ81" s="305">
        <f t="shared" si="113"/>
        <v>1.0543090460783534E-2</v>
      </c>
      <c r="DR81" s="305">
        <f t="shared" si="113"/>
        <v>1.0411279496605943E-2</v>
      </c>
      <c r="DS81" s="305">
        <f t="shared" si="113"/>
        <v>1.1491277995048165E-2</v>
      </c>
      <c r="DT81" s="305">
        <f t="shared" ref="DT81:ED81" si="147">DT88/DT$17</f>
        <v>1.1491277995048165E-2</v>
      </c>
      <c r="DU81" s="305">
        <f t="shared" si="147"/>
        <v>1.1491277995048165E-2</v>
      </c>
      <c r="DV81" s="305">
        <f t="shared" ref="DV81" si="148">DV88/DV$17</f>
        <v>1.1889648058321935E-2</v>
      </c>
      <c r="DW81" s="305">
        <f t="shared" si="147"/>
        <v>1.1889648058321935E-2</v>
      </c>
      <c r="DX81" s="305">
        <f t="shared" si="147"/>
        <v>4.8356927769769575E-2</v>
      </c>
      <c r="DY81" s="305">
        <f t="shared" si="147"/>
        <v>8.0594879616282603E-2</v>
      </c>
      <c r="DZ81" s="305">
        <f t="shared" si="147"/>
        <v>8.0594879616282603E-2</v>
      </c>
      <c r="EA81" s="305">
        <f t="shared" si="147"/>
        <v>4.8356927769769575E-2</v>
      </c>
      <c r="EB81" s="305">
        <f t="shared" si="147"/>
        <v>8.0594879616282616E-2</v>
      </c>
      <c r="EC81" s="305">
        <f t="shared" si="147"/>
        <v>4.8356927769769568E-2</v>
      </c>
      <c r="ED81" s="305">
        <f t="shared" si="147"/>
        <v>6.0446159712211962E-2</v>
      </c>
    </row>
    <row r="83" spans="1:134" x14ac:dyDescent="0.3">
      <c r="A83" s="21" t="s">
        <v>852</v>
      </c>
      <c r="B83" s="21" t="s">
        <v>80</v>
      </c>
      <c r="D83" s="21">
        <f t="shared" ref="D83:AQ83" ca="1" si="149">SUM(D84:D88)</f>
        <v>0.43235824895616282</v>
      </c>
      <c r="E83" s="21">
        <f t="shared" ca="1" si="149"/>
        <v>6.3563192777933439</v>
      </c>
      <c r="F83" s="21">
        <f t="shared" ca="1" si="149"/>
        <v>0.35361559525578917</v>
      </c>
      <c r="G83" s="21">
        <f t="shared" ca="1" si="149"/>
        <v>2.7371995251853645</v>
      </c>
      <c r="H83" s="21">
        <f t="shared" ca="1" si="149"/>
        <v>0.96934197201387595</v>
      </c>
      <c r="I83" s="21">
        <f t="shared" ref="I83" ca="1" si="150">SUM(I84:I88)</f>
        <v>1.0367034066410095</v>
      </c>
      <c r="J83" s="21">
        <f t="shared" ca="1" si="149"/>
        <v>1.1940521710265477</v>
      </c>
      <c r="K83" s="21">
        <f t="shared" ref="K83" ca="1" si="151">SUM(K84:K88)</f>
        <v>1.2442668417996947</v>
      </c>
      <c r="L83" s="21">
        <f t="shared" ca="1" si="149"/>
        <v>1.9316867370836106</v>
      </c>
      <c r="M83" s="21">
        <f t="shared" ca="1" si="149"/>
        <v>1.1800089038018706</v>
      </c>
      <c r="N83" s="21">
        <f t="shared" ca="1" si="149"/>
        <v>1.6811274593230308</v>
      </c>
      <c r="O83" s="21">
        <f t="shared" ca="1" si="149"/>
        <v>1.0640016885146921</v>
      </c>
      <c r="P83" s="21">
        <f t="shared" ca="1" si="149"/>
        <v>1.9804179211340889</v>
      </c>
      <c r="Q83" s="21">
        <f t="shared" ca="1" si="149"/>
        <v>1.4128177494823282</v>
      </c>
      <c r="R83" s="21">
        <f t="shared" ca="1" si="149"/>
        <v>1.4996834703244466</v>
      </c>
      <c r="S83" s="21">
        <f t="shared" ca="1" si="149"/>
        <v>1.6081418979514832</v>
      </c>
      <c r="T83" s="21">
        <f t="shared" ca="1" si="149"/>
        <v>1.2896650173113531</v>
      </c>
      <c r="U83" s="21">
        <f t="shared" ca="1" si="149"/>
        <v>1.4716383720066297</v>
      </c>
      <c r="V83" s="21">
        <f t="shared" ca="1" si="149"/>
        <v>1.3951612750885363</v>
      </c>
      <c r="W83" s="21">
        <f t="shared" ca="1" si="149"/>
        <v>1.4562506099033876</v>
      </c>
      <c r="X83" s="21">
        <f t="shared" ref="X83:Y83" ca="1" si="152">SUM(X84:X88)</f>
        <v>0.50326206037366694</v>
      </c>
      <c r="Y83" s="21">
        <f t="shared" ca="1" si="152"/>
        <v>1.1917330536341586</v>
      </c>
      <c r="Z83" s="21">
        <f t="shared" ca="1" si="149"/>
        <v>1.0795923119608779</v>
      </c>
      <c r="AA83" s="21">
        <f t="shared" ref="AA83" ca="1" si="153">SUM(AA84:AA88)</f>
        <v>0.8848427968225594</v>
      </c>
      <c r="AB83" s="21">
        <f t="shared" ref="AB83:AC83" ca="1" si="154">SUM(AB84:AB88)</f>
        <v>1.1156067679650776</v>
      </c>
      <c r="AC83" s="21">
        <f t="shared" ca="1" si="154"/>
        <v>0.9776559772880663</v>
      </c>
      <c r="AD83" s="21">
        <f t="shared" ref="AD83" ca="1" si="155">SUM(AD84:AD88)</f>
        <v>1.1390017435579329</v>
      </c>
      <c r="AE83" s="21">
        <f t="shared" ca="1" si="149"/>
        <v>1.2578206067520432</v>
      </c>
      <c r="AF83" s="21">
        <f t="shared" ca="1" si="149"/>
        <v>1.6397924568296229</v>
      </c>
      <c r="AG83" s="21">
        <f t="shared" ca="1" si="149"/>
        <v>0.12269379184819221</v>
      </c>
      <c r="AH83" s="21">
        <f t="shared" ca="1" si="149"/>
        <v>0.3864896459081511</v>
      </c>
      <c r="AI83" s="21">
        <f t="shared" ca="1" si="149"/>
        <v>0.68220569398115449</v>
      </c>
      <c r="AJ83" s="21">
        <f t="shared" ca="1" si="149"/>
        <v>1.0613792410902398</v>
      </c>
      <c r="AK83" s="21">
        <f t="shared" ca="1" si="149"/>
        <v>0.92961440588143363</v>
      </c>
      <c r="AL83" s="21">
        <f t="shared" ca="1" si="149"/>
        <v>0.49023587112521849</v>
      </c>
      <c r="AM83" s="21">
        <f t="shared" ca="1" si="149"/>
        <v>1.0838950347985015</v>
      </c>
      <c r="AN83" s="21">
        <f t="shared" ca="1" si="149"/>
        <v>1.0174130887593651</v>
      </c>
      <c r="AO83" s="21">
        <f t="shared" ca="1" si="149"/>
        <v>3.2753419685441698</v>
      </c>
      <c r="AP83" s="21">
        <f t="shared" ca="1" si="149"/>
        <v>2.6003923735028605</v>
      </c>
      <c r="AQ83" s="21">
        <f t="shared" ca="1" si="149"/>
        <v>2.5205369071760697</v>
      </c>
      <c r="AR83" s="21">
        <f t="shared" ref="AR83:BW83" ca="1" si="156">SUM(AR84:AR88)</f>
        <v>2.669483977748456</v>
      </c>
      <c r="AS83" s="21">
        <f t="shared" ca="1" si="156"/>
        <v>2.935330634154214</v>
      </c>
      <c r="AT83" s="21">
        <f t="shared" ca="1" si="156"/>
        <v>1.6123816457893099</v>
      </c>
      <c r="AU83" s="21">
        <f t="shared" ca="1" si="156"/>
        <v>2.6207681204301627</v>
      </c>
      <c r="AV83" s="21">
        <f t="shared" ca="1" si="156"/>
        <v>2.5638654006142212</v>
      </c>
      <c r="AW83" s="21">
        <f t="shared" ca="1" si="156"/>
        <v>2.7751025548826904</v>
      </c>
      <c r="AX83" s="21">
        <f t="shared" ca="1" si="156"/>
        <v>2.669483977748456</v>
      </c>
      <c r="AY83" s="21">
        <f t="shared" ca="1" si="156"/>
        <v>5.8750335576307036</v>
      </c>
      <c r="AZ83" s="21">
        <f t="shared" ca="1" si="156"/>
        <v>3.7427728112330203</v>
      </c>
      <c r="BA83" s="21">
        <f t="shared" ca="1" si="156"/>
        <v>6.4171078628986367</v>
      </c>
      <c r="BB83" s="21">
        <f t="shared" ca="1" si="156"/>
        <v>2.7802006747961792</v>
      </c>
      <c r="BC83" s="21">
        <f t="shared" ca="1" si="156"/>
        <v>3.0293261710488744</v>
      </c>
      <c r="BD83" s="21">
        <f t="shared" ca="1" si="156"/>
        <v>3.0293261710488744</v>
      </c>
      <c r="BE83" s="21">
        <f t="shared" ca="1" si="156"/>
        <v>3.0293261710488744</v>
      </c>
      <c r="BF83" s="21">
        <f t="shared" ca="1" si="156"/>
        <v>3.0293261710488744</v>
      </c>
      <c r="BG83" s="21">
        <f t="shared" ca="1" si="156"/>
        <v>3.0293261710488744</v>
      </c>
      <c r="BH83" s="21">
        <f t="shared" ca="1" si="156"/>
        <v>3.0293261710488744</v>
      </c>
      <c r="BI83" s="21">
        <f t="shared" ca="1" si="156"/>
        <v>3.0293261710488744</v>
      </c>
      <c r="BJ83" s="21">
        <f t="shared" ca="1" si="156"/>
        <v>2.3358384097563212</v>
      </c>
      <c r="BK83" s="21">
        <f t="shared" ca="1" si="156"/>
        <v>2.2824334060715965</v>
      </c>
      <c r="BL83" s="21">
        <f t="shared" ca="1" si="156"/>
        <v>2.388994561524759</v>
      </c>
      <c r="BM83" s="21">
        <f t="shared" ca="1" si="156"/>
        <v>2.2817059389768697</v>
      </c>
      <c r="BN83" s="21">
        <f t="shared" ca="1" si="156"/>
        <v>2.2657053692943041</v>
      </c>
      <c r="BO83" s="21">
        <f t="shared" ca="1" si="156"/>
        <v>2.50300052698169</v>
      </c>
      <c r="BP83" s="21">
        <f t="shared" ca="1" si="156"/>
        <v>1.180051538616786</v>
      </c>
      <c r="BQ83" s="21">
        <f t="shared" ca="1" si="156"/>
        <v>2.2120903835333108</v>
      </c>
      <c r="BR83" s="21">
        <f t="shared" ca="1" si="156"/>
        <v>2.181242036305497</v>
      </c>
      <c r="BS83" s="21">
        <f t="shared" ca="1" si="156"/>
        <v>2.2930657048463674</v>
      </c>
      <c r="BT83" s="21">
        <f t="shared" ca="1" si="156"/>
        <v>2.237153870575932</v>
      </c>
      <c r="BU83" s="21">
        <f t="shared" ca="1" si="156"/>
        <v>2.4608474617935241</v>
      </c>
      <c r="BV83" s="21">
        <f t="shared" ca="1" si="156"/>
        <v>2.4608474617935241</v>
      </c>
      <c r="BW83" s="21">
        <f t="shared" ca="1" si="156"/>
        <v>2.4608474617935241</v>
      </c>
      <c r="BX83" s="21">
        <f t="shared" ref="BX83:DC83" ca="1" si="157">SUM(BX84:BX88)</f>
        <v>2.7266941181992816</v>
      </c>
      <c r="BY83" s="21">
        <f t="shared" ca="1" si="157"/>
        <v>1.4037451298343779</v>
      </c>
      <c r="BZ83" s="21">
        <f t="shared" ca="1" si="157"/>
        <v>2.4150733072597834</v>
      </c>
      <c r="CA83" s="21">
        <f t="shared" ca="1" si="157"/>
        <v>2.3490237932526532</v>
      </c>
      <c r="CB83" s="21">
        <f t="shared" ca="1" si="157"/>
        <v>2.5726711303343945</v>
      </c>
      <c r="CC83" s="21">
        <f t="shared" ca="1" si="157"/>
        <v>2.4608474617935241</v>
      </c>
      <c r="CD83" s="21">
        <f t="shared" ca="1" si="157"/>
        <v>6.4032068806982707</v>
      </c>
      <c r="CE83" s="21">
        <f t="shared" ca="1" si="157"/>
        <v>3.8912030380774341</v>
      </c>
      <c r="CF83" s="21">
        <f t="shared" ca="1" si="157"/>
        <v>7.0418214310620391</v>
      </c>
      <c r="CG83" s="21">
        <f t="shared" ca="1" si="157"/>
        <v>2.3479898200045497</v>
      </c>
      <c r="CH83" s="21">
        <f t="shared" ca="1" si="157"/>
        <v>3.0293261710488744</v>
      </c>
      <c r="CI83" s="21">
        <f t="shared" ca="1" si="157"/>
        <v>2.3358229493882363</v>
      </c>
      <c r="CJ83" s="21">
        <f t="shared" ca="1" si="157"/>
        <v>2.2824147956761749</v>
      </c>
      <c r="CK83" s="21">
        <f t="shared" ca="1" si="157"/>
        <v>2.2371564534561537</v>
      </c>
      <c r="CL83" s="21">
        <f t="shared" ca="1" si="157"/>
        <v>2.4608037905378954</v>
      </c>
      <c r="CM83" s="21">
        <f t="shared" ca="1" si="157"/>
        <v>2.3479898200045497</v>
      </c>
      <c r="CN83" s="21">
        <f t="shared" ca="1" si="157"/>
        <v>4.2239974168276673</v>
      </c>
      <c r="CO83" s="21">
        <f t="shared" ca="1" si="157"/>
        <v>3.3144586768526239</v>
      </c>
      <c r="CP83" s="21">
        <f t="shared" ca="1" si="157"/>
        <v>2.8927539361691843</v>
      </c>
      <c r="CQ83" s="21">
        <f t="shared" ca="1" si="157"/>
        <v>2.8664734501815281</v>
      </c>
      <c r="CR83" s="21">
        <f t="shared" ca="1" si="157"/>
        <v>3.2590525368395271</v>
      </c>
      <c r="CS83" s="21">
        <f t="shared" ca="1" si="157"/>
        <v>3.9200203974525665</v>
      </c>
      <c r="CT83" s="21">
        <f t="shared" ca="1" si="157"/>
        <v>2.9859817002425322</v>
      </c>
      <c r="CU83" s="21">
        <f t="shared" ca="1" si="157"/>
        <v>2.7475880775217605</v>
      </c>
      <c r="CV83" s="21">
        <f t="shared" ca="1" si="157"/>
        <v>2.3782748574677433</v>
      </c>
      <c r="CW83" s="21">
        <f t="shared" ca="1" si="157"/>
        <v>2.6019254547584358</v>
      </c>
      <c r="CX83" s="21">
        <f t="shared" ca="1" si="157"/>
        <v>2.7192568208161036</v>
      </c>
      <c r="CY83" s="21">
        <f t="shared" ca="1" si="157"/>
        <v>3.9370888590321944</v>
      </c>
      <c r="CZ83" s="21">
        <f t="shared" ca="1" si="157"/>
        <v>3.0044499997842404</v>
      </c>
      <c r="DA83" s="21">
        <f t="shared" ca="1" si="157"/>
        <v>2.7357830180879148</v>
      </c>
      <c r="DB83" s="21">
        <f t="shared" ca="1" si="157"/>
        <v>2.4099855539416497</v>
      </c>
      <c r="DC83" s="21">
        <f t="shared" ca="1" si="157"/>
        <v>2.6491115785824308</v>
      </c>
      <c r="DD83" s="21">
        <f t="shared" ref="DD83:DF83" ca="1" si="158">SUM(DD84:DD88)</f>
        <v>2.7498564437790947</v>
      </c>
      <c r="DE83" s="21">
        <f t="shared" ca="1" si="158"/>
        <v>6.7631280795502855</v>
      </c>
      <c r="DF83" s="21">
        <f t="shared" ca="1" si="158"/>
        <v>5.1563770732708187</v>
      </c>
      <c r="DH83" s="21">
        <f t="shared" ref="DH83:DS83" ca="1" si="159">SUM(DH84:DH88)</f>
        <v>5.2595462400450161</v>
      </c>
      <c r="DI83" s="21">
        <f t="shared" ca="1" si="159"/>
        <v>5.8241449642567789</v>
      </c>
      <c r="DJ83" s="21">
        <f t="shared" ca="1" si="159"/>
        <v>5.1252455817413054</v>
      </c>
      <c r="DK83" s="21">
        <f t="shared" ca="1" si="159"/>
        <v>18.576310785099565</v>
      </c>
      <c r="DL83" s="21">
        <f t="shared" ca="1" si="159"/>
        <v>17.777321191651041</v>
      </c>
      <c r="DM83" s="21">
        <f t="shared" ca="1" si="159"/>
        <v>16.962480920666806</v>
      </c>
      <c r="DN83" s="21">
        <f t="shared" ca="1" si="159"/>
        <v>17.94074367680328</v>
      </c>
      <c r="DO83" s="21">
        <f t="shared" ca="1" si="159"/>
        <v>18.076942289194239</v>
      </c>
      <c r="DP83" s="21">
        <f t="shared" ca="1" si="159"/>
        <v>18.076942289194239</v>
      </c>
      <c r="DQ83" s="21">
        <f t="shared" ca="1" si="159"/>
        <v>18.076942289194239</v>
      </c>
      <c r="DR83" s="21">
        <f t="shared" ca="1" si="159"/>
        <v>13.73467106693721</v>
      </c>
      <c r="DS83" s="21">
        <f t="shared" ca="1" si="159"/>
        <v>8.6805232283473153</v>
      </c>
      <c r="DT83" s="21">
        <f t="shared" ref="DT83:ED83" ca="1" si="160">SUM(DT84:DT88)</f>
        <v>16.311136504311477</v>
      </c>
      <c r="DU83" s="21">
        <f t="shared" ca="1" si="160"/>
        <v>15.632662825665566</v>
      </c>
      <c r="DV83" s="21">
        <f t="shared" ref="DV83" ca="1" si="161">SUM(DV84:DV88)</f>
        <v>19.753603617543813</v>
      </c>
      <c r="DW83" s="21">
        <f t="shared" ca="1" si="160"/>
        <v>13.956258604609074</v>
      </c>
      <c r="DX83" s="21">
        <f t="shared" ca="1" si="160"/>
        <v>179.45494695163157</v>
      </c>
      <c r="DY83" s="21">
        <f t="shared" ca="1" si="160"/>
        <v>185.58015780246905</v>
      </c>
      <c r="DZ83" s="21">
        <f t="shared" ca="1" si="160"/>
        <v>185.58015780246905</v>
      </c>
      <c r="EA83" s="21">
        <f t="shared" ca="1" si="160"/>
        <v>179.45494695163157</v>
      </c>
      <c r="EB83" s="21">
        <f t="shared" ca="1" si="160"/>
        <v>181.75190102069561</v>
      </c>
      <c r="EC83" s="21">
        <f t="shared" ca="1" si="160"/>
        <v>181.75190102069561</v>
      </c>
      <c r="ED83" s="21">
        <f t="shared" ca="1" si="160"/>
        <v>181.75190102069561</v>
      </c>
    </row>
    <row r="84" spans="1:134" x14ac:dyDescent="0.3">
      <c r="A84" s="21" t="str">
        <f>A91</f>
        <v>Vehicle and battery manufacturing, assembly and disposal - Including fluids</v>
      </c>
      <c r="D84" s="278">
        <f t="shared" ref="D84:AQ84" ca="1" si="162">D91/D$22</f>
        <v>0.28608082351542902</v>
      </c>
      <c r="E84" s="278">
        <f t="shared" ca="1" si="162"/>
        <v>3.1106262730823859</v>
      </c>
      <c r="F84" s="278">
        <f t="shared" ca="1" si="162"/>
        <v>0.22766161641212609</v>
      </c>
      <c r="G84" s="278">
        <f t="shared" ca="1" si="162"/>
        <v>1.5625931877532397</v>
      </c>
      <c r="H84" s="278">
        <f t="shared" ca="1" si="162"/>
        <v>0.52086439591774669</v>
      </c>
      <c r="I84" s="278">
        <f t="shared" ref="I84" ca="1" si="163">I91/I$22</f>
        <v>0.78129659387661987</v>
      </c>
      <c r="J84" s="278">
        <f t="shared" ca="1" si="162"/>
        <v>0.78129659387661987</v>
      </c>
      <c r="K84" s="278">
        <f t="shared" ref="K84" ca="1" si="164">K91/K$22</f>
        <v>0.78129659387661987</v>
      </c>
      <c r="L84" s="278">
        <f t="shared" ca="1" si="162"/>
        <v>0.78129659387661987</v>
      </c>
      <c r="M84" s="278">
        <f t="shared" ca="1" si="162"/>
        <v>0.78129659387661987</v>
      </c>
      <c r="N84" s="278">
        <f t="shared" ca="1" si="162"/>
        <v>0.78129659387661987</v>
      </c>
      <c r="O84" s="278">
        <f t="shared" ca="1" si="162"/>
        <v>0.43405366326478889</v>
      </c>
      <c r="P84" s="278">
        <f t="shared" ca="1" si="162"/>
        <v>1.3021609897943667</v>
      </c>
      <c r="Q84" s="278">
        <f t="shared" ca="1" si="162"/>
        <v>0.73786373345556044</v>
      </c>
      <c r="R84" s="278">
        <f t="shared" ca="1" si="162"/>
        <v>0.82472945429767897</v>
      </c>
      <c r="S84" s="278">
        <f t="shared" ca="1" si="162"/>
        <v>0.93318788192471558</v>
      </c>
      <c r="T84" s="278">
        <f t="shared" ca="1" si="162"/>
        <v>0.61468636431274037</v>
      </c>
      <c r="U84" s="278">
        <f t="shared" ca="1" si="162"/>
        <v>0.78129659387661987</v>
      </c>
      <c r="V84" s="278">
        <f t="shared" ca="1" si="162"/>
        <v>0.78129659387661987</v>
      </c>
      <c r="W84" s="278">
        <f t="shared" ca="1" si="162"/>
        <v>0.78129659387661987</v>
      </c>
      <c r="X84" s="278">
        <f t="shared" ref="X84:AA87" ca="1" si="165">X91/X$22</f>
        <v>0.38980729437473144</v>
      </c>
      <c r="Y84" s="278">
        <f t="shared" ca="1" si="165"/>
        <v>0.7269247803490626</v>
      </c>
      <c r="Z84" s="278">
        <f t="shared" ca="1" si="165"/>
        <v>0.7269247803490626</v>
      </c>
      <c r="AA84" s="278">
        <f t="shared" ca="1" si="165"/>
        <v>0.4846165202327084</v>
      </c>
      <c r="AB84" s="278">
        <f t="shared" ref="AB84:AC84" ca="1" si="166">AB91/AB$22</f>
        <v>0.58471094156209702</v>
      </c>
      <c r="AC84" s="278">
        <f t="shared" ca="1" si="166"/>
        <v>0.7269247803490626</v>
      </c>
      <c r="AD84" s="278">
        <f t="shared" ref="AD84" ca="1" si="167">AD91/AD$22</f>
        <v>0.7269247803490626</v>
      </c>
      <c r="AE84" s="278">
        <f t="shared" ca="1" si="162"/>
        <v>0.7269247803490626</v>
      </c>
      <c r="AF84" s="278">
        <f t="shared" ca="1" si="162"/>
        <v>0.71446861253220184</v>
      </c>
      <c r="AG84" s="278">
        <f t="shared" ca="1" si="162"/>
        <v>8.6234710901394465E-2</v>
      </c>
      <c r="AH84" s="278">
        <f t="shared" ca="1" si="162"/>
        <v>0.15088575294465986</v>
      </c>
      <c r="AI84" s="278">
        <f t="shared" ca="1" si="162"/>
        <v>0.26933428090186151</v>
      </c>
      <c r="AJ84" s="278">
        <f t="shared" ca="1" si="162"/>
        <v>0.44713915737079202</v>
      </c>
      <c r="AK84" s="278">
        <f t="shared" ca="1" si="162"/>
        <v>9.3283946638785101E-2</v>
      </c>
      <c r="AL84" s="278">
        <f t="shared" ca="1" si="162"/>
        <v>0.12055830855593497</v>
      </c>
      <c r="AM84" s="278">
        <f t="shared" ca="1" si="162"/>
        <v>0.23309094264663283</v>
      </c>
      <c r="AN84" s="278">
        <f t="shared" ca="1" si="162"/>
        <v>0.43619023939789026</v>
      </c>
      <c r="AO84" s="278">
        <f t="shared" ca="1" si="162"/>
        <v>0.43179450172935752</v>
      </c>
      <c r="AP84" s="278">
        <f t="shared" ca="1" si="162"/>
        <v>0.46504546779331762</v>
      </c>
      <c r="AQ84" s="278">
        <f t="shared" ca="1" si="162"/>
        <v>0.57796189147796162</v>
      </c>
      <c r="AR84" s="278">
        <f t="shared" ref="AR84:BW84" ca="1" si="168">AR91/AR$22</f>
        <v>0.8301579071735451</v>
      </c>
      <c r="AS84" s="278">
        <f t="shared" ca="1" si="168"/>
        <v>0.8301579071735451</v>
      </c>
      <c r="AT84" s="278">
        <f t="shared" ca="1" si="168"/>
        <v>0.8301579071735451</v>
      </c>
      <c r="AU84" s="278">
        <f t="shared" ca="1" si="168"/>
        <v>0.78144204985525167</v>
      </c>
      <c r="AV84" s="278">
        <f t="shared" ca="1" si="168"/>
        <v>0.72501115433852381</v>
      </c>
      <c r="AW84" s="278">
        <f t="shared" ca="1" si="168"/>
        <v>0.93530466000856616</v>
      </c>
      <c r="AX84" s="278">
        <f t="shared" ca="1" si="168"/>
        <v>0.8301579071735451</v>
      </c>
      <c r="AY84" s="278">
        <f t="shared" ca="1" si="168"/>
        <v>0.77123744700057084</v>
      </c>
      <c r="AZ84" s="278">
        <f t="shared" ca="1" si="168"/>
        <v>0.77123744700057084</v>
      </c>
      <c r="BA84" s="278">
        <f t="shared" ca="1" si="168"/>
        <v>0.77123744700057084</v>
      </c>
      <c r="BB84" s="278">
        <f t="shared" ca="1" si="168"/>
        <v>0.77123744700057084</v>
      </c>
      <c r="BC84" s="278">
        <f t="shared" ca="1" si="168"/>
        <v>0.19595413738150966</v>
      </c>
      <c r="BD84" s="278">
        <f t="shared" ca="1" si="168"/>
        <v>0.19595413738150966</v>
      </c>
      <c r="BE84" s="278">
        <f t="shared" ca="1" si="168"/>
        <v>0.19595413738150966</v>
      </c>
      <c r="BF84" s="278">
        <f t="shared" ca="1" si="168"/>
        <v>0.19595413738150966</v>
      </c>
      <c r="BG84" s="278">
        <f t="shared" ca="1" si="168"/>
        <v>0.19595413738150966</v>
      </c>
      <c r="BH84" s="278">
        <f t="shared" ca="1" si="168"/>
        <v>0.19595413738150966</v>
      </c>
      <c r="BI84" s="278">
        <f t="shared" ca="1" si="168"/>
        <v>0.19595413738150966</v>
      </c>
      <c r="BJ84" s="278">
        <f t="shared" ca="1" si="168"/>
        <v>0.21104336445684074</v>
      </c>
      <c r="BK84" s="278">
        <f t="shared" ca="1" si="168"/>
        <v>0.26228065785182297</v>
      </c>
      <c r="BL84" s="278">
        <f t="shared" ca="1" si="168"/>
        <v>0.40849689681893631</v>
      </c>
      <c r="BM84" s="278">
        <f t="shared" ca="1" si="168"/>
        <v>0.40849689681893631</v>
      </c>
      <c r="BN84" s="278">
        <f t="shared" ca="1" si="168"/>
        <v>0.40849689681893631</v>
      </c>
      <c r="BO84" s="278">
        <f t="shared" ca="1" si="168"/>
        <v>0.40849689681893631</v>
      </c>
      <c r="BP84" s="278">
        <f t="shared" ca="1" si="168"/>
        <v>0.40849689681893631</v>
      </c>
      <c r="BQ84" s="278">
        <f t="shared" ca="1" si="168"/>
        <v>0.38343340977631518</v>
      </c>
      <c r="BR84" s="278">
        <f t="shared" ca="1" si="168"/>
        <v>0.35283483453689712</v>
      </c>
      <c r="BS84" s="278">
        <f t="shared" ca="1" si="168"/>
        <v>0.4641589591009756</v>
      </c>
      <c r="BT84" s="278">
        <f t="shared" ca="1" si="168"/>
        <v>0.40849689681893631</v>
      </c>
      <c r="BU84" s="278">
        <f t="shared" ca="1" si="168"/>
        <v>0.63119140008294394</v>
      </c>
      <c r="BV84" s="278">
        <f t="shared" ca="1" si="168"/>
        <v>0.63119140008294394</v>
      </c>
      <c r="BW84" s="278">
        <f t="shared" ca="1" si="168"/>
        <v>0.63119140008294394</v>
      </c>
      <c r="BX84" s="278">
        <f t="shared" ref="BX84:DF84" ca="1" si="169">BX91/BX$22</f>
        <v>0.63119140008294394</v>
      </c>
      <c r="BY84" s="278">
        <f t="shared" ca="1" si="169"/>
        <v>0.63119140008294394</v>
      </c>
      <c r="BZ84" s="278">
        <f t="shared" ca="1" si="169"/>
        <v>0.5854172455492036</v>
      </c>
      <c r="CA84" s="278">
        <f t="shared" ca="1" si="169"/>
        <v>0.51986727551886525</v>
      </c>
      <c r="CB84" s="278">
        <f t="shared" ca="1" si="169"/>
        <v>0.74251552464702253</v>
      </c>
      <c r="CC84" s="278">
        <f t="shared" ca="1" si="169"/>
        <v>0.63119140008294394</v>
      </c>
      <c r="CD84" s="278">
        <f t="shared" ca="1" si="169"/>
        <v>0.41227284845280543</v>
      </c>
      <c r="CE84" s="278">
        <f t="shared" ca="1" si="169"/>
        <v>0.41227284845280543</v>
      </c>
      <c r="CF84" s="278">
        <f t="shared" ca="1" si="169"/>
        <v>0.41227284845280543</v>
      </c>
      <c r="CG84" s="278">
        <f t="shared" ca="1" si="169"/>
        <v>0.34995604745809406</v>
      </c>
      <c r="CH84" s="278">
        <f t="shared" ca="1" si="169"/>
        <v>0.19595413738150966</v>
      </c>
      <c r="CI84" s="278">
        <f t="shared" ca="1" si="169"/>
        <v>0.21102790408875599</v>
      </c>
      <c r="CJ84" s="278">
        <f t="shared" ca="1" si="169"/>
        <v>0.26226204745640164</v>
      </c>
      <c r="CK84" s="278">
        <f t="shared" ca="1" si="169"/>
        <v>0.4084994796991579</v>
      </c>
      <c r="CL84" s="278">
        <f t="shared" ca="1" si="169"/>
        <v>0.63114772882731529</v>
      </c>
      <c r="CM84" s="278">
        <f t="shared" ca="1" si="169"/>
        <v>0.34995604745809406</v>
      </c>
      <c r="CN84" s="278">
        <f t="shared" ca="1" si="169"/>
        <v>0.53503976372109585</v>
      </c>
      <c r="CO84" s="278">
        <f t="shared" ca="1" si="169"/>
        <v>0.57905856667402844</v>
      </c>
      <c r="CP84" s="278">
        <f t="shared" ca="1" si="169"/>
        <v>0.68118675152799302</v>
      </c>
      <c r="CQ84" s="278">
        <f t="shared" ca="1" si="169"/>
        <v>0.92969879179765935</v>
      </c>
      <c r="CR84" s="278">
        <f t="shared" ca="1" si="169"/>
        <v>0.9648930272128553</v>
      </c>
      <c r="CS84" s="278">
        <f t="shared" ca="1" si="169"/>
        <v>0.24280908103416349</v>
      </c>
      <c r="CT84" s="278">
        <f t="shared" ca="1" si="169"/>
        <v>0.26278452138520558</v>
      </c>
      <c r="CU84" s="278">
        <f t="shared" ca="1" si="169"/>
        <v>0.30912692631353111</v>
      </c>
      <c r="CV84" s="278">
        <f t="shared" ca="1" si="169"/>
        <v>0.45366519074045458</v>
      </c>
      <c r="CW84" s="278">
        <f t="shared" ca="1" si="169"/>
        <v>0.67631670007756273</v>
      </c>
      <c r="CX84" s="278">
        <f t="shared" ca="1" si="169"/>
        <v>0.43782919975848883</v>
      </c>
      <c r="CY84" s="278">
        <f t="shared" ca="1" si="169"/>
        <v>0.25961017317970331</v>
      </c>
      <c r="CZ84" s="278">
        <f t="shared" ca="1" si="169"/>
        <v>0.2809678073620312</v>
      </c>
      <c r="DA84" s="278">
        <f t="shared" ca="1" si="169"/>
        <v>0.33051685930755442</v>
      </c>
      <c r="DB84" s="278">
        <f t="shared" ca="1" si="169"/>
        <v>0.48505639999997086</v>
      </c>
      <c r="DC84" s="278">
        <f t="shared" ca="1" si="169"/>
        <v>0.72311420513451641</v>
      </c>
      <c r="DD84" s="278">
        <f t="shared" ca="1" si="169"/>
        <v>0.46812464298417006</v>
      </c>
      <c r="DE84" s="278">
        <f t="shared" ca="1" si="169"/>
        <v>0.50717501902925888</v>
      </c>
      <c r="DF84" s="278">
        <f t="shared" ca="1" si="169"/>
        <v>0.52979812981979013</v>
      </c>
      <c r="DG84" s="278"/>
      <c r="DH84" s="278">
        <f t="shared" ref="DH84:DS84" ca="1" si="170">DH91/DH$22</f>
        <v>1.1719041878427736</v>
      </c>
      <c r="DI84" s="278">
        <f t="shared" ca="1" si="170"/>
        <v>1.7339807271092584</v>
      </c>
      <c r="DJ84" s="278">
        <f t="shared" ca="1" si="170"/>
        <v>0.9702670379565953</v>
      </c>
      <c r="DK84" s="278">
        <f t="shared" ca="1" si="170"/>
        <v>1.9718970977888792</v>
      </c>
      <c r="DL84" s="278">
        <f t="shared" ca="1" si="170"/>
        <v>1.1831699581071478</v>
      </c>
      <c r="DM84" s="278">
        <f t="shared" ca="1" si="170"/>
        <v>1.478942635487797</v>
      </c>
      <c r="DN84" s="278">
        <f t="shared" ca="1" si="170"/>
        <v>1.3444933049889065</v>
      </c>
      <c r="DO84" s="278">
        <f t="shared" ca="1" si="170"/>
        <v>1.478942635487797</v>
      </c>
      <c r="DP84" s="278">
        <f t="shared" ca="1" si="170"/>
        <v>1.478942635487797</v>
      </c>
      <c r="DQ84" s="278">
        <f t="shared" ca="1" si="170"/>
        <v>1.478942635487797</v>
      </c>
      <c r="DR84" s="278">
        <f t="shared" ca="1" si="170"/>
        <v>1.47055630879168</v>
      </c>
      <c r="DS84" s="278">
        <f t="shared" ca="1" si="170"/>
        <v>3.2715890635960343</v>
      </c>
      <c r="DT84" s="278">
        <f t="shared" ref="DT84:ED84" ca="1" si="171">DT91/DT$22</f>
        <v>3.2715890635960343</v>
      </c>
      <c r="DU84" s="278">
        <f t="shared" ca="1" si="171"/>
        <v>2.5983040121057162</v>
      </c>
      <c r="DV84" s="278">
        <f t="shared" ref="DV84" ca="1" si="172">DV91/DV$22</f>
        <v>2.0506638478004415</v>
      </c>
      <c r="DW84" s="278">
        <f t="shared" ca="1" si="171"/>
        <v>2.0474949313192852</v>
      </c>
      <c r="DX84" s="278">
        <f t="shared" ca="1" si="171"/>
        <v>4.7090562287553697</v>
      </c>
      <c r="DY84" s="278">
        <f t="shared" ca="1" si="171"/>
        <v>4.7090562287553697</v>
      </c>
      <c r="DZ84" s="278">
        <f t="shared" ca="1" si="171"/>
        <v>4.7090562287553697</v>
      </c>
      <c r="EA84" s="278">
        <f t="shared" ca="1" si="171"/>
        <v>4.7090562287553697</v>
      </c>
      <c r="EB84" s="278">
        <f t="shared" ca="1" si="171"/>
        <v>4.7090562287553697</v>
      </c>
      <c r="EC84" s="278">
        <f t="shared" ca="1" si="171"/>
        <v>4.7090562287553697</v>
      </c>
      <c r="ED84" s="278">
        <f t="shared" ca="1" si="171"/>
        <v>4.7090562287553697</v>
      </c>
    </row>
    <row r="85" spans="1:134" x14ac:dyDescent="0.3">
      <c r="A85" s="21" t="str">
        <f>A92</f>
        <v>Vehicle delivery at point of purchase</v>
      </c>
      <c r="D85" s="278">
        <f t="shared" ref="D85:BH87" si="173">D92/D$22</f>
        <v>1.591998041596299E-2</v>
      </c>
      <c r="E85" s="278">
        <f t="shared" si="173"/>
        <v>0.14492671826945616</v>
      </c>
      <c r="F85" s="278">
        <f t="shared" si="173"/>
        <v>1.610296869660624E-2</v>
      </c>
      <c r="G85" s="278">
        <f t="shared" si="173"/>
        <v>8.6956030961673689E-2</v>
      </c>
      <c r="H85" s="278">
        <f t="shared" si="173"/>
        <v>2.8985343653891233E-2</v>
      </c>
      <c r="I85" s="278">
        <f t="shared" ref="I85" si="174">I92/I$22</f>
        <v>4.3478015480836844E-2</v>
      </c>
      <c r="J85" s="278">
        <f t="shared" si="173"/>
        <v>4.3478015480836844E-2</v>
      </c>
      <c r="K85" s="278">
        <f t="shared" ref="K85" si="175">K92/K$22</f>
        <v>4.3478015480836844E-2</v>
      </c>
      <c r="L85" s="278">
        <f t="shared" si="173"/>
        <v>4.3478015480836844E-2</v>
      </c>
      <c r="M85" s="278">
        <f t="shared" si="173"/>
        <v>4.3478015480836844E-2</v>
      </c>
      <c r="N85" s="278">
        <f t="shared" si="173"/>
        <v>4.3478015480836844E-2</v>
      </c>
      <c r="O85" s="278">
        <f t="shared" si="173"/>
        <v>2.415445304490936E-2</v>
      </c>
      <c r="P85" s="278">
        <f t="shared" si="173"/>
        <v>7.2463359134728081E-2</v>
      </c>
      <c r="Q85" s="278">
        <f t="shared" si="173"/>
        <v>4.3478015480836844E-2</v>
      </c>
      <c r="R85" s="278">
        <f t="shared" si="173"/>
        <v>4.3478015480836844E-2</v>
      </c>
      <c r="S85" s="278">
        <f t="shared" si="173"/>
        <v>4.3478015480836844E-2</v>
      </c>
      <c r="T85" s="278">
        <f t="shared" si="173"/>
        <v>4.3478015480836844E-2</v>
      </c>
      <c r="U85" s="278">
        <f t="shared" si="173"/>
        <v>4.3478015480836844E-2</v>
      </c>
      <c r="V85" s="278">
        <f t="shared" si="173"/>
        <v>4.3478015480836844E-2</v>
      </c>
      <c r="W85" s="278">
        <f t="shared" si="173"/>
        <v>4.3478015480836844E-2</v>
      </c>
      <c r="X85" s="278">
        <f t="shared" si="165"/>
        <v>2.3701373238039173E-2</v>
      </c>
      <c r="Y85" s="278">
        <f t="shared" si="165"/>
        <v>3.5552059857058754E-2</v>
      </c>
      <c r="Z85" s="278">
        <f t="shared" si="165"/>
        <v>3.5552059857058754E-2</v>
      </c>
      <c r="AA85" s="278">
        <f t="shared" si="165"/>
        <v>2.3701373238039173E-2</v>
      </c>
      <c r="AB85" s="278">
        <f t="shared" ref="AB85:AC85" si="176">AB92/AB$22</f>
        <v>3.5552059857058754E-2</v>
      </c>
      <c r="AC85" s="278">
        <f t="shared" si="176"/>
        <v>3.5552059857058754E-2</v>
      </c>
      <c r="AD85" s="278">
        <f t="shared" ref="AD85" si="177">AD92/AD$22</f>
        <v>3.5552059857058754E-2</v>
      </c>
      <c r="AE85" s="278">
        <f t="shared" ref="AE85" si="178">AE92/AE$22</f>
        <v>3.5552059857058754E-2</v>
      </c>
      <c r="AF85" s="278">
        <f t="shared" si="173"/>
        <v>3.2454631890457365E-2</v>
      </c>
      <c r="AG85" s="278">
        <f t="shared" si="173"/>
        <v>8.7429279880425134E-3</v>
      </c>
      <c r="AH85" s="278">
        <f t="shared" si="173"/>
        <v>1.1743365058278861E-2</v>
      </c>
      <c r="AI85" s="278">
        <f t="shared" si="173"/>
        <v>2.8644433100411596E-2</v>
      </c>
      <c r="AJ85" s="278">
        <f t="shared" si="173"/>
        <v>3.3854704655074112E-2</v>
      </c>
      <c r="AK85" s="278">
        <f t="shared" si="173"/>
        <v>9.6572964052335127E-3</v>
      </c>
      <c r="AL85" s="278">
        <f t="shared" si="173"/>
        <v>9.4500904002699851E-3</v>
      </c>
      <c r="AM85" s="278">
        <f t="shared" si="173"/>
        <v>2.4130929314453958E-2</v>
      </c>
      <c r="AN85" s="278">
        <f t="shared" si="173"/>
        <v>2.5953092326657934E-2</v>
      </c>
      <c r="AO85" s="278">
        <f t="shared" si="173"/>
        <v>6.7028374214767247E-3</v>
      </c>
      <c r="AP85" s="278">
        <f t="shared" si="173"/>
        <v>7.1621462007133568E-3</v>
      </c>
      <c r="AQ85" s="278">
        <f t="shared" si="173"/>
        <v>7.9341164297709495E-3</v>
      </c>
      <c r="AR85" s="278">
        <f t="shared" si="173"/>
        <v>8.1348082863086073E-3</v>
      </c>
      <c r="AS85" s="278">
        <f t="shared" si="173"/>
        <v>8.1348082863086073E-3</v>
      </c>
      <c r="AT85" s="278">
        <f t="shared" si="173"/>
        <v>8.1348082863086073E-3</v>
      </c>
      <c r="AU85" s="278">
        <f t="shared" si="173"/>
        <v>8.1348082863086073E-3</v>
      </c>
      <c r="AV85" s="278">
        <f t="shared" si="173"/>
        <v>7.6629839870952276E-3</v>
      </c>
      <c r="AW85" s="278">
        <f t="shared" si="173"/>
        <v>8.6066325855219828E-3</v>
      </c>
      <c r="AX85" s="278">
        <f t="shared" si="173"/>
        <v>8.1348082863086073E-3</v>
      </c>
      <c r="AY85" s="278">
        <f t="shared" si="173"/>
        <v>7.5979104949436115E-3</v>
      </c>
      <c r="AZ85" s="278">
        <f t="shared" si="173"/>
        <v>7.5979104949436115E-3</v>
      </c>
      <c r="BA85" s="278">
        <f t="shared" si="173"/>
        <v>7.5979104949436115E-3</v>
      </c>
      <c r="BB85" s="278">
        <f t="shared" si="173"/>
        <v>7.5979104949436115E-3</v>
      </c>
      <c r="BC85" s="278">
        <f t="shared" si="173"/>
        <v>3.0414124799950639E-3</v>
      </c>
      <c r="BD85" s="278">
        <f t="shared" si="173"/>
        <v>3.0414124799950639E-3</v>
      </c>
      <c r="BE85" s="278">
        <f t="shared" si="173"/>
        <v>3.0414124799950639E-3</v>
      </c>
      <c r="BF85" s="278">
        <f t="shared" si="173"/>
        <v>3.0414124799950639E-3</v>
      </c>
      <c r="BG85" s="278">
        <f t="shared" si="173"/>
        <v>3.0414124799950639E-3</v>
      </c>
      <c r="BH85" s="278">
        <f t="shared" si="173"/>
        <v>3.0414124799950639E-3</v>
      </c>
      <c r="BI85" s="278">
        <f>BI92/BI$22</f>
        <v>3.0414124799950639E-3</v>
      </c>
      <c r="BJ85" s="278">
        <f t="shared" ref="BJ85:ED87" si="179">BJ92/BJ$22</f>
        <v>3.249823838573686E-3</v>
      </c>
      <c r="BK85" s="278">
        <f t="shared" si="179"/>
        <v>3.6001053300085688E-3</v>
      </c>
      <c r="BL85" s="278">
        <f t="shared" si="179"/>
        <v>3.8338961104245773E-3</v>
      </c>
      <c r="BM85" s="278">
        <f t="shared" si="179"/>
        <v>3.8338961104245773E-3</v>
      </c>
      <c r="BN85" s="278">
        <f t="shared" si="179"/>
        <v>3.8338961104245773E-3</v>
      </c>
      <c r="BO85" s="278">
        <f t="shared" si="179"/>
        <v>3.8338961104245773E-3</v>
      </c>
      <c r="BP85" s="278">
        <f t="shared" si="179"/>
        <v>3.8338961104245773E-3</v>
      </c>
      <c r="BQ85" s="278">
        <f t="shared" si="179"/>
        <v>3.8338961104245773E-3</v>
      </c>
      <c r="BR85" s="278">
        <f t="shared" si="179"/>
        <v>3.5841241220284951E-3</v>
      </c>
      <c r="BS85" s="278">
        <f t="shared" si="179"/>
        <v>4.0836680988206604E-3</v>
      </c>
      <c r="BT85" s="278">
        <f t="shared" si="179"/>
        <v>3.8338961104245773E-3</v>
      </c>
      <c r="BU85" s="278">
        <f t="shared" si="179"/>
        <v>4.8329840640089069E-3</v>
      </c>
      <c r="BV85" s="278">
        <f t="shared" si="179"/>
        <v>4.8329840640089069E-3</v>
      </c>
      <c r="BW85" s="278">
        <f t="shared" si="179"/>
        <v>4.8329840640089069E-3</v>
      </c>
      <c r="BX85" s="278">
        <f t="shared" si="179"/>
        <v>4.8329840640089069E-3</v>
      </c>
      <c r="BY85" s="278">
        <f t="shared" si="179"/>
        <v>4.8329840640089069E-3</v>
      </c>
      <c r="BZ85" s="278">
        <f t="shared" si="179"/>
        <v>4.8329840640089069E-3</v>
      </c>
      <c r="CA85" s="278">
        <f t="shared" si="179"/>
        <v>4.3334400872167417E-3</v>
      </c>
      <c r="CB85" s="278">
        <f t="shared" si="179"/>
        <v>5.3325280408010713E-3</v>
      </c>
      <c r="CC85" s="278">
        <f t="shared" si="179"/>
        <v>4.8329840640089069E-3</v>
      </c>
      <c r="CD85" s="278">
        <f t="shared" si="179"/>
        <v>4.0615405984527472E-3</v>
      </c>
      <c r="CE85" s="278">
        <f t="shared" si="179"/>
        <v>4.0615405984527472E-3</v>
      </c>
      <c r="CF85" s="278">
        <f t="shared" si="179"/>
        <v>4.0615405984527472E-3</v>
      </c>
      <c r="CG85" s="278">
        <f t="shared" si="179"/>
        <v>3.4475518870806638E-3</v>
      </c>
      <c r="CH85" s="278">
        <f t="shared" ref="CH85:CM85" si="180">CH92/CH$22</f>
        <v>3.0414124799950639E-3</v>
      </c>
      <c r="CI85" s="278">
        <f t="shared" si="180"/>
        <v>3.249823838573686E-3</v>
      </c>
      <c r="CJ85" s="278">
        <f t="shared" si="180"/>
        <v>3.6001053300085688E-3</v>
      </c>
      <c r="CK85" s="278">
        <f t="shared" si="180"/>
        <v>3.8338961104245773E-3</v>
      </c>
      <c r="CL85" s="278">
        <f t="shared" si="180"/>
        <v>4.8329840640089069E-3</v>
      </c>
      <c r="CM85" s="278">
        <f t="shared" si="180"/>
        <v>3.4475518870806638E-3</v>
      </c>
      <c r="CN85" s="278">
        <f t="shared" si="179"/>
        <v>8.5157426888641478E-3</v>
      </c>
      <c r="CO85" s="278">
        <f t="shared" si="179"/>
        <v>9.0777099845073348E-3</v>
      </c>
      <c r="CP85" s="278">
        <f t="shared" si="179"/>
        <v>9.9141482598003993E-3</v>
      </c>
      <c r="CQ85" s="278">
        <f t="shared" si="179"/>
        <v>9.8611495683630073E-3</v>
      </c>
      <c r="CR85" s="278">
        <f t="shared" si="179"/>
        <v>9.6881544553996685E-3</v>
      </c>
      <c r="CS85" s="278">
        <f t="shared" si="179"/>
        <v>3.8640182450721066E-3</v>
      </c>
      <c r="CT85" s="278">
        <f t="shared" si="179"/>
        <v>4.1190109054702034E-3</v>
      </c>
      <c r="CU85" s="278">
        <f t="shared" si="179"/>
        <v>4.4985447728844311E-3</v>
      </c>
      <c r="CV85" s="278">
        <f t="shared" si="179"/>
        <v>4.6172234671567614E-3</v>
      </c>
      <c r="CW85" s="278">
        <f t="shared" si="179"/>
        <v>5.6163114207410918E-3</v>
      </c>
      <c r="CX85" s="278">
        <f t="shared" si="179"/>
        <v>4.3960000841375994E-3</v>
      </c>
      <c r="CY85" s="278">
        <f t="shared" ref="CY85:DD85" si="181">CY92/CY$22</f>
        <v>4.1313876791599907E-3</v>
      </c>
      <c r="CZ85" s="278">
        <f t="shared" si="181"/>
        <v>4.4040244703522809E-3</v>
      </c>
      <c r="DA85" s="278">
        <f t="shared" si="181"/>
        <v>4.8098200552097806E-3</v>
      </c>
      <c r="DB85" s="278">
        <f t="shared" si="181"/>
        <v>4.9367106815469634E-3</v>
      </c>
      <c r="DC85" s="278">
        <f t="shared" si="181"/>
        <v>6.0049301877823551E-3</v>
      </c>
      <c r="DD85" s="278">
        <f t="shared" si="181"/>
        <v>4.700179821447362E-3</v>
      </c>
      <c r="DE85" s="278">
        <f t="shared" ref="DE85:DJ85" si="182">DE92/DE$22</f>
        <v>7.7355559553045792E-3</v>
      </c>
      <c r="DF85" s="278">
        <f t="shared" si="182"/>
        <v>7.9453582407918253E-3</v>
      </c>
      <c r="DG85" s="278"/>
      <c r="DH85" s="278">
        <f t="shared" si="182"/>
        <v>1.1377024544293124E-2</v>
      </c>
      <c r="DI85" s="278">
        <f t="shared" si="182"/>
        <v>1.3899209489571131E-2</v>
      </c>
      <c r="DJ85" s="278">
        <f t="shared" si="182"/>
        <v>9.8977121269139372E-3</v>
      </c>
      <c r="DK85" s="278">
        <f t="shared" si="179"/>
        <v>2.5656134416978758E-2</v>
      </c>
      <c r="DL85" s="278">
        <f t="shared" si="179"/>
        <v>1.5393680650187255E-2</v>
      </c>
      <c r="DM85" s="278">
        <f t="shared" si="179"/>
        <v>1.9242100812734069E-2</v>
      </c>
      <c r="DN85" s="278">
        <f t="shared" si="179"/>
        <v>1.7492818920667334E-2</v>
      </c>
      <c r="DO85" s="278">
        <f t="shared" si="179"/>
        <v>1.9242100812734069E-2</v>
      </c>
      <c r="DP85" s="278">
        <f t="shared" si="179"/>
        <v>1.9242100812734069E-2</v>
      </c>
      <c r="DQ85" s="278">
        <f t="shared" si="179"/>
        <v>1.9242100812734069E-2</v>
      </c>
      <c r="DR85" s="278">
        <f t="shared" si="179"/>
        <v>1.9250507221925645E-2</v>
      </c>
      <c r="DS85" s="278">
        <f t="shared" ref="DS85" si="183">DS92/DS$22</f>
        <v>3.1855781774047381E-2</v>
      </c>
      <c r="DT85" s="278">
        <f t="shared" si="179"/>
        <v>3.1855781774047381E-2</v>
      </c>
      <c r="DU85" s="278">
        <f t="shared" si="179"/>
        <v>2.6667154618455726E-2</v>
      </c>
      <c r="DV85" s="278">
        <f t="shared" ref="DV85" si="184">DV92/DV$22</f>
        <v>2.2737436474481332E-2</v>
      </c>
      <c r="DW85" s="278">
        <f t="shared" si="179"/>
        <v>2.2737436474481332E-2</v>
      </c>
      <c r="DX85" s="278">
        <f t="shared" si="179"/>
        <v>5.9468543750760196E-2</v>
      </c>
      <c r="DY85" s="278">
        <f t="shared" si="179"/>
        <v>5.9468543750760196E-2</v>
      </c>
      <c r="DZ85" s="278">
        <f t="shared" si="179"/>
        <v>5.9468543750760196E-2</v>
      </c>
      <c r="EA85" s="278">
        <f t="shared" si="179"/>
        <v>5.9468543750760196E-2</v>
      </c>
      <c r="EB85" s="278">
        <f t="shared" si="179"/>
        <v>5.9468543750760196E-2</v>
      </c>
      <c r="EC85" s="278">
        <f t="shared" si="179"/>
        <v>5.9468543750760196E-2</v>
      </c>
      <c r="ED85" s="278">
        <f t="shared" si="179"/>
        <v>5.9468543750760196E-2</v>
      </c>
    </row>
    <row r="86" spans="1:134" x14ac:dyDescent="0.3">
      <c r="A86" s="21" t="str">
        <f>A93</f>
        <v>Vehicle use (including fuel production)</v>
      </c>
      <c r="D86" s="278">
        <f t="shared" si="173"/>
        <v>0.10272971336374727</v>
      </c>
      <c r="E86" s="278">
        <f t="shared" si="173"/>
        <v>6.6427221653518748E-2</v>
      </c>
      <c r="F86" s="278">
        <f t="shared" si="173"/>
        <v>2.3422712933753951E-2</v>
      </c>
      <c r="G86" s="278">
        <f t="shared" si="173"/>
        <v>5.7785463767107838E-2</v>
      </c>
      <c r="H86" s="278">
        <f t="shared" si="173"/>
        <v>5.7785463767107845E-2</v>
      </c>
      <c r="I86" s="278">
        <f t="shared" ref="I86" si="185">I93/I$22</f>
        <v>7.7047285022810455E-2</v>
      </c>
      <c r="J86" s="278">
        <f t="shared" si="173"/>
        <v>7.7047285022810455E-2</v>
      </c>
      <c r="K86" s="278">
        <f t="shared" ref="K86" si="186">K93/K$22</f>
        <v>5.7785463767107838E-2</v>
      </c>
      <c r="L86" s="278">
        <f t="shared" si="173"/>
        <v>7.7047285022810455E-2</v>
      </c>
      <c r="M86" s="278">
        <f t="shared" si="173"/>
        <v>7.7047285022810455E-2</v>
      </c>
      <c r="N86" s="278">
        <f t="shared" si="173"/>
        <v>7.7047285022810455E-2</v>
      </c>
      <c r="O86" s="278">
        <f t="shared" si="173"/>
        <v>7.7047285022810455E-2</v>
      </c>
      <c r="P86" s="278">
        <f t="shared" si="173"/>
        <v>7.7047285022810455E-2</v>
      </c>
      <c r="Q86" s="278">
        <f t="shared" si="173"/>
        <v>0.10272971336374727</v>
      </c>
      <c r="R86" s="278">
        <f t="shared" si="173"/>
        <v>0.10272971336374727</v>
      </c>
      <c r="S86" s="278">
        <f t="shared" si="173"/>
        <v>0.10272971336374727</v>
      </c>
      <c r="T86" s="278">
        <f t="shared" si="173"/>
        <v>0.10272971336374727</v>
      </c>
      <c r="U86" s="278">
        <f t="shared" si="173"/>
        <v>0.11809283849514444</v>
      </c>
      <c r="V86" s="278">
        <f t="shared" si="173"/>
        <v>4.1640378548895907E-2</v>
      </c>
      <c r="W86" s="278">
        <f t="shared" si="173"/>
        <v>0.10272971336374727</v>
      </c>
      <c r="X86" s="278">
        <f t="shared" si="165"/>
        <v>4.504731861198738E-2</v>
      </c>
      <c r="Y86" s="278">
        <f t="shared" si="165"/>
        <v>4.504731861198738E-2</v>
      </c>
      <c r="Z86" s="278">
        <f t="shared" si="165"/>
        <v>0.11113487172987203</v>
      </c>
      <c r="AA86" s="278">
        <f t="shared" si="165"/>
        <v>0.11113487172987203</v>
      </c>
      <c r="AB86" s="278">
        <f t="shared" ref="AB86:AC86" si="187">AB93/AB$22</f>
        <v>0.11113487172987203</v>
      </c>
      <c r="AC86" s="278">
        <f t="shared" si="187"/>
        <v>0.11113487172987203</v>
      </c>
      <c r="AD86" s="278">
        <f t="shared" ref="AD86" si="188">AD93/AD$22</f>
        <v>0.11113487172987203</v>
      </c>
      <c r="AE86" s="278">
        <f t="shared" ref="AE86" si="189">AE93/AE$22</f>
        <v>0.11113487172987203</v>
      </c>
      <c r="AF86" s="278">
        <f t="shared" si="173"/>
        <v>0.10110307291601824</v>
      </c>
      <c r="AG86" s="278">
        <f t="shared" si="173"/>
        <v>0</v>
      </c>
      <c r="AH86" s="278">
        <f t="shared" si="173"/>
        <v>0.19612036187624479</v>
      </c>
      <c r="AI86" s="278">
        <f t="shared" si="173"/>
        <v>0</v>
      </c>
      <c r="AJ86" s="278">
        <f t="shared" si="173"/>
        <v>0.19612036187624482</v>
      </c>
      <c r="AK86" s="278">
        <f t="shared" si="173"/>
        <v>0.79332529947476416</v>
      </c>
      <c r="AL86" s="278">
        <f t="shared" si="173"/>
        <v>0.32699806902134998</v>
      </c>
      <c r="AM86" s="278">
        <f t="shared" si="173"/>
        <v>0.79332529947476405</v>
      </c>
      <c r="AN86" s="278">
        <f t="shared" si="173"/>
        <v>0.32699806902134998</v>
      </c>
      <c r="AO86" s="278">
        <f t="shared" si="173"/>
        <v>2.7820834252890769</v>
      </c>
      <c r="AP86" s="278">
        <f t="shared" si="173"/>
        <v>2.0723682657765576</v>
      </c>
      <c r="AQ86" s="278">
        <f t="shared" si="173"/>
        <v>1.8778581378302071</v>
      </c>
      <c r="AR86" s="278">
        <f t="shared" si="173"/>
        <v>1.7776559507063292</v>
      </c>
      <c r="AS86" s="278">
        <f t="shared" si="173"/>
        <v>2.0435026071120874</v>
      </c>
      <c r="AT86" s="278">
        <f t="shared" si="173"/>
        <v>0.72055361874718349</v>
      </c>
      <c r="AU86" s="278">
        <f t="shared" ref="AU86:BA87" si="190">AU93/AU$22</f>
        <v>1.7776559507063292</v>
      </c>
      <c r="AV86" s="278">
        <f t="shared" si="190"/>
        <v>1.7776559507063292</v>
      </c>
      <c r="AW86" s="278">
        <f t="shared" si="190"/>
        <v>1.7776559507063292</v>
      </c>
      <c r="AX86" s="278">
        <f t="shared" si="190"/>
        <v>1.7776559507063292</v>
      </c>
      <c r="AY86" s="278">
        <f t="shared" si="190"/>
        <v>5.0392084815044722</v>
      </c>
      <c r="AZ86" s="278">
        <f t="shared" si="190"/>
        <v>2.9069477351067898</v>
      </c>
      <c r="BA86" s="278">
        <f t="shared" si="190"/>
        <v>5.5812827867724062</v>
      </c>
      <c r="BB86" s="278">
        <f t="shared" si="173"/>
        <v>1.9443755986699489</v>
      </c>
      <c r="BC86" s="278">
        <f t="shared" ref="BC86:BH87" si="191">BC93/BC$22</f>
        <v>2.3615120249013515</v>
      </c>
      <c r="BD86" s="278">
        <f t="shared" si="191"/>
        <v>2.3615120249013515</v>
      </c>
      <c r="BE86" s="278">
        <f t="shared" si="191"/>
        <v>2.3615120249013515</v>
      </c>
      <c r="BF86" s="278">
        <f t="shared" si="191"/>
        <v>2.3615120249013515</v>
      </c>
      <c r="BG86" s="278">
        <f t="shared" si="191"/>
        <v>2.3615120249013515</v>
      </c>
      <c r="BH86" s="278">
        <f t="shared" si="191"/>
        <v>2.3615120249013515</v>
      </c>
      <c r="BI86" s="278">
        <f>BI93/BI$22</f>
        <v>2.3615120249013515</v>
      </c>
      <c r="BJ86" s="278">
        <f t="shared" si="179"/>
        <v>1.7590854879367213</v>
      </c>
      <c r="BK86" s="278">
        <f t="shared" si="179"/>
        <v>1.6692421517616596</v>
      </c>
      <c r="BL86" s="278">
        <f>BL93/BL$22</f>
        <v>1.5089252412674308</v>
      </c>
      <c r="BM86" s="278">
        <f>BM93/BM$22</f>
        <v>1.5089252412674308</v>
      </c>
      <c r="BN86" s="278">
        <f>BN93/BN$22</f>
        <v>1.5089252412674308</v>
      </c>
      <c r="BO86" s="278">
        <f t="shared" si="179"/>
        <v>1.7345834908279316</v>
      </c>
      <c r="BP86" s="278">
        <f t="shared" si="179"/>
        <v>0.61162653132188183</v>
      </c>
      <c r="BQ86" s="278">
        <f t="shared" ref="BQ86:BS87" si="192">BQ93/BQ$22</f>
        <v>1.5089252412674308</v>
      </c>
      <c r="BR86" s="278">
        <f t="shared" si="192"/>
        <v>1.5089252412674308</v>
      </c>
      <c r="BS86" s="278">
        <f t="shared" si="192"/>
        <v>1.5089252412674308</v>
      </c>
      <c r="BT86" s="278">
        <f t="shared" si="179"/>
        <v>1.5089252412674308</v>
      </c>
      <c r="BU86" s="278">
        <f t="shared" ref="BU86:BW87" si="193">BU93/BU$22</f>
        <v>1.5089252412674308</v>
      </c>
      <c r="BV86" s="278">
        <f t="shared" si="193"/>
        <v>1.5089252412674308</v>
      </c>
      <c r="BW86" s="278">
        <f t="shared" si="193"/>
        <v>1.5089252412674308</v>
      </c>
      <c r="BX86" s="278">
        <f t="shared" si="179"/>
        <v>1.7345834908279316</v>
      </c>
      <c r="BY86" s="278">
        <f t="shared" si="179"/>
        <v>0.61162653132188183</v>
      </c>
      <c r="BZ86" s="278">
        <f t="shared" ref="BZ86:CB87" si="194">BZ93/BZ$22</f>
        <v>1.5089252412674308</v>
      </c>
      <c r="CA86" s="278">
        <f t="shared" si="194"/>
        <v>1.5089252412674308</v>
      </c>
      <c r="CB86" s="278">
        <f t="shared" si="194"/>
        <v>1.5089252412674308</v>
      </c>
      <c r="CC86" s="278">
        <f t="shared" si="179"/>
        <v>1.5089252412674308</v>
      </c>
      <c r="CD86" s="278">
        <f t="shared" ref="CD86:CF87" si="195">CD93/CD$22</f>
        <v>5.0392084815044722</v>
      </c>
      <c r="CE86" s="278">
        <f t="shared" si="195"/>
        <v>2.9069477351067898</v>
      </c>
      <c r="CF86" s="278">
        <f t="shared" si="195"/>
        <v>5.5812827867724062</v>
      </c>
      <c r="CG86" s="278">
        <f t="shared" si="179"/>
        <v>1.6504416493932939</v>
      </c>
      <c r="CH86" s="278">
        <f t="shared" ref="CH86:CM86" si="196">CH93/CH$22</f>
        <v>2.3615120249013515</v>
      </c>
      <c r="CI86" s="278">
        <f t="shared" si="196"/>
        <v>1.7590854879367213</v>
      </c>
      <c r="CJ86" s="278">
        <f t="shared" si="196"/>
        <v>1.6692421517616596</v>
      </c>
      <c r="CK86" s="278">
        <f t="shared" si="196"/>
        <v>1.5089252412674308</v>
      </c>
      <c r="CL86" s="278">
        <f t="shared" si="196"/>
        <v>1.5089252412674308</v>
      </c>
      <c r="CM86" s="278">
        <f t="shared" si="196"/>
        <v>1.6504416493932939</v>
      </c>
      <c r="CN86" s="278">
        <f t="shared" si="179"/>
        <v>3.6207997520306359</v>
      </c>
      <c r="CO86" s="278">
        <f t="shared" si="179"/>
        <v>2.665422433867342</v>
      </c>
      <c r="CP86" s="278">
        <f t="shared" si="179"/>
        <v>2.1396056271539381</v>
      </c>
      <c r="CQ86" s="278">
        <f t="shared" si="179"/>
        <v>1.8687303024833966</v>
      </c>
      <c r="CR86" s="278">
        <f t="shared" si="179"/>
        <v>2.2219278658164772</v>
      </c>
      <c r="CS86" s="278">
        <f t="shared" si="179"/>
        <v>3.0734384441730818</v>
      </c>
      <c r="CT86" s="278">
        <f t="shared" si="179"/>
        <v>2.2624868369522462</v>
      </c>
      <c r="CU86" s="278">
        <f t="shared" si="179"/>
        <v>2.0196144650566312</v>
      </c>
      <c r="CV86" s="278">
        <f t="shared" si="179"/>
        <v>1.5862317572858324</v>
      </c>
      <c r="CW86" s="278">
        <f t="shared" si="179"/>
        <v>1.5862317572858324</v>
      </c>
      <c r="CX86" s="278">
        <f t="shared" si="179"/>
        <v>1.8860359563242781</v>
      </c>
      <c r="CY86" s="278">
        <f t="shared" ref="CY86:DD86" si="197">CY93/CY$22</f>
        <v>3.2861039766328464</v>
      </c>
      <c r="CZ86" s="278">
        <f t="shared" si="197"/>
        <v>2.4190388475434701</v>
      </c>
      <c r="DA86" s="278">
        <f t="shared" si="197"/>
        <v>2.1289519544260247</v>
      </c>
      <c r="DB86" s="278">
        <f t="shared" si="197"/>
        <v>1.6959905266235866</v>
      </c>
      <c r="DC86" s="278">
        <f t="shared" si="197"/>
        <v>1.6959905266235866</v>
      </c>
      <c r="DD86" s="278">
        <f t="shared" si="197"/>
        <v>2.0165395756989879</v>
      </c>
      <c r="DE86" s="278">
        <f t="shared" ref="DE86:DJ86" si="198">DE93/DE$22</f>
        <v>5.6069677049935107</v>
      </c>
      <c r="DF86" s="278">
        <f t="shared" si="198"/>
        <v>4.1275238981326954</v>
      </c>
      <c r="DG86" s="278"/>
      <c r="DH86" s="278">
        <f t="shared" si="198"/>
        <v>4.0046246927913316</v>
      </c>
      <c r="DI86" s="278">
        <f t="shared" si="198"/>
        <v>4.0046246927913316</v>
      </c>
      <c r="DJ86" s="278">
        <f t="shared" si="198"/>
        <v>4.0692946445145504</v>
      </c>
      <c r="DK86" s="278">
        <f t="shared" si="179"/>
        <v>14.775703441959346</v>
      </c>
      <c r="DL86" s="278">
        <f t="shared" si="179"/>
        <v>14.775703441959346</v>
      </c>
      <c r="DM86" s="278">
        <f t="shared" si="179"/>
        <v>13.298133097763413</v>
      </c>
      <c r="DN86" s="278">
        <f t="shared" si="179"/>
        <v>13.432457674508496</v>
      </c>
      <c r="DO86" s="278">
        <f t="shared" si="179"/>
        <v>14.775703441959346</v>
      </c>
      <c r="DP86" s="278">
        <f t="shared" si="179"/>
        <v>14.775703441959346</v>
      </c>
      <c r="DQ86" s="278">
        <f t="shared" si="179"/>
        <v>14.775703441959346</v>
      </c>
      <c r="DR86" s="278">
        <f t="shared" si="179"/>
        <v>10.877014507162981</v>
      </c>
      <c r="DS86" s="278">
        <f t="shared" ref="DS86" si="199">DS93/DS$22</f>
        <v>4.6811356466876974</v>
      </c>
      <c r="DT86" s="278">
        <f t="shared" si="179"/>
        <v>11.548687595055442</v>
      </c>
      <c r="DU86" s="278">
        <f t="shared" si="179"/>
        <v>11.548687595055442</v>
      </c>
      <c r="DV86" s="278">
        <f t="shared" ref="DV86" si="200">DV93/DV$22</f>
        <v>15.748461646178908</v>
      </c>
      <c r="DW86" s="278">
        <f t="shared" si="179"/>
        <v>10.533703159370685</v>
      </c>
      <c r="DX86" s="278">
        <f t="shared" si="179"/>
        <v>165.4986059028692</v>
      </c>
      <c r="DY86" s="278">
        <f t="shared" si="179"/>
        <v>165.4986059028692</v>
      </c>
      <c r="DZ86" s="278">
        <f t="shared" si="179"/>
        <v>165.4986059028692</v>
      </c>
      <c r="EA86" s="278">
        <f t="shared" si="179"/>
        <v>165.4986059028692</v>
      </c>
      <c r="EB86" s="278">
        <f t="shared" si="179"/>
        <v>165.4986059028692</v>
      </c>
      <c r="EC86" s="278">
        <f t="shared" si="179"/>
        <v>165.4986059028692</v>
      </c>
      <c r="ED86" s="278">
        <f t="shared" si="179"/>
        <v>165.4986059028692</v>
      </c>
    </row>
    <row r="87" spans="1:134" x14ac:dyDescent="0.3">
      <c r="A87" s="21" t="str">
        <f>A94</f>
        <v>Operational services</v>
      </c>
      <c r="D87" s="278">
        <f t="shared" si="173"/>
        <v>0</v>
      </c>
      <c r="E87" s="278">
        <f t="shared" si="173"/>
        <v>3.0067113331269595</v>
      </c>
      <c r="F87" s="278">
        <f t="shared" si="173"/>
        <v>5.8800565552279291E-2</v>
      </c>
      <c r="G87" s="278">
        <f t="shared" si="173"/>
        <v>1.0022371110423198</v>
      </c>
      <c r="H87" s="278">
        <f t="shared" si="173"/>
        <v>0.33407903701410657</v>
      </c>
      <c r="I87" s="278">
        <f t="shared" ref="I87" si="201">I94/I$22</f>
        <v>0.1072537805997188</v>
      </c>
      <c r="J87" s="278">
        <f t="shared" si="173"/>
        <v>0.26460254498525682</v>
      </c>
      <c r="K87" s="278">
        <f t="shared" ref="K87" si="202">K94/K$22</f>
        <v>0.33407903701410663</v>
      </c>
      <c r="L87" s="278">
        <f t="shared" si="173"/>
        <v>1.0022371110423198</v>
      </c>
      <c r="M87" s="278">
        <f t="shared" si="173"/>
        <v>0.25055927776057996</v>
      </c>
      <c r="N87" s="278">
        <f t="shared" si="173"/>
        <v>0.75167783328173987</v>
      </c>
      <c r="O87" s="278">
        <f t="shared" si="173"/>
        <v>0.50111855552115991</v>
      </c>
      <c r="P87" s="278">
        <f t="shared" si="173"/>
        <v>0.50111855552115991</v>
      </c>
      <c r="Q87" s="278">
        <f t="shared" si="173"/>
        <v>0.50111855552115991</v>
      </c>
      <c r="R87" s="278">
        <f t="shared" si="173"/>
        <v>0.50111855552115991</v>
      </c>
      <c r="S87" s="278">
        <f t="shared" si="173"/>
        <v>0.50111855552115991</v>
      </c>
      <c r="T87" s="278">
        <f t="shared" si="173"/>
        <v>0.50111855552115991</v>
      </c>
      <c r="U87" s="278">
        <f t="shared" si="173"/>
        <v>0.50111855552115991</v>
      </c>
      <c r="V87" s="278">
        <f t="shared" si="173"/>
        <v>0.50111855552115991</v>
      </c>
      <c r="W87" s="278">
        <f t="shared" si="173"/>
        <v>0.50111855552115991</v>
      </c>
      <c r="X87" s="278">
        <f t="shared" si="165"/>
        <v>1.6953768915189696E-2</v>
      </c>
      <c r="Y87" s="278">
        <f t="shared" si="165"/>
        <v>0.35645658958233067</v>
      </c>
      <c r="Z87" s="278">
        <f t="shared" si="165"/>
        <v>0.17822829479116534</v>
      </c>
      <c r="AA87" s="278">
        <f t="shared" si="165"/>
        <v>0.23763772638822042</v>
      </c>
      <c r="AB87" s="278">
        <f t="shared" ref="AB87:AC87" si="203">AB94/AB$22</f>
        <v>0.35645658958233067</v>
      </c>
      <c r="AC87" s="278">
        <f t="shared" si="203"/>
        <v>7.6291960118353624E-2</v>
      </c>
      <c r="AD87" s="278">
        <f t="shared" ref="AD87" si="204">AD94/AD$22</f>
        <v>0.23763772638822045</v>
      </c>
      <c r="AE87" s="278">
        <f t="shared" ref="AE87" si="205">AE94/AE$22</f>
        <v>0.35645658958233067</v>
      </c>
      <c r="AF87" s="278">
        <f t="shared" si="173"/>
        <v>0.76413840782992193</v>
      </c>
      <c r="AG87" s="278">
        <f t="shared" si="173"/>
        <v>0</v>
      </c>
      <c r="AH87" s="278">
        <f t="shared" si="173"/>
        <v>0</v>
      </c>
      <c r="AI87" s="278">
        <f t="shared" si="173"/>
        <v>0.35645658958233067</v>
      </c>
      <c r="AJ87" s="278">
        <f t="shared" si="173"/>
        <v>0.35645658958233067</v>
      </c>
      <c r="AK87" s="278">
        <f t="shared" si="173"/>
        <v>0</v>
      </c>
      <c r="AL87" s="278">
        <f t="shared" si="173"/>
        <v>0</v>
      </c>
      <c r="AM87" s="278">
        <f t="shared" si="173"/>
        <v>0</v>
      </c>
      <c r="AN87" s="278">
        <f t="shared" si="173"/>
        <v>0.19504228486580358</v>
      </c>
      <c r="AO87" s="278">
        <f t="shared" si="173"/>
        <v>0</v>
      </c>
      <c r="AP87" s="278">
        <f t="shared" si="173"/>
        <v>0</v>
      </c>
      <c r="AQ87" s="278">
        <f t="shared" si="173"/>
        <v>0</v>
      </c>
      <c r="AR87" s="278">
        <f t="shared" si="173"/>
        <v>0</v>
      </c>
      <c r="AS87" s="278">
        <f t="shared" si="173"/>
        <v>0</v>
      </c>
      <c r="AT87" s="278">
        <f t="shared" si="173"/>
        <v>0</v>
      </c>
      <c r="AU87" s="278">
        <f t="shared" si="190"/>
        <v>0</v>
      </c>
      <c r="AV87" s="278">
        <f t="shared" si="190"/>
        <v>0</v>
      </c>
      <c r="AW87" s="278">
        <f t="shared" si="190"/>
        <v>0</v>
      </c>
      <c r="AX87" s="278">
        <f t="shared" si="190"/>
        <v>0</v>
      </c>
      <c r="AY87" s="278">
        <f t="shared" si="190"/>
        <v>0</v>
      </c>
      <c r="AZ87" s="278">
        <f t="shared" si="190"/>
        <v>0</v>
      </c>
      <c r="BA87" s="278">
        <f t="shared" si="190"/>
        <v>0</v>
      </c>
      <c r="BB87" s="278">
        <f t="shared" si="173"/>
        <v>0</v>
      </c>
      <c r="BC87" s="278">
        <f t="shared" si="191"/>
        <v>0.42057140038772545</v>
      </c>
      <c r="BD87" s="278">
        <f t="shared" si="191"/>
        <v>0.42057140038772545</v>
      </c>
      <c r="BE87" s="278">
        <f t="shared" si="191"/>
        <v>0.42057140038772545</v>
      </c>
      <c r="BF87" s="278">
        <f t="shared" si="191"/>
        <v>0.42057140038772545</v>
      </c>
      <c r="BG87" s="278">
        <f t="shared" si="191"/>
        <v>0.42057140038772545</v>
      </c>
      <c r="BH87" s="278">
        <f t="shared" si="191"/>
        <v>0.42057140038772545</v>
      </c>
      <c r="BI87" s="278">
        <f>BI94/BI$22</f>
        <v>0.42057140038772545</v>
      </c>
      <c r="BJ87" s="278">
        <f t="shared" si="179"/>
        <v>0.31328277783983632</v>
      </c>
      <c r="BK87" s="278">
        <f t="shared" si="179"/>
        <v>0.29728220815727063</v>
      </c>
      <c r="BL87" s="278">
        <f t="shared" si="179"/>
        <v>0.42057140038772545</v>
      </c>
      <c r="BM87" s="278">
        <f t="shared" si="179"/>
        <v>0.31328277783983632</v>
      </c>
      <c r="BN87" s="278">
        <f t="shared" si="179"/>
        <v>0.29728220815727063</v>
      </c>
      <c r="BO87" s="278">
        <f t="shared" si="179"/>
        <v>0.30891911628415569</v>
      </c>
      <c r="BP87" s="278">
        <f t="shared" si="179"/>
        <v>0.10892708742530174</v>
      </c>
      <c r="BQ87" s="278">
        <f t="shared" si="192"/>
        <v>0.26873070943889849</v>
      </c>
      <c r="BR87" s="278">
        <f t="shared" si="192"/>
        <v>0.26873070943889849</v>
      </c>
      <c r="BS87" s="278">
        <f t="shared" si="192"/>
        <v>0.26873070943889849</v>
      </c>
      <c r="BT87" s="278">
        <f t="shared" si="179"/>
        <v>0.26873070943889849</v>
      </c>
      <c r="BU87" s="278">
        <f t="shared" si="193"/>
        <v>0.26873070943889849</v>
      </c>
      <c r="BV87" s="278">
        <f t="shared" si="193"/>
        <v>0.26873070943889849</v>
      </c>
      <c r="BW87" s="278">
        <f t="shared" si="193"/>
        <v>0.26873070943889849</v>
      </c>
      <c r="BX87" s="278">
        <f t="shared" si="179"/>
        <v>0.30891911628415569</v>
      </c>
      <c r="BY87" s="278">
        <f t="shared" si="179"/>
        <v>0.10892708742530174</v>
      </c>
      <c r="BZ87" s="278">
        <f t="shared" si="194"/>
        <v>0.26873070943889849</v>
      </c>
      <c r="CA87" s="278">
        <f t="shared" si="194"/>
        <v>0.26873070943889849</v>
      </c>
      <c r="CB87" s="278">
        <f t="shared" si="194"/>
        <v>0.26873070943889849</v>
      </c>
      <c r="CC87" s="278">
        <f t="shared" si="179"/>
        <v>0.26873070943889849</v>
      </c>
      <c r="CD87" s="278">
        <f t="shared" si="195"/>
        <v>0.89745338815311426</v>
      </c>
      <c r="CE87" s="278">
        <f t="shared" si="195"/>
        <v>0.51771029192995988</v>
      </c>
      <c r="CF87" s="278">
        <f t="shared" si="195"/>
        <v>0.99399363324894929</v>
      </c>
      <c r="CG87" s="278">
        <f t="shared" si="179"/>
        <v>0.29393394927665512</v>
      </c>
      <c r="CH87" s="278">
        <f t="shared" ref="CH87:CM87" si="206">CH94/CH$22</f>
        <v>0.42057140038772545</v>
      </c>
      <c r="CI87" s="278">
        <f t="shared" si="206"/>
        <v>0.31328277783983632</v>
      </c>
      <c r="CJ87" s="278">
        <f t="shared" si="206"/>
        <v>0.29728220815727063</v>
      </c>
      <c r="CK87" s="278">
        <f t="shared" si="206"/>
        <v>0.26873070943889849</v>
      </c>
      <c r="CL87" s="278">
        <f t="shared" si="206"/>
        <v>0.26873070943889849</v>
      </c>
      <c r="CM87" s="278">
        <f t="shared" si="206"/>
        <v>0.29393394927665512</v>
      </c>
      <c r="CN87" s="278">
        <f t="shared" si="179"/>
        <v>0</v>
      </c>
      <c r="CO87" s="278">
        <f t="shared" si="179"/>
        <v>0</v>
      </c>
      <c r="CP87" s="278">
        <f t="shared" si="179"/>
        <v>0</v>
      </c>
      <c r="CQ87" s="278">
        <f t="shared" si="179"/>
        <v>0</v>
      </c>
      <c r="CR87" s="278">
        <f t="shared" si="179"/>
        <v>0</v>
      </c>
      <c r="CS87" s="278">
        <f t="shared" si="179"/>
        <v>0.54736130785755432</v>
      </c>
      <c r="CT87" s="278">
        <f t="shared" si="179"/>
        <v>0.40293559691509545</v>
      </c>
      <c r="CU87" s="278">
        <f t="shared" si="179"/>
        <v>0.35968145614149755</v>
      </c>
      <c r="CV87" s="278">
        <f t="shared" si="179"/>
        <v>0.28249854519756395</v>
      </c>
      <c r="CW87" s="278">
        <f t="shared" si="179"/>
        <v>0.28249854519756395</v>
      </c>
      <c r="CX87" s="278">
        <f t="shared" si="179"/>
        <v>0.3358919094921991</v>
      </c>
      <c r="CY87" s="278">
        <f t="shared" ref="CY87:DD87" si="207">CY94/CY$22</f>
        <v>0.33469577539778989</v>
      </c>
      <c r="CZ87" s="278">
        <f t="shared" si="207"/>
        <v>0.24638358632387194</v>
      </c>
      <c r="DA87" s="278">
        <f t="shared" si="207"/>
        <v>0.21683769906190992</v>
      </c>
      <c r="DB87" s="278">
        <f t="shared" si="207"/>
        <v>0.17273977585980974</v>
      </c>
      <c r="DC87" s="278">
        <f t="shared" si="207"/>
        <v>0.17273977585980974</v>
      </c>
      <c r="DD87" s="278">
        <f t="shared" si="207"/>
        <v>0.20538829011748949</v>
      </c>
      <c r="DE87" s="278">
        <f t="shared" ref="DE87:DJ87" si="208">DE94/DE$22</f>
        <v>0.57108004402711676</v>
      </c>
      <c r="DF87" s="278">
        <f t="shared" si="208"/>
        <v>0.42039595258758927</v>
      </c>
      <c r="DG87" s="278"/>
      <c r="DH87" s="278">
        <f t="shared" si="208"/>
        <v>0</v>
      </c>
      <c r="DI87" s="278">
        <f t="shared" si="208"/>
        <v>0</v>
      </c>
      <c r="DJ87" s="278">
        <f t="shared" si="208"/>
        <v>0</v>
      </c>
      <c r="DK87" s="278">
        <f t="shared" si="179"/>
        <v>1.641744826884372</v>
      </c>
      <c r="DL87" s="278">
        <f t="shared" si="179"/>
        <v>1.6417448268843717</v>
      </c>
      <c r="DM87" s="278">
        <f t="shared" si="179"/>
        <v>1.4775703441959349</v>
      </c>
      <c r="DN87" s="278">
        <f t="shared" si="179"/>
        <v>2.9849905943352217</v>
      </c>
      <c r="DO87" s="278">
        <f t="shared" si="179"/>
        <v>1.641744826884372</v>
      </c>
      <c r="DP87" s="278">
        <f t="shared" si="179"/>
        <v>1.641744826884372</v>
      </c>
      <c r="DQ87" s="278">
        <f t="shared" si="179"/>
        <v>1.641744826884372</v>
      </c>
      <c r="DR87" s="278">
        <f t="shared" si="179"/>
        <v>1.2085571674625535</v>
      </c>
      <c r="DS87" s="278">
        <f t="shared" ref="DS87" si="209">DS94/DS$22</f>
        <v>0.52012618296529978</v>
      </c>
      <c r="DT87" s="278">
        <f t="shared" si="179"/>
        <v>1.2831875105617161</v>
      </c>
      <c r="DU87" s="278">
        <f t="shared" si="179"/>
        <v>1.2831875105617161</v>
      </c>
      <c r="DV87" s="278">
        <f t="shared" ref="DV87" si="210">DV94/DV$22</f>
        <v>1.7498290717976568</v>
      </c>
      <c r="DW87" s="278">
        <f t="shared" si="179"/>
        <v>1.1704114621522983</v>
      </c>
      <c r="DX87" s="278">
        <f t="shared" si="179"/>
        <v>0</v>
      </c>
      <c r="DY87" s="278">
        <f t="shared" si="179"/>
        <v>0</v>
      </c>
      <c r="DZ87" s="278">
        <f t="shared" si="179"/>
        <v>0</v>
      </c>
      <c r="EA87" s="278">
        <f t="shared" si="179"/>
        <v>0</v>
      </c>
      <c r="EB87" s="278">
        <f t="shared" si="179"/>
        <v>0</v>
      </c>
      <c r="EC87" s="278">
        <f t="shared" si="179"/>
        <v>0</v>
      </c>
      <c r="ED87" s="278">
        <f t="shared" si="179"/>
        <v>0</v>
      </c>
    </row>
    <row r="88" spans="1:134" x14ac:dyDescent="0.3">
      <c r="A88" s="21" t="str">
        <f>A95</f>
        <v>Infrastructure network (from the vehicleperspective)</v>
      </c>
      <c r="D88" s="21">
        <f>'5_Infrastructure'!D56</f>
        <v>2.7627731661023575E-2</v>
      </c>
      <c r="E88" s="21">
        <f>'5_Infrastructure'!G56</f>
        <v>2.7627731661023575E-2</v>
      </c>
      <c r="F88" s="21">
        <f>'5_Infrastructure'!H56</f>
        <v>2.7627731661023575E-2</v>
      </c>
      <c r="G88" s="21">
        <f>'5_Infrastructure'!J56</f>
        <v>2.7627731661023575E-2</v>
      </c>
      <c r="H88" s="21">
        <f>'5_Infrastructure'!K56</f>
        <v>2.7627731661023575E-2</v>
      </c>
      <c r="I88" s="21">
        <f>'5_Infrastructure'!K56</f>
        <v>2.7627731661023575E-2</v>
      </c>
      <c r="J88" s="21">
        <f>'5_Infrastructure'!L56</f>
        <v>2.7627731661023575E-2</v>
      </c>
      <c r="K88" s="21">
        <f>'5_Infrastructure'!M56</f>
        <v>2.7627731661023575E-2</v>
      </c>
      <c r="L88" s="21">
        <f>'5_Infrastructure'!L56</f>
        <v>2.7627731661023575E-2</v>
      </c>
      <c r="M88" s="21">
        <f>'5_Infrastructure'!L56</f>
        <v>2.7627731661023575E-2</v>
      </c>
      <c r="N88" s="21">
        <f>'5_Infrastructure'!N56</f>
        <v>2.7627731661023575E-2</v>
      </c>
      <c r="O88" s="21">
        <f>'5_Infrastructure'!N56</f>
        <v>2.7627731661023575E-2</v>
      </c>
      <c r="P88" s="21">
        <f>'5_Infrastructure'!O56</f>
        <v>2.7627731661023575E-2</v>
      </c>
      <c r="Q88" s="21">
        <f>'5_Infrastructure'!N56</f>
        <v>2.7627731661023575E-2</v>
      </c>
      <c r="R88" s="21">
        <f>'5_Infrastructure'!O56</f>
        <v>2.7627731661023575E-2</v>
      </c>
      <c r="S88" s="21">
        <f>'5_Infrastructure'!P56</f>
        <v>2.7627731661023575E-2</v>
      </c>
      <c r="T88" s="21">
        <f>'5_Infrastructure'!S56</f>
        <v>2.7652368632868705E-2</v>
      </c>
      <c r="U88" s="21">
        <f>'5_Infrastructure'!S56</f>
        <v>2.7652368632868705E-2</v>
      </c>
      <c r="V88" s="21">
        <f>'5_Infrastructure'!T56</f>
        <v>2.7627731661023575E-2</v>
      </c>
      <c r="W88" s="21">
        <f>'5_Infrastructure'!W56</f>
        <v>2.7627731661023575E-2</v>
      </c>
      <c r="X88" s="21">
        <f>'5_Infrastructure'!X56</f>
        <v>2.7752305233719292E-2</v>
      </c>
      <c r="Y88" s="21">
        <f>'5_Infrastructure'!Y56</f>
        <v>2.7752305233719292E-2</v>
      </c>
      <c r="Z88" s="21">
        <f>'5_Infrastructure'!Z56</f>
        <v>2.7752305233719292E-2</v>
      </c>
      <c r="AA88" s="21">
        <f>'5_Infrastructure'!AA56</f>
        <v>2.7752305233719292E-2</v>
      </c>
      <c r="AB88" s="21">
        <f>'5_Infrastructure'!AB56</f>
        <v>2.7752305233719292E-2</v>
      </c>
      <c r="AC88" s="21">
        <f>'5_Infrastructure'!AC56</f>
        <v>2.7752305233719292E-2</v>
      </c>
      <c r="AD88" s="21">
        <f>'5_Infrastructure'!AD56</f>
        <v>2.7752305233719292E-2</v>
      </c>
      <c r="AE88" s="21">
        <f>'5_Infrastructure'!AE56</f>
        <v>2.7752305233719292E-2</v>
      </c>
      <c r="AF88" s="21">
        <f>'5_Infrastructure'!AF56</f>
        <v>2.7627731661023575E-2</v>
      </c>
      <c r="AG88" s="21">
        <f>'5_Infrastructure'!AG56</f>
        <v>2.7716152958755239E-2</v>
      </c>
      <c r="AH88" s="21">
        <f>'5_Infrastructure'!AH56</f>
        <v>2.7740166028967599E-2</v>
      </c>
      <c r="AI88" s="21">
        <f>'5_Infrastructure'!AI56</f>
        <v>2.7770390396550708E-2</v>
      </c>
      <c r="AJ88" s="21">
        <f>'5_Infrastructure'!AJ56</f>
        <v>2.7808427605798137E-2</v>
      </c>
      <c r="AK88" s="21">
        <f>'5_Infrastructure'!AK56</f>
        <v>3.3347863362650804E-2</v>
      </c>
      <c r="AL88" s="21">
        <f>'5_Infrastructure'!AL56</f>
        <v>3.3229403147663539E-2</v>
      </c>
      <c r="AM88" s="21">
        <f>'5_Infrastructure'!AM56</f>
        <v>3.3347863362650804E-2</v>
      </c>
      <c r="AN88" s="21">
        <f>'5_Infrastructure'!AN56</f>
        <v>3.3229403147663539E-2</v>
      </c>
      <c r="AO88" s="21">
        <f>'5_Infrastructure'!AO56</f>
        <v>5.4761204104258526E-2</v>
      </c>
      <c r="AP88" s="21">
        <f>'5_Infrastructure'!AP56</f>
        <v>5.5816493732271613E-2</v>
      </c>
      <c r="AQ88" s="21">
        <f>'5_Infrastructure'!AQ56</f>
        <v>5.6782761438129888E-2</v>
      </c>
      <c r="AR88" s="21">
        <f>'5_Infrastructure'!AR56</f>
        <v>5.353531158227285E-2</v>
      </c>
      <c r="AS88" s="21">
        <f>'5_Infrastructure'!AS56</f>
        <v>5.353531158227285E-2</v>
      </c>
      <c r="AT88" s="21">
        <f>'5_Infrastructure'!AT56</f>
        <v>5.353531158227285E-2</v>
      </c>
      <c r="AU88" s="21">
        <f>'5_Infrastructure'!AU56</f>
        <v>5.353531158227285E-2</v>
      </c>
      <c r="AV88" s="21">
        <f>'5_Infrastructure'!AV56</f>
        <v>5.353531158227285E-2</v>
      </c>
      <c r="AW88" s="21">
        <f>'5_Infrastructure'!AW56</f>
        <v>5.353531158227285E-2</v>
      </c>
      <c r="AX88" s="21">
        <f>'5_Infrastructure'!AX56</f>
        <v>5.353531158227285E-2</v>
      </c>
      <c r="AY88" s="21">
        <f>'5_Infrastructure'!AY56</f>
        <v>5.698971863071621E-2</v>
      </c>
      <c r="AZ88" s="21">
        <f>'5_Infrastructure'!AZ56</f>
        <v>5.698971863071621E-2</v>
      </c>
      <c r="BA88" s="21">
        <f>'5_Infrastructure'!BA56</f>
        <v>5.698971863071621E-2</v>
      </c>
      <c r="BB88" s="21">
        <f>'5_Infrastructure'!BB56</f>
        <v>5.698971863071621E-2</v>
      </c>
      <c r="BC88" s="21">
        <f>'5_Infrastructure'!BC56</f>
        <v>4.8247195898292433E-2</v>
      </c>
      <c r="BD88" s="21">
        <f>'5_Infrastructure'!BD56</f>
        <v>4.8247195898292433E-2</v>
      </c>
      <c r="BE88" s="21">
        <f>'5_Infrastructure'!BE56</f>
        <v>4.8247195898292433E-2</v>
      </c>
      <c r="BF88" s="21">
        <f>'5_Infrastructure'!BF56</f>
        <v>4.8247195898292433E-2</v>
      </c>
      <c r="BG88" s="21">
        <f>'5_Infrastructure'!BG56</f>
        <v>4.8247195898292433E-2</v>
      </c>
      <c r="BH88" s="21">
        <f>'5_Infrastructure'!BH56</f>
        <v>4.8247195898292433E-2</v>
      </c>
      <c r="BI88" s="21">
        <f>'5_Infrastructure'!BI56</f>
        <v>4.8247195898292433E-2</v>
      </c>
      <c r="BJ88" s="21">
        <f>'5_Infrastructure'!BJ56</f>
        <v>4.9176955684349148E-2</v>
      </c>
      <c r="BK88" s="21">
        <f>'5_Infrastructure'!BK56</f>
        <v>5.0028282970834295E-2</v>
      </c>
      <c r="BL88" s="21">
        <f>'5_Infrastructure'!BL56</f>
        <v>4.7167126940241617E-2</v>
      </c>
      <c r="BM88" s="21">
        <f>'5_Infrastructure'!BM56</f>
        <v>4.7167126940241617E-2</v>
      </c>
      <c r="BN88" s="21">
        <f>'5_Infrastructure'!BN56</f>
        <v>4.7167126940241617E-2</v>
      </c>
      <c r="BO88" s="21">
        <f>'5_Infrastructure'!BO56</f>
        <v>4.7167126940241617E-2</v>
      </c>
      <c r="BP88" s="21">
        <f>'5_Infrastructure'!BP56</f>
        <v>4.7167126940241617E-2</v>
      </c>
      <c r="BQ88" s="21">
        <f>'5_Infrastructure'!BQ56</f>
        <v>4.7167126940241617E-2</v>
      </c>
      <c r="BR88" s="21">
        <f>'5_Infrastructure'!BR56</f>
        <v>4.7167126940241617E-2</v>
      </c>
      <c r="BS88" s="21">
        <f>'5_Infrastructure'!BS56</f>
        <v>4.7167126940241617E-2</v>
      </c>
      <c r="BT88" s="21">
        <f>'5_Infrastructure'!BT56</f>
        <v>4.7167126940241617E-2</v>
      </c>
      <c r="BU88" s="21">
        <f>'5_Infrastructure'!BU56</f>
        <v>4.7167126940241617E-2</v>
      </c>
      <c r="BV88" s="21">
        <f>'5_Infrastructure'!BV56</f>
        <v>4.7167126940241617E-2</v>
      </c>
      <c r="BW88" s="21">
        <f>'5_Infrastructure'!BW56</f>
        <v>4.7167126940241617E-2</v>
      </c>
      <c r="BX88" s="21">
        <f>'5_Infrastructure'!BX56</f>
        <v>4.7167126940241617E-2</v>
      </c>
      <c r="BY88" s="21">
        <f>'5_Infrastructure'!BY56</f>
        <v>4.7167126940241617E-2</v>
      </c>
      <c r="BZ88" s="21">
        <f>'5_Infrastructure'!BZ56</f>
        <v>4.7167126940241617E-2</v>
      </c>
      <c r="CA88" s="21">
        <f>'5_Infrastructure'!CA56</f>
        <v>4.7167126940241617E-2</v>
      </c>
      <c r="CB88" s="21">
        <f>'5_Infrastructure'!CB56</f>
        <v>4.7167126940241617E-2</v>
      </c>
      <c r="CC88" s="21">
        <f>'5_Infrastructure'!CC56</f>
        <v>4.7167126940241617E-2</v>
      </c>
      <c r="CD88" s="21">
        <f>'5_Infrastructure'!CD56</f>
        <v>5.0210621989426052E-2</v>
      </c>
      <c r="CE88" s="21">
        <f>'5_Infrastructure'!CE56</f>
        <v>5.0210621989426052E-2</v>
      </c>
      <c r="CF88" s="21">
        <f>'5_Infrastructure'!CF56</f>
        <v>5.0210621989426052E-2</v>
      </c>
      <c r="CG88" s="21">
        <f>'5_Infrastructure'!CG56</f>
        <v>5.0210621989426052E-2</v>
      </c>
      <c r="CH88" s="21">
        <f>'5_Infrastructure'!CH56</f>
        <v>4.8247195898292433E-2</v>
      </c>
      <c r="CI88" s="21">
        <f>'5_Infrastructure'!CI56</f>
        <v>4.9176955684349148E-2</v>
      </c>
      <c r="CJ88" s="21">
        <f>'5_Infrastructure'!CJ56</f>
        <v>5.0028282970834295E-2</v>
      </c>
      <c r="CK88" s="21">
        <f>'5_Infrastructure'!CK56</f>
        <v>4.7167126940241617E-2</v>
      </c>
      <c r="CL88" s="21">
        <f>'5_Infrastructure'!CL56</f>
        <v>4.7167126940241617E-2</v>
      </c>
      <c r="CM88" s="21">
        <f>'5_Infrastructure'!CM56</f>
        <v>5.0210621989426052E-2</v>
      </c>
      <c r="CN88" s="21">
        <f>'5_Infrastructure'!CN56</f>
        <v>5.9642158387071889E-2</v>
      </c>
      <c r="CO88" s="21">
        <f>'5_Infrastructure'!CO56</f>
        <v>6.0899966326746352E-2</v>
      </c>
      <c r="CP88" s="21">
        <f>'5_Infrastructure'!CP56</f>
        <v>6.2047409227453068E-2</v>
      </c>
      <c r="CQ88" s="21">
        <f>'5_Infrastructure'!CQ56</f>
        <v>5.8183206332109348E-2</v>
      </c>
      <c r="CR88" s="21">
        <f>'5_Infrastructure'!CR56</f>
        <v>6.2543489354794868E-2</v>
      </c>
      <c r="CS88" s="21">
        <f>'5_Infrastructure'!CS56</f>
        <v>5.2547546142694614E-2</v>
      </c>
      <c r="CT88" s="21">
        <f>'5_Infrastructure'!CT56</f>
        <v>5.365573408451494E-2</v>
      </c>
      <c r="CU88" s="21">
        <f>'5_Infrastructure'!CU56</f>
        <v>5.4666685237216066E-2</v>
      </c>
      <c r="CV88" s="21">
        <f>'5_Infrastructure'!CV56</f>
        <v>5.1262140776735542E-2</v>
      </c>
      <c r="CW88" s="21">
        <f>'5_Infrastructure'!CW56</f>
        <v>5.1262140776735542E-2</v>
      </c>
      <c r="CX88" s="21">
        <f>'5_Infrastructure'!CX56</f>
        <v>5.5103755156999813E-2</v>
      </c>
      <c r="CY88" s="21">
        <f>'5_Infrastructure'!CY56</f>
        <v>5.2547546142694614E-2</v>
      </c>
      <c r="CZ88" s="21">
        <f>'5_Infrastructure'!CZ56</f>
        <v>5.365573408451494E-2</v>
      </c>
      <c r="DA88" s="21">
        <f>'5_Infrastructure'!DA56</f>
        <v>5.4666685237216066E-2</v>
      </c>
      <c r="DB88" s="21">
        <f>'5_Infrastructure'!DB56</f>
        <v>5.1262140776735542E-2</v>
      </c>
      <c r="DC88" s="21">
        <f>'5_Infrastructure'!DC56</f>
        <v>5.1262140776735542E-2</v>
      </c>
      <c r="DD88" s="21">
        <f>'5_Infrastructure'!DD56</f>
        <v>5.5103755156999813E-2</v>
      </c>
      <c r="DE88" s="21">
        <f>'5_Infrastructure'!DE56</f>
        <v>7.0169755545094747E-2</v>
      </c>
      <c r="DF88" s="21">
        <f>'5_Infrastructure'!DF56</f>
        <v>7.0713734489951982E-2</v>
      </c>
      <c r="DH88" s="21">
        <f>'5_Infrastructure'!DH56</f>
        <v>7.1640334866617209E-2</v>
      </c>
      <c r="DI88" s="21">
        <f>'5_Infrastructure'!DI56</f>
        <v>7.1640334866617209E-2</v>
      </c>
      <c r="DJ88" s="21">
        <f>'5_Infrastructure'!DJ56</f>
        <v>7.5786187143246045E-2</v>
      </c>
      <c r="DK88" s="21">
        <f>'5_Infrastructure'!DK56</f>
        <v>0.16130928404998809</v>
      </c>
      <c r="DL88" s="21">
        <f>'5_Infrastructure'!DL56</f>
        <v>0.16130928404998809</v>
      </c>
      <c r="DM88" s="21">
        <f>'5_Infrastructure'!DM56</f>
        <v>0.68859274240692481</v>
      </c>
      <c r="DN88" s="21">
        <f>'5_Infrastructure'!DN56</f>
        <v>0.16130928404998809</v>
      </c>
      <c r="DO88" s="21">
        <f>'5_Infrastructure'!DO56</f>
        <v>0.16130928404998809</v>
      </c>
      <c r="DP88" s="21">
        <f>'5_Infrastructure'!DP56</f>
        <v>0.16130928404998809</v>
      </c>
      <c r="DQ88" s="21">
        <f>'5_Infrastructure'!DQ56</f>
        <v>0.16130928404998809</v>
      </c>
      <c r="DR88" s="21">
        <f>'5_Infrastructure'!DR56</f>
        <v>0.15929257629807092</v>
      </c>
      <c r="DS88" s="21">
        <f>'5_Infrastructure'!DS56</f>
        <v>0.17581655332423693</v>
      </c>
      <c r="DT88" s="21">
        <f>'5_Infrastructure'!DT56</f>
        <v>0.17581655332423693</v>
      </c>
      <c r="DU88" s="21">
        <f>'5_Infrastructure'!DU56</f>
        <v>0.17581655332423693</v>
      </c>
      <c r="DV88" s="21">
        <f>'5_Infrastructure'!DV56</f>
        <v>0.18191161529232561</v>
      </c>
      <c r="DW88" s="21">
        <f>'5_Infrastructure'!DW56</f>
        <v>0.18191161529232561</v>
      </c>
      <c r="DX88" s="21">
        <f>'5_Infrastructure'!DX56</f>
        <v>9.1878162762562194</v>
      </c>
      <c r="DY88" s="21">
        <f>'5_Infrastructure'!DY56</f>
        <v>15.313027127093696</v>
      </c>
      <c r="DZ88" s="21">
        <f>'5_Infrastructure'!DZ56</f>
        <v>15.313027127093696</v>
      </c>
      <c r="EA88" s="21">
        <f>'5_Infrastructure'!EA56</f>
        <v>9.1878162762562194</v>
      </c>
      <c r="EB88" s="21">
        <f>'5_Infrastructure'!EB56</f>
        <v>11.484770345320273</v>
      </c>
      <c r="EC88" s="21">
        <f>'5_Infrastructure'!EC56</f>
        <v>11.484770345320273</v>
      </c>
      <c r="ED88" s="21">
        <f>'5_Infrastructure'!ED56</f>
        <v>11.484770345320273</v>
      </c>
    </row>
    <row r="90" spans="1:134" x14ac:dyDescent="0.3">
      <c r="A90" s="21" t="s">
        <v>854</v>
      </c>
      <c r="B90" s="21" t="s">
        <v>169</v>
      </c>
      <c r="D90" s="21" t="e">
        <f t="shared" ref="D90:AQ90" ca="1" si="211">SUM(D91:D95)</f>
        <v>#N/A</v>
      </c>
      <c r="E90" s="21" t="e">
        <f t="shared" ca="1" si="211"/>
        <v>#N/A</v>
      </c>
      <c r="F90" s="21" t="e">
        <f t="shared" ca="1" si="211"/>
        <v>#N/A</v>
      </c>
      <c r="G90" s="21" t="e">
        <f t="shared" ca="1" si="211"/>
        <v>#N/A</v>
      </c>
      <c r="H90" s="21" t="e">
        <f t="shared" ca="1" si="211"/>
        <v>#N/A</v>
      </c>
      <c r="I90" s="21" t="e">
        <f t="shared" ref="I90" ca="1" si="212">SUM(I91:I95)</f>
        <v>#N/A</v>
      </c>
      <c r="J90" s="21" t="e">
        <f t="shared" ca="1" si="211"/>
        <v>#N/A</v>
      </c>
      <c r="K90" s="21" t="e">
        <f t="shared" ref="K90" ca="1" si="213">SUM(K91:K95)</f>
        <v>#N/A</v>
      </c>
      <c r="L90" s="21" t="e">
        <f t="shared" ca="1" si="211"/>
        <v>#N/A</v>
      </c>
      <c r="M90" s="21" t="e">
        <f t="shared" ca="1" si="211"/>
        <v>#N/A</v>
      </c>
      <c r="N90" s="21" t="e">
        <f t="shared" ca="1" si="211"/>
        <v>#N/A</v>
      </c>
      <c r="O90" s="21" t="e">
        <f t="shared" ca="1" si="211"/>
        <v>#N/A</v>
      </c>
      <c r="P90" s="21" t="e">
        <f t="shared" ca="1" si="211"/>
        <v>#N/A</v>
      </c>
      <c r="Q90" s="21" t="e">
        <f t="shared" ca="1" si="211"/>
        <v>#N/A</v>
      </c>
      <c r="R90" s="21" t="e">
        <f t="shared" ca="1" si="211"/>
        <v>#N/A</v>
      </c>
      <c r="S90" s="21" t="e">
        <f t="shared" ca="1" si="211"/>
        <v>#N/A</v>
      </c>
      <c r="T90" s="21" t="e">
        <f t="shared" ca="1" si="211"/>
        <v>#N/A</v>
      </c>
      <c r="U90" s="21" t="e">
        <f t="shared" ca="1" si="211"/>
        <v>#N/A</v>
      </c>
      <c r="V90" s="21" t="e">
        <f t="shared" ca="1" si="211"/>
        <v>#N/A</v>
      </c>
      <c r="W90" s="21" t="e">
        <f t="shared" ca="1" si="211"/>
        <v>#N/A</v>
      </c>
      <c r="X90" s="21" t="e">
        <f t="shared" ref="X90:Y90" ca="1" si="214">SUM(X91:X95)</f>
        <v>#N/A</v>
      </c>
      <c r="Y90" s="21" t="e">
        <f t="shared" ca="1" si="214"/>
        <v>#N/A</v>
      </c>
      <c r="Z90" s="21" t="e">
        <f t="shared" ca="1" si="211"/>
        <v>#N/A</v>
      </c>
      <c r="AA90" s="21" t="e">
        <f t="shared" ref="AA90" ca="1" si="215">SUM(AA91:AA95)</f>
        <v>#N/A</v>
      </c>
      <c r="AB90" s="21" t="e">
        <f t="shared" ref="AB90:AC90" ca="1" si="216">SUM(AB91:AB95)</f>
        <v>#N/A</v>
      </c>
      <c r="AC90" s="21" t="e">
        <f t="shared" ca="1" si="216"/>
        <v>#N/A</v>
      </c>
      <c r="AD90" s="21" t="e">
        <f t="shared" ref="AD90" ca="1" si="217">SUM(AD91:AD95)</f>
        <v>#N/A</v>
      </c>
      <c r="AE90" s="21" t="e">
        <f t="shared" ca="1" si="211"/>
        <v>#N/A</v>
      </c>
      <c r="AF90" s="21" t="e">
        <f t="shared" ca="1" si="211"/>
        <v>#N/A</v>
      </c>
      <c r="AG90" s="21" t="e">
        <f t="shared" ca="1" si="211"/>
        <v>#N/A</v>
      </c>
      <c r="AH90" s="21" t="e">
        <f t="shared" ca="1" si="211"/>
        <v>#N/A</v>
      </c>
      <c r="AI90" s="21" t="e">
        <f t="shared" ca="1" si="211"/>
        <v>#N/A</v>
      </c>
      <c r="AJ90" s="21" t="e">
        <f t="shared" ca="1" si="211"/>
        <v>#N/A</v>
      </c>
      <c r="AK90" s="21" t="e">
        <f t="shared" ca="1" si="211"/>
        <v>#N/A</v>
      </c>
      <c r="AL90" s="21" t="e">
        <f t="shared" ca="1" si="211"/>
        <v>#N/A</v>
      </c>
      <c r="AM90" s="21" t="e">
        <f t="shared" ca="1" si="211"/>
        <v>#N/A</v>
      </c>
      <c r="AN90" s="21" t="e">
        <f t="shared" ca="1" si="211"/>
        <v>#N/A</v>
      </c>
      <c r="AO90" s="21" t="e">
        <f t="shared" ca="1" si="211"/>
        <v>#N/A</v>
      </c>
      <c r="AP90" s="21" t="e">
        <f t="shared" ca="1" si="211"/>
        <v>#N/A</v>
      </c>
      <c r="AQ90" s="21" t="e">
        <f t="shared" ca="1" si="211"/>
        <v>#N/A</v>
      </c>
      <c r="AR90" s="21" t="e">
        <f t="shared" ref="AR90:BW90" ca="1" si="218">SUM(AR91:AR95)</f>
        <v>#N/A</v>
      </c>
      <c r="AS90" s="21" t="e">
        <f t="shared" ca="1" si="218"/>
        <v>#N/A</v>
      </c>
      <c r="AT90" s="21" t="e">
        <f t="shared" ca="1" si="218"/>
        <v>#N/A</v>
      </c>
      <c r="AU90" s="21" t="e">
        <f t="shared" ca="1" si="218"/>
        <v>#N/A</v>
      </c>
      <c r="AV90" s="21" t="e">
        <f t="shared" ca="1" si="218"/>
        <v>#N/A</v>
      </c>
      <c r="AW90" s="21" t="e">
        <f t="shared" ca="1" si="218"/>
        <v>#N/A</v>
      </c>
      <c r="AX90" s="21" t="e">
        <f t="shared" ca="1" si="218"/>
        <v>#N/A</v>
      </c>
      <c r="AY90" s="21" t="e">
        <f t="shared" ca="1" si="218"/>
        <v>#N/A</v>
      </c>
      <c r="AZ90" s="21" t="e">
        <f t="shared" ca="1" si="218"/>
        <v>#N/A</v>
      </c>
      <c r="BA90" s="21" t="e">
        <f t="shared" ca="1" si="218"/>
        <v>#N/A</v>
      </c>
      <c r="BB90" s="21" t="e">
        <f t="shared" ca="1" si="218"/>
        <v>#N/A</v>
      </c>
      <c r="BC90" s="21" t="e">
        <f t="shared" ca="1" si="218"/>
        <v>#N/A</v>
      </c>
      <c r="BD90" s="21" t="e">
        <f t="shared" ca="1" si="218"/>
        <v>#N/A</v>
      </c>
      <c r="BE90" s="21" t="e">
        <f t="shared" ca="1" si="218"/>
        <v>#N/A</v>
      </c>
      <c r="BF90" s="21" t="e">
        <f t="shared" ca="1" si="218"/>
        <v>#N/A</v>
      </c>
      <c r="BG90" s="21" t="e">
        <f t="shared" ca="1" si="218"/>
        <v>#N/A</v>
      </c>
      <c r="BH90" s="21" t="e">
        <f t="shared" ca="1" si="218"/>
        <v>#N/A</v>
      </c>
      <c r="BI90" s="21" t="e">
        <f t="shared" ca="1" si="218"/>
        <v>#N/A</v>
      </c>
      <c r="BJ90" s="21" t="e">
        <f t="shared" ca="1" si="218"/>
        <v>#N/A</v>
      </c>
      <c r="BK90" s="21" t="e">
        <f t="shared" ca="1" si="218"/>
        <v>#N/A</v>
      </c>
      <c r="BL90" s="21" t="e">
        <f t="shared" ca="1" si="218"/>
        <v>#N/A</v>
      </c>
      <c r="BM90" s="21" t="e">
        <f t="shared" ca="1" si="218"/>
        <v>#N/A</v>
      </c>
      <c r="BN90" s="21" t="e">
        <f t="shared" ca="1" si="218"/>
        <v>#N/A</v>
      </c>
      <c r="BO90" s="21" t="e">
        <f t="shared" ca="1" si="218"/>
        <v>#N/A</v>
      </c>
      <c r="BP90" s="21" t="e">
        <f t="shared" ca="1" si="218"/>
        <v>#N/A</v>
      </c>
      <c r="BQ90" s="21" t="e">
        <f t="shared" ca="1" si="218"/>
        <v>#N/A</v>
      </c>
      <c r="BR90" s="21" t="e">
        <f t="shared" ca="1" si="218"/>
        <v>#N/A</v>
      </c>
      <c r="BS90" s="21" t="e">
        <f t="shared" ca="1" si="218"/>
        <v>#N/A</v>
      </c>
      <c r="BT90" s="21" t="e">
        <f t="shared" ca="1" si="218"/>
        <v>#N/A</v>
      </c>
      <c r="BU90" s="21" t="e">
        <f t="shared" ca="1" si="218"/>
        <v>#N/A</v>
      </c>
      <c r="BV90" s="21" t="e">
        <f t="shared" ca="1" si="218"/>
        <v>#N/A</v>
      </c>
      <c r="BW90" s="21" t="e">
        <f t="shared" ca="1" si="218"/>
        <v>#N/A</v>
      </c>
      <c r="BX90" s="21" t="e">
        <f t="shared" ref="BX90:DC90" ca="1" si="219">SUM(BX91:BX95)</f>
        <v>#N/A</v>
      </c>
      <c r="BY90" s="21" t="e">
        <f t="shared" ca="1" si="219"/>
        <v>#N/A</v>
      </c>
      <c r="BZ90" s="21" t="e">
        <f t="shared" ca="1" si="219"/>
        <v>#N/A</v>
      </c>
      <c r="CA90" s="21" t="e">
        <f t="shared" ca="1" si="219"/>
        <v>#N/A</v>
      </c>
      <c r="CB90" s="21" t="e">
        <f t="shared" ca="1" si="219"/>
        <v>#N/A</v>
      </c>
      <c r="CC90" s="21" t="e">
        <f t="shared" ca="1" si="219"/>
        <v>#N/A</v>
      </c>
      <c r="CD90" s="21" t="e">
        <f t="shared" ca="1" si="219"/>
        <v>#N/A</v>
      </c>
      <c r="CE90" s="21" t="e">
        <f t="shared" ca="1" si="219"/>
        <v>#N/A</v>
      </c>
      <c r="CF90" s="21" t="e">
        <f t="shared" ca="1" si="219"/>
        <v>#N/A</v>
      </c>
      <c r="CG90" s="21" t="e">
        <f t="shared" ca="1" si="219"/>
        <v>#N/A</v>
      </c>
      <c r="CH90" s="21" t="e">
        <f t="shared" ca="1" si="219"/>
        <v>#N/A</v>
      </c>
      <c r="CI90" s="21" t="e">
        <f t="shared" ca="1" si="219"/>
        <v>#N/A</v>
      </c>
      <c r="CJ90" s="21" t="e">
        <f t="shared" ca="1" si="219"/>
        <v>#N/A</v>
      </c>
      <c r="CK90" s="21" t="e">
        <f t="shared" ca="1" si="219"/>
        <v>#N/A</v>
      </c>
      <c r="CL90" s="21" t="e">
        <f t="shared" ca="1" si="219"/>
        <v>#N/A</v>
      </c>
      <c r="CM90" s="21" t="e">
        <f t="shared" ca="1" si="219"/>
        <v>#N/A</v>
      </c>
      <c r="CN90" s="21" t="e">
        <f t="shared" ca="1" si="219"/>
        <v>#N/A</v>
      </c>
      <c r="CO90" s="21" t="e">
        <f t="shared" ca="1" si="219"/>
        <v>#N/A</v>
      </c>
      <c r="CP90" s="21" t="e">
        <f t="shared" ca="1" si="219"/>
        <v>#N/A</v>
      </c>
      <c r="CQ90" s="21" t="e">
        <f t="shared" ca="1" si="219"/>
        <v>#N/A</v>
      </c>
      <c r="CR90" s="21" t="e">
        <f t="shared" ca="1" si="219"/>
        <v>#N/A</v>
      </c>
      <c r="CS90" s="21" t="e">
        <f t="shared" ca="1" si="219"/>
        <v>#N/A</v>
      </c>
      <c r="CT90" s="21" t="e">
        <f t="shared" ca="1" si="219"/>
        <v>#N/A</v>
      </c>
      <c r="CU90" s="21" t="e">
        <f t="shared" ca="1" si="219"/>
        <v>#N/A</v>
      </c>
      <c r="CV90" s="21" t="e">
        <f t="shared" ca="1" si="219"/>
        <v>#N/A</v>
      </c>
      <c r="CW90" s="21" t="e">
        <f t="shared" ca="1" si="219"/>
        <v>#N/A</v>
      </c>
      <c r="CX90" s="21" t="e">
        <f t="shared" ca="1" si="219"/>
        <v>#N/A</v>
      </c>
      <c r="CY90" s="21" t="e">
        <f t="shared" ca="1" si="219"/>
        <v>#N/A</v>
      </c>
      <c r="CZ90" s="21" t="e">
        <f t="shared" ca="1" si="219"/>
        <v>#N/A</v>
      </c>
      <c r="DA90" s="21" t="e">
        <f t="shared" ca="1" si="219"/>
        <v>#N/A</v>
      </c>
      <c r="DB90" s="21" t="e">
        <f t="shared" ca="1" si="219"/>
        <v>#N/A</v>
      </c>
      <c r="DC90" s="21" t="e">
        <f t="shared" ca="1" si="219"/>
        <v>#N/A</v>
      </c>
      <c r="DD90" s="21" t="e">
        <f t="shared" ref="DD90:DF90" ca="1" si="220">SUM(DD91:DD95)</f>
        <v>#N/A</v>
      </c>
      <c r="DE90" s="21" t="e">
        <f t="shared" ca="1" si="220"/>
        <v>#N/A</v>
      </c>
      <c r="DF90" s="21" t="e">
        <f t="shared" ca="1" si="220"/>
        <v>#N/A</v>
      </c>
      <c r="DH90" s="21" t="e">
        <f t="shared" ref="DH90:DS90" ca="1" si="221">SUM(DH91:DH95)</f>
        <v>#N/A</v>
      </c>
      <c r="DI90" s="21" t="e">
        <f t="shared" ca="1" si="221"/>
        <v>#N/A</v>
      </c>
      <c r="DJ90" s="21" t="e">
        <f t="shared" ca="1" si="221"/>
        <v>#N/A</v>
      </c>
      <c r="DK90" s="21" t="e">
        <f t="shared" ca="1" si="221"/>
        <v>#N/A</v>
      </c>
      <c r="DL90" s="21" t="e">
        <f t="shared" ca="1" si="221"/>
        <v>#N/A</v>
      </c>
      <c r="DM90" s="21" t="e">
        <f t="shared" ca="1" si="221"/>
        <v>#N/A</v>
      </c>
      <c r="DN90" s="21" t="e">
        <f t="shared" ca="1" si="221"/>
        <v>#N/A</v>
      </c>
      <c r="DO90" s="21" t="e">
        <f t="shared" ca="1" si="221"/>
        <v>#N/A</v>
      </c>
      <c r="DP90" s="21" t="e">
        <f t="shared" ca="1" si="221"/>
        <v>#N/A</v>
      </c>
      <c r="DQ90" s="21" t="e">
        <f t="shared" ca="1" si="221"/>
        <v>#N/A</v>
      </c>
      <c r="DR90" s="21" t="e">
        <f t="shared" ca="1" si="221"/>
        <v>#N/A</v>
      </c>
      <c r="DS90" s="21" t="e">
        <f t="shared" ca="1" si="221"/>
        <v>#N/A</v>
      </c>
      <c r="DT90" s="21" t="e">
        <f t="shared" ref="DT90:ED90" ca="1" si="222">SUM(DT91:DT95)</f>
        <v>#N/A</v>
      </c>
      <c r="DU90" s="21" t="e">
        <f t="shared" ca="1" si="222"/>
        <v>#N/A</v>
      </c>
      <c r="DV90" s="21" t="e">
        <f t="shared" ref="DV90" ca="1" si="223">SUM(DV91:DV95)</f>
        <v>#N/A</v>
      </c>
      <c r="DW90" s="21" t="e">
        <f t="shared" ca="1" si="222"/>
        <v>#N/A</v>
      </c>
      <c r="DX90" s="21" t="e">
        <f t="shared" ca="1" si="222"/>
        <v>#N/A</v>
      </c>
      <c r="DY90" s="21" t="e">
        <f t="shared" ca="1" si="222"/>
        <v>#N/A</v>
      </c>
      <c r="DZ90" s="21" t="e">
        <f t="shared" ca="1" si="222"/>
        <v>#N/A</v>
      </c>
      <c r="EA90" s="21" t="e">
        <f t="shared" ca="1" si="222"/>
        <v>#N/A</v>
      </c>
      <c r="EB90" s="21" t="e">
        <f t="shared" ca="1" si="222"/>
        <v>#N/A</v>
      </c>
      <c r="EC90" s="21" t="e">
        <f t="shared" ca="1" si="222"/>
        <v>#N/A</v>
      </c>
      <c r="ED90" s="21" t="e">
        <f t="shared" ca="1" si="222"/>
        <v>#N/A</v>
      </c>
    </row>
    <row r="91" spans="1:134" x14ac:dyDescent="0.3">
      <c r="A91" s="21" t="s">
        <v>840</v>
      </c>
      <c r="D91" s="21">
        <f ca="1">'1_Manufacturing'!D140</f>
        <v>1888.1334352018316</v>
      </c>
      <c r="E91" s="21">
        <f ca="1">'1_Manufacturing'!E140</f>
        <v>2255.2040479847296</v>
      </c>
      <c r="F91" s="21">
        <f ca="1">'1_Manufacturing'!F140</f>
        <v>1485.4920470891227</v>
      </c>
      <c r="G91" s="21">
        <f ca="1">'1_Manufacturing'!G140</f>
        <v>1888.1334352018316</v>
      </c>
      <c r="H91" s="21">
        <f ca="1">'1_Manufacturing'!H140</f>
        <v>1888.1334352018316</v>
      </c>
      <c r="I91" s="21">
        <f ca="1">'1_Manufacturing'!I140</f>
        <v>1888.1334352018316</v>
      </c>
      <c r="J91" s="21">
        <f ca="1">'1_Manufacturing'!J140</f>
        <v>1888.1334352018316</v>
      </c>
      <c r="K91" s="21">
        <f ca="1">'1_Manufacturing'!K140</f>
        <v>1888.1334352018316</v>
      </c>
      <c r="L91" s="21">
        <f ca="1">'1_Manufacturing'!L140</f>
        <v>1888.1334352018316</v>
      </c>
      <c r="M91" s="21">
        <f ca="1">'1_Manufacturing'!M140</f>
        <v>1888.1334352018316</v>
      </c>
      <c r="N91" s="21">
        <f ca="1">'1_Manufacturing'!N140</f>
        <v>1888.1334352018316</v>
      </c>
      <c r="O91" s="21">
        <f ca="1">'1_Manufacturing'!O140</f>
        <v>1888.1334352018316</v>
      </c>
      <c r="P91" s="21">
        <f ca="1">'1_Manufacturing'!P140</f>
        <v>1888.1334352018316</v>
      </c>
      <c r="Q91" s="21">
        <f ca="1">'1_Manufacturing'!Q140</f>
        <v>1783.1706891842714</v>
      </c>
      <c r="R91" s="21">
        <f ca="1">'1_Manufacturing'!R140</f>
        <v>1993.0961812193912</v>
      </c>
      <c r="S91" s="21">
        <f ca="1">'1_Manufacturing'!S140</f>
        <v>2255.2040479847296</v>
      </c>
      <c r="T91" s="21">
        <f ca="1">'1_Manufacturing'!T140</f>
        <v>1485.4920470891227</v>
      </c>
      <c r="U91" s="21">
        <f ca="1">'1_Manufacturing'!U140</f>
        <v>1888.1334352018316</v>
      </c>
      <c r="V91" s="21">
        <f ca="1">'1_Manufacturing'!V140</f>
        <v>1888.1334352018316</v>
      </c>
      <c r="W91" s="21">
        <f ca="1">'1_Manufacturing'!W140</f>
        <v>1888.1334352018316</v>
      </c>
      <c r="X91" s="21">
        <f ca="1">'1_Manufacturing'!X140</f>
        <v>3334.8014033758272</v>
      </c>
      <c r="Y91" s="21">
        <f ca="1">'1_Manufacturing'!Y140</f>
        <v>4145.8943305908206</v>
      </c>
      <c r="Z91" s="21">
        <f ca="1">'1_Manufacturing'!Z140</f>
        <v>4145.8943305908206</v>
      </c>
      <c r="AA91" s="21">
        <f ca="1">'1_Manufacturing'!AA140</f>
        <v>4145.8943305908206</v>
      </c>
      <c r="AB91" s="21">
        <f ca="1">'1_Manufacturing'!AB140</f>
        <v>3334.8014033758272</v>
      </c>
      <c r="AC91" s="21">
        <f ca="1">'1_Manufacturing'!AC140</f>
        <v>4145.8943305908206</v>
      </c>
      <c r="AD91" s="21">
        <f ca="1">'1_Manufacturing'!AD140</f>
        <v>4145.8943305908206</v>
      </c>
      <c r="AE91" s="21">
        <f ca="1">'1_Manufacturing'!AE140</f>
        <v>4145.8943305908206</v>
      </c>
      <c r="AF91" s="313">
        <f ca="1">AF113/W113*W91</f>
        <v>2313.0921330730034</v>
      </c>
      <c r="AG91" s="21">
        <f ca="1">'1_Manufacturing'!AG140</f>
        <v>1158.9945145147417</v>
      </c>
      <c r="AH91" s="21">
        <f ca="1">'1_Manufacturing'!AH140</f>
        <v>2027.9045195762285</v>
      </c>
      <c r="AI91" s="21">
        <f ca="1">'1_Manufacturing'!AI140</f>
        <v>1484.0318877692569</v>
      </c>
      <c r="AJ91" s="21">
        <f ca="1">'1_Manufacturing'!AJ140</f>
        <v>2463.736757113064</v>
      </c>
      <c r="AK91" s="21">
        <f ca="1">'1_Manufacturing'!AK140</f>
        <v>4570.9133853004696</v>
      </c>
      <c r="AL91" s="21">
        <f ca="1">'1_Manufacturing'!AL140</f>
        <v>5907.3571192408135</v>
      </c>
      <c r="AM91" s="21">
        <f ca="1">'1_Manufacturing'!AM140</f>
        <v>4570.9133853004696</v>
      </c>
      <c r="AN91" s="21">
        <f ca="1">'1_Manufacturing'!AN140</f>
        <v>8553.6905945926283</v>
      </c>
      <c r="AO91" s="21">
        <f ca="1">'1_Manufacturing'!AO140</f>
        <v>78370.702063878387</v>
      </c>
      <c r="AP91" s="21">
        <f ca="1">'1_Manufacturing'!AP140</f>
        <v>84405.752404487153</v>
      </c>
      <c r="AQ91" s="21">
        <f ca="1">'1_Manufacturing'!AQ140</f>
        <v>104900.08330325004</v>
      </c>
      <c r="AR91" s="21">
        <f ca="1">'1_Manufacturing'!AR140</f>
        <v>150673.66015199843</v>
      </c>
      <c r="AS91" s="21">
        <f ca="1">'1_Manufacturing'!AS140</f>
        <v>150673.66015199843</v>
      </c>
      <c r="AT91" s="21">
        <f ca="1">'1_Manufacturing'!AT140</f>
        <v>150673.66015199843</v>
      </c>
      <c r="AU91" s="21">
        <f ca="1">'1_Manufacturing'!AU140</f>
        <v>141831.73204872818</v>
      </c>
      <c r="AV91" s="21">
        <f ca="1">'1_Manufacturing'!AV140</f>
        <v>131589.52451244206</v>
      </c>
      <c r="AW91" s="21">
        <f ca="1">'1_Manufacturing'!AW140</f>
        <v>169757.79579155476</v>
      </c>
      <c r="AX91" s="21">
        <f ca="1">'1_Manufacturing'!AX140</f>
        <v>150673.66015199843</v>
      </c>
      <c r="AY91" s="21">
        <f ca="1">'1_Manufacturing'!AY140</f>
        <v>139979.5966306036</v>
      </c>
      <c r="AZ91" s="21">
        <f ca="1">'1_Manufacturing'!AZ140</f>
        <v>139979.5966306036</v>
      </c>
      <c r="BA91" s="21">
        <f ca="1">'1_Manufacturing'!BA140</f>
        <v>139979.5966306036</v>
      </c>
      <c r="BB91" s="21">
        <f ca="1">'1_Manufacturing'!BB140</f>
        <v>139979.5966306036</v>
      </c>
      <c r="BC91" s="21">
        <f ca="1">'1_Manufacturing'!BC140</f>
        <v>78381.654952603858</v>
      </c>
      <c r="BD91" s="21">
        <f ca="1">'1_Manufacturing'!BD140</f>
        <v>78381.654952603858</v>
      </c>
      <c r="BE91" s="21">
        <f ca="1">'1_Manufacturing'!BE140</f>
        <v>78381.654952603858</v>
      </c>
      <c r="BF91" s="21">
        <f ca="1">'1_Manufacturing'!BF140</f>
        <v>78381.654952603858</v>
      </c>
      <c r="BG91" s="21">
        <f ca="1">'1_Manufacturing'!BG140</f>
        <v>78381.654952603858</v>
      </c>
      <c r="BH91" s="21">
        <f ca="1">'1_Manufacturing'!BH140</f>
        <v>78381.654952603858</v>
      </c>
      <c r="BI91" s="21">
        <f ca="1">'1_Manufacturing'!BI140</f>
        <v>78381.654952603858</v>
      </c>
      <c r="BJ91" s="21">
        <f ca="1">'1_Manufacturing'!BJ140</f>
        <v>84417.345782736302</v>
      </c>
      <c r="BK91" s="21">
        <f ca="1">'1_Manufacturing'!BK140</f>
        <v>104912.26314072919</v>
      </c>
      <c r="BL91" s="21">
        <f ca="1">'1_Manufacturing'!BL140</f>
        <v>163398.75872757452</v>
      </c>
      <c r="BM91" s="21">
        <f ca="1">'1_Manufacturing'!BM140</f>
        <v>163398.75872757452</v>
      </c>
      <c r="BN91" s="21">
        <f ca="1">'1_Manufacturing'!BN140</f>
        <v>163398.75872757452</v>
      </c>
      <c r="BO91" s="21">
        <f ca="1">'1_Manufacturing'!BO140</f>
        <v>163398.75872757452</v>
      </c>
      <c r="BP91" s="21">
        <f ca="1">'1_Manufacturing'!BP140</f>
        <v>163398.75872757452</v>
      </c>
      <c r="BQ91" s="21">
        <f ca="1">'1_Manufacturing'!BQ140</f>
        <v>153373.36391052607</v>
      </c>
      <c r="BR91" s="21">
        <f ca="1">'1_Manufacturing'!BR140</f>
        <v>141133.93381475884</v>
      </c>
      <c r="BS91" s="21">
        <f ca="1">'1_Manufacturing'!BS140</f>
        <v>185663.58364039025</v>
      </c>
      <c r="BT91" s="21">
        <f ca="1">'1_Manufacturing'!BT140</f>
        <v>163398.75872757452</v>
      </c>
      <c r="BU91" s="21">
        <f ca="1">'1_Manufacturing'!BU140</f>
        <v>252476.56003317758</v>
      </c>
      <c r="BV91" s="21">
        <f ca="1">'1_Manufacturing'!BV140</f>
        <v>252476.56003317758</v>
      </c>
      <c r="BW91" s="21">
        <f ca="1">'1_Manufacturing'!BW140</f>
        <v>252476.56003317758</v>
      </c>
      <c r="BX91" s="21">
        <f ca="1">'1_Manufacturing'!BX140</f>
        <v>252476.56003317758</v>
      </c>
      <c r="BY91" s="21">
        <f ca="1">'1_Manufacturing'!BY140</f>
        <v>252476.56003317758</v>
      </c>
      <c r="BZ91" s="21">
        <f ca="1">'1_Manufacturing'!BZ140</f>
        <v>234166.89821968146</v>
      </c>
      <c r="CA91" s="21">
        <f ca="1">'1_Manufacturing'!CA140</f>
        <v>207946.91020754611</v>
      </c>
      <c r="CB91" s="21">
        <f ca="1">'1_Manufacturing'!CB140</f>
        <v>297006.20985880902</v>
      </c>
      <c r="CC91" s="21">
        <f ca="1">'1_Manufacturing'!CC140</f>
        <v>252476.56003317758</v>
      </c>
      <c r="CD91" s="21">
        <f ca="1">'1_Manufacturing'!CD140</f>
        <v>139979.5966306036</v>
      </c>
      <c r="CE91" s="21">
        <f ca="1">'1_Manufacturing'!CE140</f>
        <v>139979.5966306036</v>
      </c>
      <c r="CF91" s="21">
        <f ca="1">'1_Manufacturing'!CF140</f>
        <v>139979.5966306036</v>
      </c>
      <c r="CG91" s="21">
        <f ca="1">'1_Manufacturing'!CG140</f>
        <v>139982.41898323761</v>
      </c>
      <c r="CH91" s="21">
        <f ca="1">'1_Manufacturing'!CH140</f>
        <v>78381.654952603858</v>
      </c>
      <c r="CI91" s="21">
        <f ca="1">'1_Manufacturing'!CI140</f>
        <v>84411.161635502402</v>
      </c>
      <c r="CJ91" s="21">
        <f ca="1">'1_Manufacturing'!CJ140</f>
        <v>104904.81898256065</v>
      </c>
      <c r="CK91" s="21">
        <f ca="1">'1_Manufacturing'!CK140</f>
        <v>163399.79187966316</v>
      </c>
      <c r="CL91" s="21">
        <f ca="1">'1_Manufacturing'!CL140</f>
        <v>252459.09153092612</v>
      </c>
      <c r="CM91" s="21">
        <f ca="1">'1_Manufacturing'!CM140</f>
        <v>139982.41898323761</v>
      </c>
      <c r="CN91" s="21">
        <f ca="1">'1_Manufacturing'!CN140</f>
        <v>97109.717115378895</v>
      </c>
      <c r="CO91" s="21">
        <f ca="1">'1_Manufacturing'!CO140</f>
        <v>105099.12985133615</v>
      </c>
      <c r="CP91" s="21">
        <f ca="1">'1_Manufacturing'!CP140</f>
        <v>123635.39540233073</v>
      </c>
      <c r="CQ91" s="21">
        <f ca="1">'1_Manufacturing'!CQ140</f>
        <v>168740.33071127516</v>
      </c>
      <c r="CR91" s="21">
        <f ca="1">'1_Manufacturing'!CR140</f>
        <v>175128.08443913324</v>
      </c>
      <c r="CS91" s="21">
        <f ca="1">'1_Manufacturing'!CS140</f>
        <v>97123.6324136654</v>
      </c>
      <c r="CT91" s="21">
        <f ca="1">'1_Manufacturing'!CT140</f>
        <v>105113.80855408224</v>
      </c>
      <c r="CU91" s="21">
        <f ca="1">'1_Manufacturing'!CU140</f>
        <v>123650.77052541244</v>
      </c>
      <c r="CV91" s="21">
        <f ca="1">'1_Manufacturing'!CV140</f>
        <v>181466.07629618183</v>
      </c>
      <c r="CW91" s="21">
        <f ca="1">'1_Manufacturing'!CW140</f>
        <v>270526.68003102508</v>
      </c>
      <c r="CX91" s="21">
        <f ca="1">'1_Manufacturing'!CX140</f>
        <v>175131.67990339553</v>
      </c>
      <c r="CY91" s="21">
        <f ca="1">'1_Manufacturing'!CY140</f>
        <v>97123.6324136654</v>
      </c>
      <c r="CZ91" s="21">
        <f ca="1">'1_Manufacturing'!CZ140</f>
        <v>105113.80855408224</v>
      </c>
      <c r="DA91" s="21">
        <f ca="1">'1_Manufacturing'!DA140</f>
        <v>123650.77052541244</v>
      </c>
      <c r="DB91" s="21">
        <f ca="1">'1_Manufacturing'!DB140</f>
        <v>181466.07629618183</v>
      </c>
      <c r="DC91" s="21">
        <f ca="1">'1_Manufacturing'!DC140</f>
        <v>270526.68003102508</v>
      </c>
      <c r="DD91" s="21">
        <f ca="1">'1_Manufacturing'!DD140</f>
        <v>175131.67990339553</v>
      </c>
      <c r="DE91" s="21">
        <f ca="1">'1_Manufacturing'!DE140</f>
        <v>189740.947029431</v>
      </c>
      <c r="DF91" s="21">
        <f ca="1">'1_Manufacturing'!DF140</f>
        <v>198204.55486714173</v>
      </c>
      <c r="DH91" s="21">
        <f ca="1">'1_Manufacturing'!DH140</f>
        <v>397898.32417917572</v>
      </c>
      <c r="DI91" s="21">
        <f ca="1">'1_Manufacturing'!DI140</f>
        <v>588740.98465831939</v>
      </c>
      <c r="DJ91" s="21">
        <f ca="1">'1_Manufacturing'!DJ140</f>
        <v>329436.17098927719</v>
      </c>
      <c r="DK91" s="21">
        <f ca="1">'1_Manufacturing'!DK140</f>
        <v>650726.04227033013</v>
      </c>
      <c r="DL91" s="21">
        <f ca="1">'1_Manufacturing'!DL140</f>
        <v>650743.47695893131</v>
      </c>
      <c r="DM91" s="21">
        <f ca="1">'1_Manufacturing'!DM140</f>
        <v>650734.75961463072</v>
      </c>
      <c r="DN91" s="21">
        <f ca="1">'1_Manufacturing'!DN140</f>
        <v>650734.75961463072</v>
      </c>
      <c r="DO91" s="21">
        <f ca="1">'1_Manufacturing'!DO140</f>
        <v>650734.75961463072</v>
      </c>
      <c r="DP91" s="21">
        <f ca="1">'1_Manufacturing'!DP140</f>
        <v>650734.75961463072</v>
      </c>
      <c r="DQ91" s="21">
        <f ca="1">'1_Manufacturing'!DQ140</f>
        <v>650734.75961463072</v>
      </c>
      <c r="DR91" s="21">
        <f ca="1">'1_Manufacturing'!DR140</f>
        <v>647044.77586833923</v>
      </c>
      <c r="DS91" s="21">
        <f ca="1">'1_Manufacturing'!DS140</f>
        <v>1439499.1879822551</v>
      </c>
      <c r="DT91" s="21">
        <f ca="1">'1_Manufacturing'!DT140</f>
        <v>1439499.1879822551</v>
      </c>
      <c r="DU91" s="21">
        <f ca="1">'1_Manufacturing'!DU140</f>
        <v>1143253.7653265151</v>
      </c>
      <c r="DV91" s="21">
        <f ca="1">'1_Manufacturing'!DV140</f>
        <v>902292.0930321943</v>
      </c>
      <c r="DW91" s="21">
        <f ca="1">'1_Manufacturing'!DW140</f>
        <v>900897.76978048554</v>
      </c>
      <c r="DX91" s="21">
        <f ca="1">'1_Manufacturing'!DX140</f>
        <v>12431908.443914177</v>
      </c>
      <c r="DY91" s="21">
        <f ca="1">'1_Manufacturing'!DY140</f>
        <v>12431908.443914177</v>
      </c>
      <c r="DZ91" s="21">
        <f ca="1">'1_Manufacturing'!DZ140</f>
        <v>12431908.443914177</v>
      </c>
      <c r="EA91" s="21">
        <f ca="1">'1_Manufacturing'!EA140</f>
        <v>12431908.443914177</v>
      </c>
      <c r="EB91" s="21">
        <f ca="1">'1_Manufacturing'!EB140</f>
        <v>12431908.443914177</v>
      </c>
      <c r="EC91" s="21">
        <f ca="1">'1_Manufacturing'!EC140</f>
        <v>12431908.443914177</v>
      </c>
      <c r="ED91" s="21">
        <f ca="1">'1_Manufacturing'!ED140</f>
        <v>12431908.443914177</v>
      </c>
    </row>
    <row r="92" spans="1:134" x14ac:dyDescent="0.3">
      <c r="A92" s="21" t="s">
        <v>841</v>
      </c>
      <c r="D92" s="21">
        <f>'2_Transport'!D82</f>
        <v>105.07187074535572</v>
      </c>
      <c r="E92" s="21">
        <f>'2_Transport'!E82</f>
        <v>105.07187074535572</v>
      </c>
      <c r="F92" s="21">
        <f>'2_Transport'!F82</f>
        <v>105.07187074535572</v>
      </c>
      <c r="G92" s="21">
        <f>'2_Transport'!G82</f>
        <v>105.07187074535572</v>
      </c>
      <c r="H92" s="21">
        <f>'2_Transport'!H82</f>
        <v>105.07187074535572</v>
      </c>
      <c r="I92" s="21">
        <f>'2_Transport'!I82</f>
        <v>105.07187074535572</v>
      </c>
      <c r="J92" s="21">
        <f>'2_Transport'!J82</f>
        <v>105.07187074535572</v>
      </c>
      <c r="K92" s="21">
        <f>'2_Transport'!K82</f>
        <v>105.07187074535572</v>
      </c>
      <c r="L92" s="21">
        <f>'2_Transport'!L82</f>
        <v>105.07187074535572</v>
      </c>
      <c r="M92" s="21">
        <f>'2_Transport'!M82</f>
        <v>105.07187074535572</v>
      </c>
      <c r="N92" s="21">
        <f>'2_Transport'!N82</f>
        <v>105.07187074535572</v>
      </c>
      <c r="O92" s="21">
        <f>'2_Transport'!O82</f>
        <v>105.07187074535572</v>
      </c>
      <c r="P92" s="21">
        <f>'2_Transport'!P82</f>
        <v>105.07187074535572</v>
      </c>
      <c r="Q92" s="21">
        <f>'2_Transport'!Q82</f>
        <v>105.07187074535572</v>
      </c>
      <c r="R92" s="21">
        <f>'2_Transport'!R82</f>
        <v>105.07187074535572</v>
      </c>
      <c r="S92" s="21">
        <f>'2_Transport'!S82</f>
        <v>105.07187074535572</v>
      </c>
      <c r="T92" s="21">
        <f>'2_Transport'!T82</f>
        <v>105.07187074535572</v>
      </c>
      <c r="U92" s="21">
        <f>'2_Transport'!U82</f>
        <v>105.07187074535572</v>
      </c>
      <c r="V92" s="21">
        <f>'2_Transport'!V82</f>
        <v>105.07187074535572</v>
      </c>
      <c r="W92" s="21">
        <f>'2_Transport'!W82</f>
        <v>105.07187074535572</v>
      </c>
      <c r="X92" s="21">
        <f>'2_Transport'!X82</f>
        <v>202.76524805142512</v>
      </c>
      <c r="Y92" s="21">
        <f>'2_Transport'!Y82</f>
        <v>202.76524805142512</v>
      </c>
      <c r="Z92" s="21">
        <f>'2_Transport'!Z82</f>
        <v>202.76524805142512</v>
      </c>
      <c r="AA92" s="21">
        <f>'2_Transport'!AA82</f>
        <v>202.76524805142512</v>
      </c>
      <c r="AB92" s="21">
        <f>'2_Transport'!AB82</f>
        <v>202.76524805142512</v>
      </c>
      <c r="AC92" s="21">
        <f>'2_Transport'!AC82</f>
        <v>202.76524805142512</v>
      </c>
      <c r="AD92" s="21">
        <f>'2_Transport'!AD82</f>
        <v>202.76524805142512</v>
      </c>
      <c r="AE92" s="21">
        <f>'2_Transport'!AE82</f>
        <v>202.76524805142512</v>
      </c>
      <c r="AF92" s="21">
        <f>'2_Transport'!AF82</f>
        <v>105.07187074535572</v>
      </c>
      <c r="AG92" s="21">
        <f>'2_Transport'!AG82</f>
        <v>117.50495215929138</v>
      </c>
      <c r="AH92" s="21">
        <f>'2_Transport'!AH82</f>
        <v>157.83082638326789</v>
      </c>
      <c r="AI92" s="21">
        <f>'2_Transport'!AI82</f>
        <v>157.83082638326789</v>
      </c>
      <c r="AJ92" s="21">
        <f>'2_Transport'!AJ82</f>
        <v>186.53942264945834</v>
      </c>
      <c r="AK92" s="21">
        <f>'2_Transport'!AK82</f>
        <v>473.20752385644209</v>
      </c>
      <c r="AL92" s="21">
        <f>'2_Transport'!AL82</f>
        <v>463.05442961322927</v>
      </c>
      <c r="AM92" s="21">
        <f>'2_Transport'!AM82</f>
        <v>473.20752385644209</v>
      </c>
      <c r="AN92" s="21">
        <f>'2_Transport'!AN82</f>
        <v>508.9401405257621</v>
      </c>
      <c r="AO92" s="21">
        <f>'2_Transport'!AO82</f>
        <v>1216.5649919980256</v>
      </c>
      <c r="AP92" s="21">
        <f>'2_Transport'!AP82</f>
        <v>1299.9295354294743</v>
      </c>
      <c r="AQ92" s="21">
        <f>'2_Transport'!AQ82</f>
        <v>1440.0421320034275</v>
      </c>
      <c r="AR92" s="21">
        <f>'2_Transport'!AR82</f>
        <v>1476.4677039650121</v>
      </c>
      <c r="AS92" s="21">
        <f>'2_Transport'!AS82</f>
        <v>1476.4677039650121</v>
      </c>
      <c r="AT92" s="21">
        <f>'2_Transport'!AT82</f>
        <v>1476.4677039650121</v>
      </c>
      <c r="AU92" s="21">
        <f>'2_Transport'!AU82</f>
        <v>1476.4677039650121</v>
      </c>
      <c r="AV92" s="21">
        <f>'2_Transport'!AV82</f>
        <v>1390.8315936577837</v>
      </c>
      <c r="AW92" s="21">
        <f>'2_Transport'!AW82</f>
        <v>1562.10381427224</v>
      </c>
      <c r="AX92" s="21">
        <f>'2_Transport'!AX82</f>
        <v>1476.4677039650121</v>
      </c>
      <c r="AY92" s="21">
        <f>'2_Transport'!AY82</f>
        <v>1379.0207548322655</v>
      </c>
      <c r="AZ92" s="21">
        <f>'2_Transport'!AZ82</f>
        <v>1379.0207548322655</v>
      </c>
      <c r="BA92" s="21">
        <f>'2_Transport'!BA82</f>
        <v>1379.0207548322655</v>
      </c>
      <c r="BB92" s="21">
        <f>'2_Transport'!BB82</f>
        <v>1379.0207548322655</v>
      </c>
      <c r="BC92" s="21">
        <f>'2_Transport'!BC82</f>
        <v>1216.5649919980256</v>
      </c>
      <c r="BD92" s="21">
        <f>'2_Transport'!BD82</f>
        <v>1216.5649919980256</v>
      </c>
      <c r="BE92" s="21">
        <f>'2_Transport'!BE82</f>
        <v>1216.5649919980256</v>
      </c>
      <c r="BF92" s="21">
        <f>'2_Transport'!BF82</f>
        <v>1216.5649919980256</v>
      </c>
      <c r="BG92" s="21">
        <f>'2_Transport'!BG82</f>
        <v>1216.5649919980256</v>
      </c>
      <c r="BH92" s="21">
        <f>'2_Transport'!BH82</f>
        <v>1216.5649919980256</v>
      </c>
      <c r="BI92" s="21">
        <f>'2_Transport'!BI82</f>
        <v>1216.5649919980256</v>
      </c>
      <c r="BJ92" s="21">
        <f>'2_Transport'!BJ82</f>
        <v>1299.9295354294743</v>
      </c>
      <c r="BK92" s="21">
        <f>'2_Transport'!BK82</f>
        <v>1440.0421320034275</v>
      </c>
      <c r="BL92" s="21">
        <f>'2_Transport'!BL82</f>
        <v>1533.5584441698309</v>
      </c>
      <c r="BM92" s="21">
        <f>'2_Transport'!BM82</f>
        <v>1533.5584441698309</v>
      </c>
      <c r="BN92" s="21">
        <f>'2_Transport'!BN82</f>
        <v>1533.5584441698309</v>
      </c>
      <c r="BO92" s="21">
        <f>'2_Transport'!BO82</f>
        <v>1533.5584441698309</v>
      </c>
      <c r="BP92" s="21">
        <f>'2_Transport'!BP82</f>
        <v>1533.5584441698309</v>
      </c>
      <c r="BQ92" s="21">
        <f>'2_Transport'!BQ82</f>
        <v>1533.5584441698309</v>
      </c>
      <c r="BR92" s="21">
        <f>'2_Transport'!BR82</f>
        <v>1433.649648811398</v>
      </c>
      <c r="BS92" s="21">
        <f>'2_Transport'!BS82</f>
        <v>1633.4672395282641</v>
      </c>
      <c r="BT92" s="21">
        <f>'2_Transport'!BT82</f>
        <v>1533.5584441698309</v>
      </c>
      <c r="BU92" s="21">
        <f>'2_Transport'!BU82</f>
        <v>1933.1936256035629</v>
      </c>
      <c r="BV92" s="21">
        <f>'2_Transport'!BV82</f>
        <v>1933.1936256035629</v>
      </c>
      <c r="BW92" s="21">
        <f>'2_Transport'!BW82</f>
        <v>1933.1936256035629</v>
      </c>
      <c r="BX92" s="21">
        <f>'2_Transport'!BX82</f>
        <v>1933.1936256035629</v>
      </c>
      <c r="BY92" s="21">
        <f>'2_Transport'!BY82</f>
        <v>1933.1936256035629</v>
      </c>
      <c r="BZ92" s="21">
        <f>'2_Transport'!BZ82</f>
        <v>1933.1936256035629</v>
      </c>
      <c r="CA92" s="21">
        <f>'2_Transport'!CA82</f>
        <v>1733.3760348866967</v>
      </c>
      <c r="CB92" s="21">
        <f>'2_Transport'!CB82</f>
        <v>2133.0112163204285</v>
      </c>
      <c r="CC92" s="21">
        <f>'2_Transport'!CC82</f>
        <v>1933.1936256035629</v>
      </c>
      <c r="CD92" s="21">
        <f>'2_Transport'!CD82</f>
        <v>1379.0207548322655</v>
      </c>
      <c r="CE92" s="21">
        <f>'2_Transport'!CE82</f>
        <v>1379.0207548322655</v>
      </c>
      <c r="CF92" s="21">
        <f>'2_Transport'!CF82</f>
        <v>1379.0207548322655</v>
      </c>
      <c r="CG92" s="21">
        <f>'2_Transport'!CG82</f>
        <v>1379.0207548322655</v>
      </c>
      <c r="CH92" s="21">
        <f>'2_Transport'!CH82</f>
        <v>1216.5649919980256</v>
      </c>
      <c r="CI92" s="21">
        <f>'2_Transport'!CI82</f>
        <v>1299.9295354294743</v>
      </c>
      <c r="CJ92" s="21">
        <f>'2_Transport'!CJ82</f>
        <v>1440.0421320034275</v>
      </c>
      <c r="CK92" s="21">
        <f>'2_Transport'!CK82</f>
        <v>1533.5584441698309</v>
      </c>
      <c r="CL92" s="21">
        <f>'2_Transport'!CL82</f>
        <v>1933.1936256035629</v>
      </c>
      <c r="CM92" s="21">
        <f>'2_Transport'!CM82</f>
        <v>1379.0207548322655</v>
      </c>
      <c r="CN92" s="21">
        <f>'2_Transport'!CN82</f>
        <v>1545.6072980288427</v>
      </c>
      <c r="CO92" s="21">
        <f>'2_Transport'!CO82</f>
        <v>1647.6043621880813</v>
      </c>
      <c r="CP92" s="21">
        <f>'2_Transport'!CP82</f>
        <v>1799.4179091537726</v>
      </c>
      <c r="CQ92" s="21">
        <f>'2_Transport'!CQ82</f>
        <v>1789.7986466578859</v>
      </c>
      <c r="CR92" s="21">
        <f>'2_Transport'!CR82</f>
        <v>1758.4000336550398</v>
      </c>
      <c r="CS92" s="21">
        <f>'2_Transport'!CS82</f>
        <v>1545.6072980288427</v>
      </c>
      <c r="CT92" s="21">
        <f>'2_Transport'!CT82</f>
        <v>1647.6043621880813</v>
      </c>
      <c r="CU92" s="21">
        <f>'2_Transport'!CU82</f>
        <v>1799.4179091537726</v>
      </c>
      <c r="CV92" s="21">
        <f>'2_Transport'!CV82</f>
        <v>1846.8893868627047</v>
      </c>
      <c r="CW92" s="21">
        <f>'2_Transport'!CW82</f>
        <v>2246.5245682964369</v>
      </c>
      <c r="CX92" s="21">
        <f>'2_Transport'!CX82</f>
        <v>1758.4000336550398</v>
      </c>
      <c r="CY92" s="21">
        <f>'2_Transport'!CY82</f>
        <v>1545.6072980288427</v>
      </c>
      <c r="CZ92" s="21">
        <f>'2_Transport'!CZ82</f>
        <v>1647.6043621880813</v>
      </c>
      <c r="DA92" s="21">
        <f>'2_Transport'!DA82</f>
        <v>1799.4179091537726</v>
      </c>
      <c r="DB92" s="21">
        <f>'2_Transport'!DB82</f>
        <v>1846.8893868627047</v>
      </c>
      <c r="DC92" s="21">
        <f>'2_Transport'!DC82</f>
        <v>2246.5245682964369</v>
      </c>
      <c r="DD92" s="21">
        <f>'2_Transport'!DD82</f>
        <v>1758.4000336550398</v>
      </c>
      <c r="DE92" s="21">
        <f>'2_Transport'!DE82</f>
        <v>2893.9747773223253</v>
      </c>
      <c r="DF92" s="21">
        <f>'2_Transport'!DF82</f>
        <v>2972.4646138554467</v>
      </c>
      <c r="DH92" s="21">
        <f>'2_Transport'!DH82</f>
        <v>3862.8576015694962</v>
      </c>
      <c r="DI92" s="21">
        <f>'2_Transport'!DI82</f>
        <v>4719.2187046417785</v>
      </c>
      <c r="DJ92" s="21">
        <f>'2_Transport'!DJ82</f>
        <v>3360.5845165179435</v>
      </c>
      <c r="DK92" s="21">
        <f>'2_Transport'!DK82</f>
        <v>8466.5243576029898</v>
      </c>
      <c r="DL92" s="21">
        <f>'2_Transport'!DL82</f>
        <v>8466.5243576029898</v>
      </c>
      <c r="DM92" s="21">
        <f>'2_Transport'!DM82</f>
        <v>8466.5243576029898</v>
      </c>
      <c r="DN92" s="21">
        <f>'2_Transport'!DN82</f>
        <v>8466.5243576029898</v>
      </c>
      <c r="DO92" s="21">
        <f>'2_Transport'!DO82</f>
        <v>8466.5243576029898</v>
      </c>
      <c r="DP92" s="21">
        <f>'2_Transport'!DP82</f>
        <v>8466.5243576029898</v>
      </c>
      <c r="DQ92" s="21">
        <f>'2_Transport'!DQ82</f>
        <v>8466.5243576029898</v>
      </c>
      <c r="DR92" s="21">
        <f>'2_Transport'!DR82</f>
        <v>8470.2231776472836</v>
      </c>
      <c r="DS92" s="21">
        <f>'2_Transport'!DS82</f>
        <v>14016.543980580849</v>
      </c>
      <c r="DT92" s="21">
        <f>'2_Transport'!DT82</f>
        <v>14016.543980580849</v>
      </c>
      <c r="DU92" s="21">
        <f>'2_Transport'!DU82</f>
        <v>11733.54803212052</v>
      </c>
      <c r="DV92" s="21">
        <f>'2_Transport'!DV82</f>
        <v>10004.472048771786</v>
      </c>
      <c r="DW92" s="21">
        <f>'2_Transport'!DW82</f>
        <v>10004.472048771786</v>
      </c>
      <c r="DX92" s="21">
        <f>'2_Transport'!DX82</f>
        <v>156996.95550200692</v>
      </c>
      <c r="DY92" s="21">
        <f>'2_Transport'!DY82</f>
        <v>156996.95550200692</v>
      </c>
      <c r="DZ92" s="21">
        <f>'2_Transport'!DZ82</f>
        <v>156996.95550200692</v>
      </c>
      <c r="EA92" s="21">
        <f>'2_Transport'!EA82</f>
        <v>156996.95550200692</v>
      </c>
      <c r="EB92" s="21">
        <f>'2_Transport'!EB82</f>
        <v>156996.95550200692</v>
      </c>
      <c r="EC92" s="21">
        <f>'2_Transport'!EC82</f>
        <v>156996.95550200692</v>
      </c>
      <c r="ED92" s="21">
        <f>'2_Transport'!ED82</f>
        <v>156996.95550200692</v>
      </c>
    </row>
    <row r="93" spans="1:134" x14ac:dyDescent="0.3">
      <c r="A93" s="21" t="s">
        <v>842</v>
      </c>
      <c r="D93" s="21">
        <f>'3_Use'!D43</f>
        <v>678.01610820073199</v>
      </c>
      <c r="E93" s="21">
        <f>'3_Use'!E43</f>
        <v>48.159735698801093</v>
      </c>
      <c r="F93" s="21">
        <f>'3_Use'!F43</f>
        <v>152.83320189274454</v>
      </c>
      <c r="G93" s="21">
        <f>'3_Use'!G43</f>
        <v>69.824102051921983</v>
      </c>
      <c r="H93" s="21">
        <f>'3_Use'!H43</f>
        <v>209.47230615576595</v>
      </c>
      <c r="I93" s="21">
        <f>'3_Use'!I43</f>
        <v>186.19760547179195</v>
      </c>
      <c r="J93" s="21">
        <f>'3_Use'!J43</f>
        <v>186.19760547179195</v>
      </c>
      <c r="K93" s="21">
        <f>'3_Use'!K43</f>
        <v>139.64820410384397</v>
      </c>
      <c r="L93" s="21">
        <f>'3_Use'!L43</f>
        <v>186.19760547179195</v>
      </c>
      <c r="M93" s="21">
        <f>'3_Use'!M43</f>
        <v>186.19760547179195</v>
      </c>
      <c r="N93" s="21">
        <f>'3_Use'!N43</f>
        <v>186.19760547179195</v>
      </c>
      <c r="O93" s="21">
        <f>'3_Use'!O43</f>
        <v>335.1556898492255</v>
      </c>
      <c r="P93" s="21">
        <f>'3_Use'!P43</f>
        <v>111.71856328307516</v>
      </c>
      <c r="Q93" s="21">
        <f>'3_Use'!Q43</f>
        <v>248.26347396238927</v>
      </c>
      <c r="R93" s="21">
        <f>'3_Use'!R43</f>
        <v>248.26347396238927</v>
      </c>
      <c r="S93" s="21">
        <f>'3_Use'!S43</f>
        <v>248.26347396238927</v>
      </c>
      <c r="T93" s="21">
        <f>'3_Use'!T43</f>
        <v>248.26347396238927</v>
      </c>
      <c r="U93" s="21">
        <f>'3_Use'!U43</f>
        <v>285.39102636326578</v>
      </c>
      <c r="V93" s="21">
        <f>'3_Use'!V43</f>
        <v>100.63091482649845</v>
      </c>
      <c r="W93" s="21">
        <f>'3_Use'!W43</f>
        <v>248.26347396238927</v>
      </c>
      <c r="X93" s="21">
        <f>'3_Use'!X43</f>
        <v>385.37981072555203</v>
      </c>
      <c r="Y93" s="21">
        <f>'3_Use'!Y43</f>
        <v>256.91987381703473</v>
      </c>
      <c r="Z93" s="21">
        <f>'3_Use'!Z43</f>
        <v>633.83921843270355</v>
      </c>
      <c r="AA93" s="21">
        <f>'3_Use'!AA43</f>
        <v>950.75882764905521</v>
      </c>
      <c r="AB93" s="21">
        <f>'3_Use'!AB43</f>
        <v>633.83921843270355</v>
      </c>
      <c r="AC93" s="21">
        <f>'3_Use'!AC43</f>
        <v>633.83921843270355</v>
      </c>
      <c r="AD93" s="21">
        <f>'3_Use'!AD43</f>
        <v>633.83921843270355</v>
      </c>
      <c r="AE93" s="21">
        <f>'3_Use'!AE43</f>
        <v>633.83921843270355</v>
      </c>
      <c r="AF93" s="21">
        <f>'3_Use'!AF43</f>
        <v>327.32119856560905</v>
      </c>
      <c r="AG93" s="21">
        <f>'3_Use'!AG43</f>
        <v>0</v>
      </c>
      <c r="AH93" s="21">
        <f>'3_Use'!AH43</f>
        <v>2635.85766361673</v>
      </c>
      <c r="AI93" s="21">
        <f>'3_Use'!AI43</f>
        <v>0</v>
      </c>
      <c r="AJ93" s="21">
        <f>'3_Use'!AJ43</f>
        <v>1080.6231939381089</v>
      </c>
      <c r="AK93" s="21">
        <f>'3_Use'!AK43</f>
        <v>38872.939674263442</v>
      </c>
      <c r="AL93" s="21">
        <f>'3_Use'!AL43</f>
        <v>16022.905382046149</v>
      </c>
      <c r="AM93" s="21">
        <f>'3_Use'!AM43</f>
        <v>15557.109122700123</v>
      </c>
      <c r="AN93" s="21">
        <f>'3_Use'!AN43</f>
        <v>6412.4321335086734</v>
      </c>
      <c r="AO93" s="21">
        <f>'3_Use'!AO43</f>
        <v>504948.14168996748</v>
      </c>
      <c r="AP93" s="21">
        <f>'3_Use'!AP43</f>
        <v>376134.84023844521</v>
      </c>
      <c r="AQ93" s="21">
        <f>'3_Use'!AQ43</f>
        <v>340831.25201618258</v>
      </c>
      <c r="AR93" s="21">
        <f>'3_Use'!AR43</f>
        <v>322644.55505319877</v>
      </c>
      <c r="AS93" s="21">
        <f>'3_Use'!AS43</f>
        <v>370895.72319084388</v>
      </c>
      <c r="AT93" s="21">
        <f>'3_Use'!AT43</f>
        <v>130780.48180261381</v>
      </c>
      <c r="AU93" s="21">
        <f>'3_Use'!AU43</f>
        <v>322644.55505319877</v>
      </c>
      <c r="AV93" s="21">
        <f>'3_Use'!AV43</f>
        <v>322644.55505319877</v>
      </c>
      <c r="AW93" s="21">
        <f>'3_Use'!AW43</f>
        <v>322644.55505319877</v>
      </c>
      <c r="AX93" s="21">
        <f>'3_Use'!AX43</f>
        <v>322644.55505319877</v>
      </c>
      <c r="AY93" s="21">
        <f>'3_Use'!AY43</f>
        <v>914616.3393930617</v>
      </c>
      <c r="AZ93" s="21">
        <f>'3_Use'!AZ43</f>
        <v>527611.01392188238</v>
      </c>
      <c r="BA93" s="21">
        <f>'3_Use'!BA43</f>
        <v>1013002.8257991917</v>
      </c>
      <c r="BB93" s="21">
        <f>'3_Use'!BB43</f>
        <v>352904.17115859571</v>
      </c>
      <c r="BC93" s="21">
        <f>'3_Use'!BC43</f>
        <v>944604.80996054062</v>
      </c>
      <c r="BD93" s="21">
        <f>'3_Use'!BD43</f>
        <v>944604.80996054062</v>
      </c>
      <c r="BE93" s="21">
        <f>'3_Use'!BE43</f>
        <v>944604.80996054062</v>
      </c>
      <c r="BF93" s="21">
        <f>'3_Use'!BF43</f>
        <v>944604.80996054062</v>
      </c>
      <c r="BG93" s="21">
        <f>'3_Use'!BG43</f>
        <v>944604.80996054062</v>
      </c>
      <c r="BH93" s="21">
        <f>'3_Use'!BH43</f>
        <v>944604.80996054062</v>
      </c>
      <c r="BI93" s="21">
        <f>'3_Use'!BI43</f>
        <v>944604.80996054062</v>
      </c>
      <c r="BJ93" s="21">
        <f>'3_Use'!BJ43</f>
        <v>703634.19517468847</v>
      </c>
      <c r="BK93" s="21">
        <f>'3_Use'!BK43</f>
        <v>667696.86070466379</v>
      </c>
      <c r="BL93" s="21">
        <f>'3_Use'!BL43</f>
        <v>603570.09650697233</v>
      </c>
      <c r="BM93" s="21">
        <f>'3_Use'!BM43</f>
        <v>603570.09650697233</v>
      </c>
      <c r="BN93" s="21">
        <f>'3_Use'!BN43</f>
        <v>603570.09650697233</v>
      </c>
      <c r="BO93" s="21">
        <f>'3_Use'!BO43</f>
        <v>693833.39633117267</v>
      </c>
      <c r="BP93" s="21">
        <f>'3_Use'!BP43</f>
        <v>244650.61252875271</v>
      </c>
      <c r="BQ93" s="21">
        <f>'3_Use'!BQ43</f>
        <v>603570.09650697233</v>
      </c>
      <c r="BR93" s="21">
        <f>'3_Use'!BR43</f>
        <v>603570.09650697233</v>
      </c>
      <c r="BS93" s="21">
        <f>'3_Use'!BS43</f>
        <v>603570.09650697233</v>
      </c>
      <c r="BT93" s="21">
        <f>'3_Use'!BT43</f>
        <v>603570.09650697233</v>
      </c>
      <c r="BU93" s="21">
        <f>'3_Use'!BU43</f>
        <v>603570.09650697233</v>
      </c>
      <c r="BV93" s="21">
        <f>'3_Use'!BV43</f>
        <v>603570.09650697233</v>
      </c>
      <c r="BW93" s="21">
        <f>'3_Use'!BW43</f>
        <v>603570.09650697233</v>
      </c>
      <c r="BX93" s="21">
        <f>'3_Use'!BX43</f>
        <v>693833.39633117267</v>
      </c>
      <c r="BY93" s="21">
        <f>'3_Use'!BY43</f>
        <v>244650.61252875271</v>
      </c>
      <c r="BZ93" s="21">
        <f>'3_Use'!BZ43</f>
        <v>603570.09650697233</v>
      </c>
      <c r="CA93" s="21">
        <f>'3_Use'!CA43</f>
        <v>603570.09650697233</v>
      </c>
      <c r="CB93" s="21">
        <f>'3_Use'!CB43</f>
        <v>603570.09650697233</v>
      </c>
      <c r="CC93" s="21">
        <f>'3_Use'!CC43</f>
        <v>603570.09650697233</v>
      </c>
      <c r="CD93" s="21">
        <f>'3_Use'!CD43</f>
        <v>1710969.7454627817</v>
      </c>
      <c r="CE93" s="21">
        <f>'3_Use'!CE43</f>
        <v>987000.16970211954</v>
      </c>
      <c r="CF93" s="21">
        <f>'3_Use'!CF43</f>
        <v>1895021.018497092</v>
      </c>
      <c r="CG93" s="21">
        <f>'3_Use'!CG43</f>
        <v>660176.65975731751</v>
      </c>
      <c r="CH93" s="21">
        <f>'3_Use'!CH43</f>
        <v>944604.80996054062</v>
      </c>
      <c r="CI93" s="21">
        <f>'3_Use'!CI43</f>
        <v>703634.19517468847</v>
      </c>
      <c r="CJ93" s="21">
        <f>'3_Use'!CJ43</f>
        <v>667696.86070466379</v>
      </c>
      <c r="CK93" s="21">
        <f>'3_Use'!CK43</f>
        <v>603570.09650697233</v>
      </c>
      <c r="CL93" s="21">
        <f>'3_Use'!CL43</f>
        <v>603570.09650697233</v>
      </c>
      <c r="CM93" s="21">
        <f>'3_Use'!CM43</f>
        <v>660176.65975731751</v>
      </c>
      <c r="CN93" s="21">
        <f>'3_Use'!CN43</f>
        <v>657175.1549935604</v>
      </c>
      <c r="CO93" s="21">
        <f>'3_Use'!CO43</f>
        <v>483774.1717469226</v>
      </c>
      <c r="CP93" s="21">
        <f>'3_Use'!CP43</f>
        <v>388338.42132843978</v>
      </c>
      <c r="CQ93" s="21">
        <f>'3_Use'!CQ43</f>
        <v>339174.54990073649</v>
      </c>
      <c r="CR93" s="21">
        <f>'3_Use'!CR43</f>
        <v>403279.9076456906</v>
      </c>
      <c r="CS93" s="21">
        <f>'3_Use'!CS43</f>
        <v>1229375.3776692327</v>
      </c>
      <c r="CT93" s="21">
        <f>'3_Use'!CT43</f>
        <v>904994.73478089855</v>
      </c>
      <c r="CU93" s="21">
        <f>'3_Use'!CU43</f>
        <v>807845.78602265252</v>
      </c>
      <c r="CV93" s="21">
        <f>'3_Use'!CV43</f>
        <v>634492.70291433297</v>
      </c>
      <c r="CW93" s="21">
        <f>'3_Use'!CW43</f>
        <v>634492.70291433297</v>
      </c>
      <c r="CX93" s="21">
        <f>'3_Use'!CX43</f>
        <v>754414.38252971123</v>
      </c>
      <c r="CY93" s="21">
        <f>'3_Use'!CY43</f>
        <v>1229375.3776692327</v>
      </c>
      <c r="CZ93" s="21">
        <f>'3_Use'!CZ43</f>
        <v>904994.73478089855</v>
      </c>
      <c r="DA93" s="21">
        <f>'3_Use'!DA43</f>
        <v>796469.35447671986</v>
      </c>
      <c r="DB93" s="21">
        <f>'3_Use'!DB43</f>
        <v>634492.70291433297</v>
      </c>
      <c r="DC93" s="21">
        <f>'3_Use'!DC43</f>
        <v>634492.70291433297</v>
      </c>
      <c r="DD93" s="21">
        <f>'3_Use'!DD43</f>
        <v>754414.38252971123</v>
      </c>
      <c r="DE93" s="21">
        <f>'3_Use'!DE43</f>
        <v>2097641.4894116251</v>
      </c>
      <c r="DF93" s="21">
        <f>'3_Use'!DF43</f>
        <v>1544161.8059526819</v>
      </c>
      <c r="DH93" s="21">
        <f>'3_Use'!DH43</f>
        <v>1359696.0150482859</v>
      </c>
      <c r="DI93" s="21">
        <f>'3_Use'!DI43</f>
        <v>1359696.0150482859</v>
      </c>
      <c r="DJ93" s="21">
        <f>'3_Use'!DJ43</f>
        <v>1381653.4973086612</v>
      </c>
      <c r="DK93" s="21">
        <f>'3_Use'!DK43</f>
        <v>4875982.1358465841</v>
      </c>
      <c r="DL93" s="21">
        <f>'3_Use'!DL43</f>
        <v>8126636.8930776399</v>
      </c>
      <c r="DM93" s="21">
        <f>'3_Use'!DM43</f>
        <v>5851178.5630159015</v>
      </c>
      <c r="DN93" s="21">
        <f>'3_Use'!DN43</f>
        <v>6501309.5144621124</v>
      </c>
      <c r="DO93" s="21">
        <f>'3_Use'!DO43</f>
        <v>6501309.5144621124</v>
      </c>
      <c r="DP93" s="21">
        <f>'3_Use'!DP43</f>
        <v>6501309.5144621124</v>
      </c>
      <c r="DQ93" s="21">
        <f>'3_Use'!DQ43</f>
        <v>6501309.5144621124</v>
      </c>
      <c r="DR93" s="21">
        <f>'3_Use'!DR43</f>
        <v>4785886.3831517119</v>
      </c>
      <c r="DS93" s="21">
        <f>'3_Use'!DS43</f>
        <v>2059699.684542587</v>
      </c>
      <c r="DT93" s="21">
        <f>'3_Use'!DT43</f>
        <v>5081422.5418243948</v>
      </c>
      <c r="DU93" s="21">
        <f>'3_Use'!DU43</f>
        <v>5081422.5418243948</v>
      </c>
      <c r="DV93" s="21">
        <f>'3_Use'!DV43</f>
        <v>6929323.1243187198</v>
      </c>
      <c r="DW93" s="21">
        <f>'3_Use'!DW43</f>
        <v>4634829.390123101</v>
      </c>
      <c r="DX93" s="21">
        <f>'3_Use'!DX43</f>
        <v>436916319.58357471</v>
      </c>
      <c r="DY93" s="21">
        <f>'3_Use'!DY43</f>
        <v>436916319.58357471</v>
      </c>
      <c r="DZ93" s="21">
        <f>'3_Use'!DZ43</f>
        <v>436916319.58357471</v>
      </c>
      <c r="EA93" s="21">
        <f>'3_Use'!EA43</f>
        <v>436916319.58357471</v>
      </c>
      <c r="EB93" s="21">
        <f>'3_Use'!EB43</f>
        <v>436916319.58357471</v>
      </c>
      <c r="EC93" s="21">
        <f>'3_Use'!EC43</f>
        <v>436916319.58357471</v>
      </c>
      <c r="ED93" s="21">
        <f>'3_Use'!ED43</f>
        <v>436916319.58357471</v>
      </c>
    </row>
    <row r="94" spans="1:134" x14ac:dyDescent="0.3">
      <c r="A94" s="21" t="s">
        <v>850</v>
      </c>
      <c r="D94" s="21">
        <f>'4_Operational_Services'!D15</f>
        <v>0</v>
      </c>
      <c r="E94" s="21">
        <f>'4_Operational_Services'!E15</f>
        <v>2179.8657165170457</v>
      </c>
      <c r="F94" s="21">
        <f>'4_Operational_Services'!F15</f>
        <v>383.67369022862238</v>
      </c>
      <c r="G94" s="21">
        <f>'4_Operational_Services'!G15</f>
        <v>1211.0365091761366</v>
      </c>
      <c r="H94" s="21">
        <f>'4_Operational_Services'!H15</f>
        <v>1211.0365091761364</v>
      </c>
      <c r="I94" s="21">
        <f>'4_Operational_Services'!I15</f>
        <v>259.19663644932047</v>
      </c>
      <c r="J94" s="21">
        <f>'4_Operational_Services'!J15</f>
        <v>639.45615038103733</v>
      </c>
      <c r="K94" s="21">
        <f>'4_Operational_Services'!K15</f>
        <v>807.35767278409116</v>
      </c>
      <c r="L94" s="21">
        <f>'4_Operational_Services'!L15</f>
        <v>2422.0730183522733</v>
      </c>
      <c r="M94" s="21">
        <f>'4_Operational_Services'!M15</f>
        <v>605.51825458806832</v>
      </c>
      <c r="N94" s="21">
        <f>'4_Operational_Services'!N15</f>
        <v>1816.5547637642048</v>
      </c>
      <c r="O94" s="21">
        <f>'4_Operational_Services'!O15</f>
        <v>2179.8657165170457</v>
      </c>
      <c r="P94" s="21">
        <f>'4_Operational_Services'!P15</f>
        <v>726.62190550568187</v>
      </c>
      <c r="Q94" s="21">
        <f>'4_Operational_Services'!Q15</f>
        <v>1211.0365091761366</v>
      </c>
      <c r="R94" s="21">
        <f>'4_Operational_Services'!R15</f>
        <v>1211.0365091761366</v>
      </c>
      <c r="S94" s="21">
        <f>'4_Operational_Services'!S15</f>
        <v>1211.0365091761366</v>
      </c>
      <c r="T94" s="21">
        <f>'4_Operational_Services'!T15</f>
        <v>1211.0365091761366</v>
      </c>
      <c r="U94" s="21">
        <f>'4_Operational_Services'!U15</f>
        <v>1211.0365091761366</v>
      </c>
      <c r="V94" s="21">
        <f>'4_Operational_Services'!V15</f>
        <v>1211.0365091761366</v>
      </c>
      <c r="W94" s="21">
        <f>'4_Operational_Services'!W15</f>
        <v>1211.0365091761366</v>
      </c>
      <c r="X94" s="21">
        <f>'4_Operational_Services'!X15</f>
        <v>145.03949306944784</v>
      </c>
      <c r="Y94" s="21">
        <f>'4_Operational_Services'!Y15</f>
        <v>2032.9907492512261</v>
      </c>
      <c r="Z94" s="21">
        <f>'4_Operational_Services'!Z15</f>
        <v>1016.4953746256131</v>
      </c>
      <c r="AA94" s="21">
        <f>'4_Operational_Services'!AA15</f>
        <v>2032.9907492512257</v>
      </c>
      <c r="AB94" s="21">
        <f>'4_Operational_Services'!AB15</f>
        <v>2032.9907492512261</v>
      </c>
      <c r="AC94" s="21">
        <f>'4_Operational_Services'!AC15</f>
        <v>435.11847920834356</v>
      </c>
      <c r="AD94" s="21">
        <f>'4_Operational_Services'!AD15</f>
        <v>1355.3271661674842</v>
      </c>
      <c r="AE94" s="21">
        <f>'4_Operational_Services'!AE15</f>
        <v>2032.9907492512261</v>
      </c>
      <c r="AF94" s="21">
        <f>'4_Operational_Services'!AF15</f>
        <v>2473.8980953493724</v>
      </c>
      <c r="AG94" s="21">
        <f>'4_Operational_Services'!AG15</f>
        <v>0</v>
      </c>
      <c r="AH94" s="21">
        <f>'4_Operational_Services'!AH15</f>
        <v>0</v>
      </c>
      <c r="AI94" s="21">
        <f>'4_Operational_Services'!AI15</f>
        <v>1964.075808598642</v>
      </c>
      <c r="AJ94" s="21">
        <f>'4_Operational_Services'!AJ15</f>
        <v>1964.075808598642</v>
      </c>
      <c r="AK94" s="21">
        <f>'4_Operational_Services'!AK15</f>
        <v>0</v>
      </c>
      <c r="AL94" s="21">
        <f>'4_Operational_Services'!AL15</f>
        <v>0</v>
      </c>
      <c r="AM94" s="21">
        <f>'4_Operational_Services'!AM15</f>
        <v>0</v>
      </c>
      <c r="AN94" s="21">
        <f>'4_Operational_Services'!AN15</f>
        <v>3824.779206218408</v>
      </c>
      <c r="AO94" s="21">
        <f>'4_Operational_Services'!AO15</f>
        <v>0</v>
      </c>
      <c r="AP94" s="21">
        <f>'4_Operational_Services'!AP15</f>
        <v>0</v>
      </c>
      <c r="AQ94" s="21">
        <f>'4_Operational_Services'!AQ15</f>
        <v>0</v>
      </c>
      <c r="AR94" s="21">
        <f>'4_Operational_Services'!AR15</f>
        <v>0</v>
      </c>
      <c r="AS94" s="21">
        <f>'4_Operational_Services'!AS15</f>
        <v>0</v>
      </c>
      <c r="AT94" s="21">
        <f>'4_Operational_Services'!AT15</f>
        <v>0</v>
      </c>
      <c r="AU94" s="21">
        <f>'4_Operational_Services'!AU15</f>
        <v>0</v>
      </c>
      <c r="AV94" s="21">
        <f>'4_Operational_Services'!AV15</f>
        <v>0</v>
      </c>
      <c r="AW94" s="21">
        <f>'4_Operational_Services'!AW15</f>
        <v>0</v>
      </c>
      <c r="AX94" s="21">
        <f>'4_Operational_Services'!AX15</f>
        <v>0</v>
      </c>
      <c r="AY94" s="21">
        <f>'4_Operational_Services'!AY15</f>
        <v>0</v>
      </c>
      <c r="AZ94" s="21">
        <f>'4_Operational_Services'!AZ15</f>
        <v>0</v>
      </c>
      <c r="BA94" s="21">
        <f>'4_Operational_Services'!BA15</f>
        <v>0</v>
      </c>
      <c r="BB94" s="21">
        <f>'4_Operational_Services'!BB15</f>
        <v>0</v>
      </c>
      <c r="BC94" s="21">
        <f>'4_Operational_Services'!BC15</f>
        <v>168228.56015509018</v>
      </c>
      <c r="BD94" s="21">
        <f>'4_Operational_Services'!BD15</f>
        <v>168228.56015509018</v>
      </c>
      <c r="BE94" s="21">
        <f>'4_Operational_Services'!BE15</f>
        <v>168228.56015509018</v>
      </c>
      <c r="BF94" s="21">
        <f>'4_Operational_Services'!BF15</f>
        <v>168228.56015509018</v>
      </c>
      <c r="BG94" s="21">
        <f>'4_Operational_Services'!BG15</f>
        <v>168228.56015509018</v>
      </c>
      <c r="BH94" s="21">
        <f>'4_Operational_Services'!BH15</f>
        <v>168228.56015509018</v>
      </c>
      <c r="BI94" s="21">
        <f>'4_Operational_Services'!BI15</f>
        <v>168228.56015509018</v>
      </c>
      <c r="BJ94" s="21">
        <f>'4_Operational_Services'!BJ15</f>
        <v>125313.11113593454</v>
      </c>
      <c r="BK94" s="21">
        <f>'4_Operational_Services'!BK15</f>
        <v>118912.88326290826</v>
      </c>
      <c r="BL94" s="21">
        <f>'4_Operational_Services'!BL15</f>
        <v>168228.56015509018</v>
      </c>
      <c r="BM94" s="21">
        <f>'4_Operational_Services'!BM15</f>
        <v>125313.11113593454</v>
      </c>
      <c r="BN94" s="21">
        <f>'4_Operational_Services'!BN15</f>
        <v>118912.88326290826</v>
      </c>
      <c r="BO94" s="21">
        <f>'4_Operational_Services'!BO15</f>
        <v>123567.64651366227</v>
      </c>
      <c r="BP94" s="21">
        <f>'4_Operational_Services'!BP15</f>
        <v>43570.834970120697</v>
      </c>
      <c r="BQ94" s="21">
        <f>'4_Operational_Services'!BQ15</f>
        <v>107492.28377555939</v>
      </c>
      <c r="BR94" s="21">
        <f>'4_Operational_Services'!BR15</f>
        <v>107492.28377555939</v>
      </c>
      <c r="BS94" s="21">
        <f>'4_Operational_Services'!BS15</f>
        <v>107492.28377555939</v>
      </c>
      <c r="BT94" s="21">
        <f>'4_Operational_Services'!BT15</f>
        <v>107492.28377555939</v>
      </c>
      <c r="BU94" s="21">
        <f>'4_Operational_Services'!BU15</f>
        <v>107492.28377555939</v>
      </c>
      <c r="BV94" s="21">
        <f>'4_Operational_Services'!BV15</f>
        <v>107492.28377555939</v>
      </c>
      <c r="BW94" s="21">
        <f>'4_Operational_Services'!BW15</f>
        <v>107492.28377555939</v>
      </c>
      <c r="BX94" s="21">
        <f>'4_Operational_Services'!BX15</f>
        <v>123567.64651366227</v>
      </c>
      <c r="BY94" s="21">
        <f>'4_Operational_Services'!BY15</f>
        <v>43570.834970120697</v>
      </c>
      <c r="BZ94" s="21">
        <f>'4_Operational_Services'!BZ15</f>
        <v>107492.28377555939</v>
      </c>
      <c r="CA94" s="21">
        <f>'4_Operational_Services'!CA15</f>
        <v>107492.28377555939</v>
      </c>
      <c r="CB94" s="21">
        <f>'4_Operational_Services'!CB15</f>
        <v>107492.28377555939</v>
      </c>
      <c r="CC94" s="21">
        <f>'4_Operational_Services'!CC15</f>
        <v>107492.28377555939</v>
      </c>
      <c r="CD94" s="21">
        <f>'4_Operational_Services'!CD15</f>
        <v>304713.64713900699</v>
      </c>
      <c r="CE94" s="21">
        <f>'4_Operational_Services'!CE15</f>
        <v>175778.92434059634</v>
      </c>
      <c r="CF94" s="21">
        <f>'4_Operational_Services'!CF15</f>
        <v>337492.09621187038</v>
      </c>
      <c r="CG94" s="21">
        <f>'4_Operational_Services'!CG15</f>
        <v>117573.57971066204</v>
      </c>
      <c r="CH94" s="21">
        <f>'4_Operational_Services'!CH15</f>
        <v>168228.56015509018</v>
      </c>
      <c r="CI94" s="21">
        <f>'4_Operational_Services'!CI15</f>
        <v>125313.11113593454</v>
      </c>
      <c r="CJ94" s="21">
        <f>'4_Operational_Services'!CJ15</f>
        <v>118912.88326290826</v>
      </c>
      <c r="CK94" s="21">
        <f>'4_Operational_Services'!CK15</f>
        <v>107492.28377555939</v>
      </c>
      <c r="CL94" s="21">
        <f>'4_Operational_Services'!CL15</f>
        <v>107492.28377555939</v>
      </c>
      <c r="CM94" s="21">
        <f>'4_Operational_Services'!CM15</f>
        <v>117573.57971066204</v>
      </c>
      <c r="CN94" s="21">
        <f>'4_Operational_Services'!CN15</f>
        <v>0</v>
      </c>
      <c r="CO94" s="21">
        <f>'4_Operational_Services'!CO15</f>
        <v>0</v>
      </c>
      <c r="CP94" s="21">
        <f>'4_Operational_Services'!CP15</f>
        <v>0</v>
      </c>
      <c r="CQ94" s="21">
        <f>'4_Operational_Services'!CQ15</f>
        <v>0</v>
      </c>
      <c r="CR94" s="21">
        <f>'4_Operational_Services'!CR15</f>
        <v>0</v>
      </c>
      <c r="CS94" s="21">
        <f>'4_Operational_Services'!CS15</f>
        <v>218944.52314302171</v>
      </c>
      <c r="CT94" s="21">
        <f>'4_Operational_Services'!CT15</f>
        <v>161174.23876603818</v>
      </c>
      <c r="CU94" s="21">
        <f>'4_Operational_Services'!CU15</f>
        <v>143872.58245659902</v>
      </c>
      <c r="CV94" s="21">
        <f>'4_Operational_Services'!CV15</f>
        <v>112999.41807902558</v>
      </c>
      <c r="CW94" s="21">
        <f>'4_Operational_Services'!CW15</f>
        <v>112999.41807902558</v>
      </c>
      <c r="CX94" s="21">
        <f>'4_Operational_Services'!CX15</f>
        <v>134356.76379687965</v>
      </c>
      <c r="CY94" s="21">
        <f>'4_Operational_Services'!CY15</f>
        <v>125214.1588366811</v>
      </c>
      <c r="CZ94" s="21">
        <f>'4_Operational_Services'!CZ15</f>
        <v>92175.389653610036</v>
      </c>
      <c r="DA94" s="21">
        <f>'4_Operational_Services'!DA15</f>
        <v>81121.878696702945</v>
      </c>
      <c r="DB94" s="21">
        <f>'4_Operational_Services'!DB15</f>
        <v>64624.25677831169</v>
      </c>
      <c r="DC94" s="21">
        <f>'4_Operational_Services'!DC15</f>
        <v>64624.25677831169</v>
      </c>
      <c r="DD94" s="21">
        <f>'4_Operational_Services'!DD15</f>
        <v>76838.501924322438</v>
      </c>
      <c r="DE94" s="21">
        <f>'4_Operational_Services'!DE15</f>
        <v>213648.67021785068</v>
      </c>
      <c r="DF94" s="21">
        <f>'4_Operational_Services'!DF15</f>
        <v>157275.73949518055</v>
      </c>
      <c r="DH94" s="21">
        <f>'4_Operational_Services'!DH15</f>
        <v>0</v>
      </c>
      <c r="DI94" s="21">
        <f>'4_Operational_Services'!DI15</f>
        <v>0</v>
      </c>
      <c r="DJ94" s="21">
        <f>'4_Operational_Services'!DJ15</f>
        <v>0</v>
      </c>
      <c r="DK94" s="21">
        <f>'4_Operational_Services'!DK15</f>
        <v>541775.79287184274</v>
      </c>
      <c r="DL94" s="21">
        <f>'4_Operational_Services'!DL15</f>
        <v>902959.65478640446</v>
      </c>
      <c r="DM94" s="21">
        <f>'4_Operational_Services'!DM15</f>
        <v>650130.95144621131</v>
      </c>
      <c r="DN94" s="21">
        <f>'4_Operational_Services'!DN15</f>
        <v>1444735.4476582473</v>
      </c>
      <c r="DO94" s="21">
        <f>'4_Operational_Services'!DO15</f>
        <v>722367.72382912366</v>
      </c>
      <c r="DP94" s="21">
        <f>'4_Operational_Services'!DP15</f>
        <v>722367.72382912366</v>
      </c>
      <c r="DQ94" s="21">
        <f>'4_Operational_Services'!DQ15</f>
        <v>722367.72382912366</v>
      </c>
      <c r="DR94" s="21">
        <f>'4_Operational_Services'!DR15</f>
        <v>531765.15368352353</v>
      </c>
      <c r="DS94" s="21">
        <f>'4_Operational_Services'!DS15</f>
        <v>228855.52050473192</v>
      </c>
      <c r="DT94" s="21">
        <f>'4_Operational_Services'!DT15</f>
        <v>564602.50464715506</v>
      </c>
      <c r="DU94" s="21">
        <f>'4_Operational_Services'!DU15</f>
        <v>564602.50464715506</v>
      </c>
      <c r="DV94" s="21">
        <f>'4_Operational_Services'!DV15</f>
        <v>769924.79159096896</v>
      </c>
      <c r="DW94" s="21">
        <f>'4_Operational_Services'!DW15</f>
        <v>514981.04334701126</v>
      </c>
      <c r="DX94" s="21">
        <f>'4_Operational_Services'!DX15</f>
        <v>0</v>
      </c>
      <c r="DY94" s="21">
        <f>'4_Operational_Services'!DY15</f>
        <v>0</v>
      </c>
      <c r="DZ94" s="21">
        <f>'4_Operational_Services'!DZ15</f>
        <v>0</v>
      </c>
      <c r="EA94" s="21">
        <f>'4_Operational_Services'!EA15</f>
        <v>0</v>
      </c>
      <c r="EB94" s="21">
        <f>'4_Operational_Services'!EB15</f>
        <v>0</v>
      </c>
      <c r="EC94" s="21">
        <f>'4_Operational_Services'!EC15</f>
        <v>0</v>
      </c>
      <c r="ED94" s="21">
        <f>'4_Operational_Services'!ED15</f>
        <v>0</v>
      </c>
    </row>
    <row r="95" spans="1:134" x14ac:dyDescent="0.3">
      <c r="A95" s="21" t="s">
        <v>851</v>
      </c>
      <c r="D95" s="278" t="e">
        <f>NA()</f>
        <v>#N/A</v>
      </c>
      <c r="E95" s="278" t="e">
        <f>NA()</f>
        <v>#N/A</v>
      </c>
      <c r="F95" s="278" t="e">
        <f>NA()</f>
        <v>#N/A</v>
      </c>
      <c r="G95" s="278" t="e">
        <f>NA()</f>
        <v>#N/A</v>
      </c>
      <c r="H95" s="278" t="e">
        <f>NA()</f>
        <v>#N/A</v>
      </c>
      <c r="I95" s="278" t="e">
        <f>NA()</f>
        <v>#N/A</v>
      </c>
      <c r="J95" s="278" t="e">
        <f>NA()</f>
        <v>#N/A</v>
      </c>
      <c r="K95" s="278" t="e">
        <f>NA()</f>
        <v>#N/A</v>
      </c>
      <c r="L95" s="278" t="e">
        <f>NA()</f>
        <v>#N/A</v>
      </c>
      <c r="M95" s="278" t="e">
        <f>NA()</f>
        <v>#N/A</v>
      </c>
      <c r="N95" s="278" t="e">
        <f>NA()</f>
        <v>#N/A</v>
      </c>
      <c r="O95" s="278" t="e">
        <f>NA()</f>
        <v>#N/A</v>
      </c>
      <c r="P95" s="278" t="e">
        <f>NA()</f>
        <v>#N/A</v>
      </c>
      <c r="Q95" s="278" t="e">
        <f>NA()</f>
        <v>#N/A</v>
      </c>
      <c r="R95" s="278" t="e">
        <f>NA()</f>
        <v>#N/A</v>
      </c>
      <c r="S95" s="278" t="e">
        <f>NA()</f>
        <v>#N/A</v>
      </c>
      <c r="T95" s="278" t="e">
        <f>NA()</f>
        <v>#N/A</v>
      </c>
      <c r="U95" s="278" t="e">
        <f>NA()</f>
        <v>#N/A</v>
      </c>
      <c r="V95" s="278" t="e">
        <f>NA()</f>
        <v>#N/A</v>
      </c>
      <c r="W95" s="278" t="e">
        <f>NA()</f>
        <v>#N/A</v>
      </c>
      <c r="X95" s="278" t="e">
        <f>NA()</f>
        <v>#N/A</v>
      </c>
      <c r="Y95" s="278" t="e">
        <f>NA()</f>
        <v>#N/A</v>
      </c>
      <c r="Z95" s="278" t="e">
        <f>NA()</f>
        <v>#N/A</v>
      </c>
      <c r="AA95" s="278" t="e">
        <f>NA()</f>
        <v>#N/A</v>
      </c>
      <c r="AB95" s="278" t="e">
        <f>NA()</f>
        <v>#N/A</v>
      </c>
      <c r="AC95" s="278" t="e">
        <f>NA()</f>
        <v>#N/A</v>
      </c>
      <c r="AD95" s="278" t="e">
        <f>NA()</f>
        <v>#N/A</v>
      </c>
      <c r="AE95" s="278" t="e">
        <f>NA()</f>
        <v>#N/A</v>
      </c>
      <c r="AF95" s="278" t="e">
        <f>NA()</f>
        <v>#N/A</v>
      </c>
      <c r="AG95" s="278" t="e">
        <f>NA()</f>
        <v>#N/A</v>
      </c>
      <c r="AH95" s="278" t="e">
        <f>NA()</f>
        <v>#N/A</v>
      </c>
      <c r="AI95" s="278" t="e">
        <f>NA()</f>
        <v>#N/A</v>
      </c>
      <c r="AJ95" s="278" t="e">
        <f>NA()</f>
        <v>#N/A</v>
      </c>
      <c r="AK95" s="278" t="e">
        <f>NA()</f>
        <v>#N/A</v>
      </c>
      <c r="AL95" s="278" t="e">
        <f>NA()</f>
        <v>#N/A</v>
      </c>
      <c r="AM95" s="278" t="e">
        <f>NA()</f>
        <v>#N/A</v>
      </c>
      <c r="AN95" s="278" t="e">
        <f>NA()</f>
        <v>#N/A</v>
      </c>
      <c r="AO95" s="278" t="e">
        <f>NA()</f>
        <v>#N/A</v>
      </c>
      <c r="AP95" s="278" t="e">
        <f>NA()</f>
        <v>#N/A</v>
      </c>
      <c r="AQ95" s="278" t="e">
        <f>NA()</f>
        <v>#N/A</v>
      </c>
      <c r="AR95" s="278" t="e">
        <f>NA()</f>
        <v>#N/A</v>
      </c>
      <c r="AS95" s="278" t="e">
        <f>NA()</f>
        <v>#N/A</v>
      </c>
      <c r="AT95" s="278" t="e">
        <f>NA()</f>
        <v>#N/A</v>
      </c>
      <c r="AU95" s="278" t="e">
        <f>NA()</f>
        <v>#N/A</v>
      </c>
      <c r="AV95" s="278" t="e">
        <f>NA()</f>
        <v>#N/A</v>
      </c>
      <c r="AW95" s="278" t="e">
        <f>NA()</f>
        <v>#N/A</v>
      </c>
      <c r="AX95" s="278" t="e">
        <f>NA()</f>
        <v>#N/A</v>
      </c>
      <c r="AY95" s="278" t="e">
        <f>NA()</f>
        <v>#N/A</v>
      </c>
      <c r="AZ95" s="278" t="e">
        <f>NA()</f>
        <v>#N/A</v>
      </c>
      <c r="BA95" s="278" t="e">
        <f>NA()</f>
        <v>#N/A</v>
      </c>
      <c r="BB95" s="278" t="e">
        <f>NA()</f>
        <v>#N/A</v>
      </c>
      <c r="BC95" s="278" t="e">
        <f>NA()</f>
        <v>#N/A</v>
      </c>
      <c r="BD95" s="278" t="e">
        <f>NA()</f>
        <v>#N/A</v>
      </c>
      <c r="BE95" s="278" t="e">
        <f>NA()</f>
        <v>#N/A</v>
      </c>
      <c r="BF95" s="278" t="e">
        <f>NA()</f>
        <v>#N/A</v>
      </c>
      <c r="BG95" s="278" t="e">
        <f>NA()</f>
        <v>#N/A</v>
      </c>
      <c r="BH95" s="278" t="e">
        <f>NA()</f>
        <v>#N/A</v>
      </c>
      <c r="BI95" s="278" t="e">
        <f>NA()</f>
        <v>#N/A</v>
      </c>
      <c r="BJ95" s="278" t="e">
        <f>NA()</f>
        <v>#N/A</v>
      </c>
      <c r="BK95" s="278" t="e">
        <f>NA()</f>
        <v>#N/A</v>
      </c>
      <c r="BL95" s="278" t="e">
        <f>NA()</f>
        <v>#N/A</v>
      </c>
      <c r="BM95" s="278" t="e">
        <f>NA()</f>
        <v>#N/A</v>
      </c>
      <c r="BN95" s="278" t="e">
        <f>NA()</f>
        <v>#N/A</v>
      </c>
      <c r="BO95" s="278" t="e">
        <f>NA()</f>
        <v>#N/A</v>
      </c>
      <c r="BP95" s="278" t="e">
        <f>NA()</f>
        <v>#N/A</v>
      </c>
      <c r="BQ95" s="278" t="e">
        <f>NA()</f>
        <v>#N/A</v>
      </c>
      <c r="BR95" s="278" t="e">
        <f>NA()</f>
        <v>#N/A</v>
      </c>
      <c r="BS95" s="278" t="e">
        <f>NA()</f>
        <v>#N/A</v>
      </c>
      <c r="BT95" s="278" t="e">
        <f>NA()</f>
        <v>#N/A</v>
      </c>
      <c r="BU95" s="278" t="e">
        <f>NA()</f>
        <v>#N/A</v>
      </c>
      <c r="BV95" s="278" t="e">
        <f>NA()</f>
        <v>#N/A</v>
      </c>
      <c r="BW95" s="278" t="e">
        <f>NA()</f>
        <v>#N/A</v>
      </c>
      <c r="BX95" s="278" t="e">
        <f>NA()</f>
        <v>#N/A</v>
      </c>
      <c r="BY95" s="278" t="e">
        <f>NA()</f>
        <v>#N/A</v>
      </c>
      <c r="BZ95" s="278" t="e">
        <f>NA()</f>
        <v>#N/A</v>
      </c>
      <c r="CA95" s="278" t="e">
        <f>NA()</f>
        <v>#N/A</v>
      </c>
      <c r="CB95" s="278" t="e">
        <f>NA()</f>
        <v>#N/A</v>
      </c>
      <c r="CC95" s="278" t="e">
        <f>NA()</f>
        <v>#N/A</v>
      </c>
      <c r="CD95" s="278" t="e">
        <f>NA()</f>
        <v>#N/A</v>
      </c>
      <c r="CE95" s="278" t="e">
        <f>NA()</f>
        <v>#N/A</v>
      </c>
      <c r="CF95" s="278" t="e">
        <f>NA()</f>
        <v>#N/A</v>
      </c>
      <c r="CG95" s="278" t="e">
        <f>NA()</f>
        <v>#N/A</v>
      </c>
      <c r="CH95" s="278" t="e">
        <f>NA()</f>
        <v>#N/A</v>
      </c>
      <c r="CI95" s="278" t="e">
        <f>NA()</f>
        <v>#N/A</v>
      </c>
      <c r="CJ95" s="278" t="e">
        <f>NA()</f>
        <v>#N/A</v>
      </c>
      <c r="CK95" s="278" t="e">
        <f>NA()</f>
        <v>#N/A</v>
      </c>
      <c r="CL95" s="278" t="e">
        <f>NA()</f>
        <v>#N/A</v>
      </c>
      <c r="CM95" s="278" t="e">
        <f>NA()</f>
        <v>#N/A</v>
      </c>
      <c r="CN95" s="278" t="e">
        <f>NA()</f>
        <v>#N/A</v>
      </c>
      <c r="CO95" s="278" t="e">
        <f>NA()</f>
        <v>#N/A</v>
      </c>
      <c r="CP95" s="278" t="e">
        <f>NA()</f>
        <v>#N/A</v>
      </c>
      <c r="CQ95" s="278" t="e">
        <f>NA()</f>
        <v>#N/A</v>
      </c>
      <c r="CR95" s="278" t="e">
        <f>NA()</f>
        <v>#N/A</v>
      </c>
      <c r="CS95" s="278" t="e">
        <f>NA()</f>
        <v>#N/A</v>
      </c>
      <c r="CT95" s="278" t="e">
        <f>NA()</f>
        <v>#N/A</v>
      </c>
      <c r="CU95" s="278" t="e">
        <f>NA()</f>
        <v>#N/A</v>
      </c>
      <c r="CV95" s="278" t="e">
        <f>NA()</f>
        <v>#N/A</v>
      </c>
      <c r="CW95" s="278" t="e">
        <f>NA()</f>
        <v>#N/A</v>
      </c>
      <c r="CX95" s="278" t="e">
        <f>NA()</f>
        <v>#N/A</v>
      </c>
      <c r="CY95" s="278" t="e">
        <f>NA()</f>
        <v>#N/A</v>
      </c>
      <c r="CZ95" s="278" t="e">
        <f>NA()</f>
        <v>#N/A</v>
      </c>
      <c r="DA95" s="278" t="e">
        <f>NA()</f>
        <v>#N/A</v>
      </c>
      <c r="DB95" s="278" t="e">
        <f>NA()</f>
        <v>#N/A</v>
      </c>
      <c r="DC95" s="278" t="e">
        <f>NA()</f>
        <v>#N/A</v>
      </c>
      <c r="DD95" s="278" t="e">
        <f>NA()</f>
        <v>#N/A</v>
      </c>
      <c r="DE95" s="278" t="e">
        <f>NA()</f>
        <v>#N/A</v>
      </c>
      <c r="DF95" s="278" t="e">
        <f>NA()</f>
        <v>#N/A</v>
      </c>
      <c r="DG95" s="278"/>
      <c r="DH95" s="278" t="e">
        <f>NA()</f>
        <v>#N/A</v>
      </c>
      <c r="DI95" s="278" t="e">
        <f>NA()</f>
        <v>#N/A</v>
      </c>
      <c r="DJ95" s="278" t="e">
        <f>NA()</f>
        <v>#N/A</v>
      </c>
      <c r="DK95" s="278" t="e">
        <f>NA()</f>
        <v>#N/A</v>
      </c>
      <c r="DL95" s="278" t="e">
        <f>NA()</f>
        <v>#N/A</v>
      </c>
      <c r="DM95" s="278" t="e">
        <f>NA()</f>
        <v>#N/A</v>
      </c>
      <c r="DN95" s="278" t="e">
        <f>NA()</f>
        <v>#N/A</v>
      </c>
      <c r="DO95" s="278" t="e">
        <f>NA()</f>
        <v>#N/A</v>
      </c>
      <c r="DP95" s="278" t="e">
        <f>NA()</f>
        <v>#N/A</v>
      </c>
      <c r="DQ95" s="278" t="e">
        <f>NA()</f>
        <v>#N/A</v>
      </c>
      <c r="DR95" s="278" t="e">
        <f>NA()</f>
        <v>#N/A</v>
      </c>
      <c r="DS95" s="278" t="e">
        <f>NA()</f>
        <v>#N/A</v>
      </c>
      <c r="DT95" s="278" t="e">
        <f>NA()</f>
        <v>#N/A</v>
      </c>
      <c r="DU95" s="278" t="e">
        <f>NA()</f>
        <v>#N/A</v>
      </c>
      <c r="DV95" s="278" t="e">
        <f>NA()</f>
        <v>#N/A</v>
      </c>
      <c r="DW95" s="278" t="e">
        <f>NA()</f>
        <v>#N/A</v>
      </c>
      <c r="DX95" s="278" t="e">
        <f>NA()</f>
        <v>#N/A</v>
      </c>
      <c r="DY95" s="278" t="e">
        <f>NA()</f>
        <v>#N/A</v>
      </c>
      <c r="DZ95" s="278" t="e">
        <f>NA()</f>
        <v>#N/A</v>
      </c>
      <c r="EA95" s="278" t="e">
        <f>NA()</f>
        <v>#N/A</v>
      </c>
      <c r="EB95" s="278" t="e">
        <f>NA()</f>
        <v>#N/A</v>
      </c>
      <c r="EC95" s="278" t="e">
        <f>NA()</f>
        <v>#N/A</v>
      </c>
      <c r="ED95" s="278" t="e">
        <f>NA()</f>
        <v>#N/A</v>
      </c>
    </row>
    <row r="97" spans="1:134" x14ac:dyDescent="0.3">
      <c r="DQ97" s="21">
        <f ca="1">DQ98*Tech_Spec_Escoot!$F$6</f>
        <v>147.14798949676808</v>
      </c>
    </row>
    <row r="98" spans="1:134" x14ac:dyDescent="0.3">
      <c r="A98" s="21" t="s">
        <v>857</v>
      </c>
      <c r="B98" s="21" t="s">
        <v>1132</v>
      </c>
      <c r="D98" s="21">
        <f t="shared" ref="D98:AE98" ca="1" si="224">SUM(D99:D103)</f>
        <v>37.029179275461942</v>
      </c>
      <c r="E98" s="21">
        <f t="shared" ca="1" si="224"/>
        <v>508.2686822909418</v>
      </c>
      <c r="F98" s="21">
        <f t="shared" ca="1" si="224"/>
        <v>26.523720343004591</v>
      </c>
      <c r="G98" s="21">
        <f t="shared" ca="1" si="224"/>
        <v>222.60825776517575</v>
      </c>
      <c r="H98" s="21">
        <f t="shared" ca="1" si="224"/>
        <v>81.030681231246987</v>
      </c>
      <c r="I98" s="21">
        <f t="shared" ref="I98" ca="1" si="225">SUM(I99:I103)</f>
        <v>81.964544030226051</v>
      </c>
      <c r="J98" s="21">
        <f t="shared" ca="1" si="224"/>
        <v>85.632151258728797</v>
      </c>
      <c r="K98" s="21">
        <f t="shared" ref="K98" ca="1" si="226">SUM(K99:K103)</f>
        <v>104.84923673219038</v>
      </c>
      <c r="L98" s="21">
        <f t="shared" ca="1" si="224"/>
        <v>151.41957582545879</v>
      </c>
      <c r="M98" s="21">
        <f t="shared" ca="1" si="224"/>
        <v>99.328301979034237</v>
      </c>
      <c r="N98" s="21">
        <f t="shared" ca="1" si="224"/>
        <v>134.05581787665062</v>
      </c>
      <c r="O98" s="21">
        <f t="shared" ca="1" si="224"/>
        <v>84.933985926584569</v>
      </c>
      <c r="P98" s="21">
        <f t="shared" ca="1" si="224"/>
        <v>164.32917092972923</v>
      </c>
      <c r="Q98" s="21">
        <f t="shared" ca="1" si="224"/>
        <v>113.87163287145503</v>
      </c>
      <c r="R98" s="21">
        <f t="shared" ca="1" si="224"/>
        <v>120.22444581919848</v>
      </c>
      <c r="S98" s="21">
        <f t="shared" ca="1" si="224"/>
        <v>130.76020775149334</v>
      </c>
      <c r="T98" s="21">
        <f t="shared" ca="1" si="224"/>
        <v>89.523736326986921</v>
      </c>
      <c r="U98" s="21">
        <f t="shared" ca="1" si="224"/>
        <v>127.31229990265743</v>
      </c>
      <c r="V98" s="21">
        <f t="shared" ca="1" si="224"/>
        <v>115.62412167538943</v>
      </c>
      <c r="W98" s="21">
        <f t="shared" ca="1" si="224"/>
        <v>117.04803934532677</v>
      </c>
      <c r="X98" s="21">
        <f t="shared" ref="X98:Y98" ca="1" si="227">SUM(X99:X103)</f>
        <v>37.02135067149802</v>
      </c>
      <c r="Y98" s="21">
        <f t="shared" ca="1" si="227"/>
        <v>99.761831846152873</v>
      </c>
      <c r="Z98" s="21">
        <f t="shared" ca="1" si="224"/>
        <v>88.95103104187551</v>
      </c>
      <c r="AA98" s="21">
        <f t="shared" ref="AA98" ca="1" si="228">SUM(AA99:AA103)</f>
        <v>71.209477427110471</v>
      </c>
      <c r="AB98" s="21">
        <f t="shared" ref="AB98:AC98" ca="1" si="229">SUM(AB99:AB103)</f>
        <v>77.033133432665664</v>
      </c>
      <c r="AC98" s="21">
        <f t="shared" ca="1" si="229"/>
        <v>76.599810212847757</v>
      </c>
      <c r="AD98" s="21">
        <f t="shared" ref="AD98" ca="1" si="230">SUM(AD99:AD103)</f>
        <v>93.068104651551437</v>
      </c>
      <c r="AE98" s="21">
        <f t="shared" ca="1" si="224"/>
        <v>101.30225187090326</v>
      </c>
      <c r="AF98" s="21">
        <f t="shared" ref="AF98" si="231">SUM(AF99:AF103)</f>
        <v>132.76381389647381</v>
      </c>
      <c r="AG98" s="21">
        <f t="shared" ref="AG98:BL98" ca="1" si="232">SUM(AG99:AG103)</f>
        <v>16.93824515660598</v>
      </c>
      <c r="AH98" s="21">
        <f t="shared" ca="1" si="232"/>
        <v>24.735671254209745</v>
      </c>
      <c r="AI98" s="21">
        <f t="shared" ca="1" si="232"/>
        <v>57.505037246899882</v>
      </c>
      <c r="AJ98" s="21">
        <f t="shared" ca="1" si="232"/>
        <v>74.055035178949936</v>
      </c>
      <c r="AK98" s="21">
        <f t="shared" ca="1" si="232"/>
        <v>73.116667945061394</v>
      </c>
      <c r="AL98" s="21">
        <f t="shared" ca="1" si="232"/>
        <v>25.685414916413087</v>
      </c>
      <c r="AM98" s="21">
        <f t="shared" ca="1" si="232"/>
        <v>85.084207329638076</v>
      </c>
      <c r="AN98" s="21">
        <f t="shared" ca="1" si="232"/>
        <v>63.965388596873368</v>
      </c>
      <c r="AO98" s="21">
        <f t="shared" ca="1" si="232"/>
        <v>161.97203672281782</v>
      </c>
      <c r="AP98" s="21">
        <f t="shared" ca="1" si="232"/>
        <v>132.2777663422327</v>
      </c>
      <c r="AQ98" s="21">
        <f t="shared" ca="1" si="232"/>
        <v>87.357199261871642</v>
      </c>
      <c r="AR98" s="21">
        <f t="shared" ca="1" si="232"/>
        <v>70.272939769610559</v>
      </c>
      <c r="AS98" s="21">
        <f t="shared" ca="1" si="232"/>
        <v>188.58572573616235</v>
      </c>
      <c r="AT98" s="21">
        <f t="shared" ca="1" si="232"/>
        <v>53.846431564093663</v>
      </c>
      <c r="AU98" s="21">
        <f t="shared" ca="1" si="232"/>
        <v>64.85863756008527</v>
      </c>
      <c r="AV98" s="21">
        <f t="shared" ca="1" si="232"/>
        <v>65.110327264356997</v>
      </c>
      <c r="AW98" s="21">
        <f t="shared" ca="1" si="232"/>
        <v>75.435552274864136</v>
      </c>
      <c r="AX98" s="21">
        <f t="shared" ca="1" si="232"/>
        <v>70.272939769610559</v>
      </c>
      <c r="AY98" s="21">
        <f t="shared" ca="1" si="232"/>
        <v>213.52038360611166</v>
      </c>
      <c r="AZ98" s="21">
        <f t="shared" ca="1" si="232"/>
        <v>51.565823429561824</v>
      </c>
      <c r="BA98" s="21">
        <f t="shared" ca="1" si="232"/>
        <v>92.589918737028398</v>
      </c>
      <c r="BB98" s="21">
        <f t="shared" ca="1" si="232"/>
        <v>133.40880708387149</v>
      </c>
      <c r="BC98" s="21">
        <f t="shared" ca="1" si="232"/>
        <v>164.28845393770735</v>
      </c>
      <c r="BD98" s="21">
        <f t="shared" ca="1" si="232"/>
        <v>327.37244706941971</v>
      </c>
      <c r="BE98" s="21">
        <f t="shared" ca="1" si="232"/>
        <v>238.4832395869945</v>
      </c>
      <c r="BF98" s="21">
        <f t="shared" ca="1" si="232"/>
        <v>427.71649214816904</v>
      </c>
      <c r="BG98" s="21">
        <f t="shared" ca="1" si="232"/>
        <v>213.85824607408452</v>
      </c>
      <c r="BH98" s="21">
        <f t="shared" ca="1" si="232"/>
        <v>220.75689917324848</v>
      </c>
      <c r="BI98" s="21">
        <f t="shared" ca="1" si="232"/>
        <v>275.94612396656066</v>
      </c>
      <c r="BJ98" s="21">
        <f t="shared" ca="1" si="232"/>
        <v>218.75147129098434</v>
      </c>
      <c r="BK98" s="21">
        <f t="shared" ca="1" si="232"/>
        <v>172.65761423912247</v>
      </c>
      <c r="BL98" s="21">
        <f t="shared" ca="1" si="232"/>
        <v>137.91054284176633</v>
      </c>
      <c r="BM98" s="21">
        <f t="shared" ref="BM98:CR98" ca="1" si="233">SUM(BM99:BM103)</f>
        <v>68.955271420883165</v>
      </c>
      <c r="BN98" s="21">
        <f t="shared" ca="1" si="233"/>
        <v>71.179635015105191</v>
      </c>
      <c r="BO98" s="21">
        <f t="shared" ca="1" si="233"/>
        <v>308.61869951820597</v>
      </c>
      <c r="BP98" s="21">
        <f t="shared" ca="1" si="233"/>
        <v>58.479221583415224</v>
      </c>
      <c r="BQ98" s="21">
        <f t="shared" ca="1" si="233"/>
        <v>83.849255539899758</v>
      </c>
      <c r="BR98" s="21">
        <f t="shared" ca="1" si="233"/>
        <v>83.900888824495752</v>
      </c>
      <c r="BS98" s="21">
        <f t="shared" ca="1" si="233"/>
        <v>94.048198713267254</v>
      </c>
      <c r="BT98" s="21">
        <f t="shared" ca="1" si="233"/>
        <v>88.974543768881489</v>
      </c>
      <c r="BU98" s="21">
        <f t="shared" ca="1" si="233"/>
        <v>174.89328578125989</v>
      </c>
      <c r="BV98" s="21">
        <f t="shared" ca="1" si="233"/>
        <v>87.446642890629946</v>
      </c>
      <c r="BW98" s="21">
        <f t="shared" ca="1" si="233"/>
        <v>90.267502338714763</v>
      </c>
      <c r="BX98" s="21">
        <f t="shared" ca="1" si="233"/>
        <v>332.47853367271802</v>
      </c>
      <c r="BY98" s="21">
        <f t="shared" ca="1" si="233"/>
        <v>82.339055737927225</v>
      </c>
      <c r="BZ98" s="21">
        <f t="shared" ca="1" si="233"/>
        <v>103.7581186206591</v>
      </c>
      <c r="CA98" s="21">
        <f t="shared" ca="1" si="233"/>
        <v>102.687068034622</v>
      </c>
      <c r="CB98" s="21">
        <f t="shared" ca="1" si="233"/>
        <v>122.98168781216498</v>
      </c>
      <c r="CC98" s="21">
        <f t="shared" ca="1" si="233"/>
        <v>112.8343779233935</v>
      </c>
      <c r="CD98" s="21">
        <f t="shared" ca="1" si="233"/>
        <v>352.03607393368918</v>
      </c>
      <c r="CE98" s="21">
        <f t="shared" ca="1" si="233"/>
        <v>51.372266982273786</v>
      </c>
      <c r="CF98" s="21">
        <f t="shared" ca="1" si="233"/>
        <v>127.53227543424056</v>
      </c>
      <c r="CG98" s="21">
        <f t="shared" ca="1" si="233"/>
        <v>207.18333604239646</v>
      </c>
      <c r="CH98" s="21">
        <f t="shared" ca="1" si="233"/>
        <v>358.46779826014085</v>
      </c>
      <c r="CI98" s="21">
        <f t="shared" ca="1" si="233"/>
        <v>283.35037489039445</v>
      </c>
      <c r="CJ98" s="21">
        <f t="shared" ca="1" si="233"/>
        <v>223.1420811780923</v>
      </c>
      <c r="CK98" s="21">
        <f t="shared" ca="1" si="233"/>
        <v>115.89723219889754</v>
      </c>
      <c r="CL98" s="21">
        <f t="shared" ca="1" si="233"/>
        <v>142.2609569854944</v>
      </c>
      <c r="CM98" s="21">
        <f t="shared" ca="1" si="233"/>
        <v>269.14150211549503</v>
      </c>
      <c r="CN98" s="21">
        <f t="shared" ca="1" si="233"/>
        <v>206.93798916840151</v>
      </c>
      <c r="CO98" s="21">
        <f t="shared" ca="1" si="233"/>
        <v>166.83531336435001</v>
      </c>
      <c r="CP98" s="21">
        <f t="shared" ca="1" si="233"/>
        <v>104.62895226728511</v>
      </c>
      <c r="CQ98" s="21">
        <f t="shared" ca="1" si="233"/>
        <v>77.481503183287643</v>
      </c>
      <c r="CR98" s="21">
        <f t="shared" ca="1" si="233"/>
        <v>156.24735333485137</v>
      </c>
      <c r="CS98" s="21">
        <f t="shared" ref="CS98:DF98" ca="1" si="234">SUM(CS99:CS103)</f>
        <v>353.71173659769562</v>
      </c>
      <c r="CT98" s="21">
        <f t="shared" ca="1" si="234"/>
        <v>276.56080550438224</v>
      </c>
      <c r="CU98" s="21">
        <f t="shared" ca="1" si="234"/>
        <v>213.08741030182441</v>
      </c>
      <c r="CV98" s="21">
        <f t="shared" ca="1" si="234"/>
        <v>96.891777519418056</v>
      </c>
      <c r="CW98" s="21">
        <f t="shared" ca="1" si="234"/>
        <v>117.49233064322456</v>
      </c>
      <c r="CX98" s="21">
        <f t="shared" ca="1" si="234"/>
        <v>239.57524156035174</v>
      </c>
      <c r="CY98" s="21">
        <f t="shared" ca="1" si="234"/>
        <v>96.256362401973348</v>
      </c>
      <c r="CZ98" s="21">
        <f t="shared" ca="1" si="234"/>
        <v>75.383848027820918</v>
      </c>
      <c r="DA98" s="21">
        <f t="shared" ca="1" si="234"/>
        <v>55.270685780843394</v>
      </c>
      <c r="DB98" s="21">
        <f t="shared" ca="1" si="234"/>
        <v>27.075846420931867</v>
      </c>
      <c r="DC98" s="21">
        <f t="shared" ca="1" si="234"/>
        <v>32.938985339156943</v>
      </c>
      <c r="DD98" s="21">
        <f t="shared" ca="1" si="234"/>
        <v>65.498421494791316</v>
      </c>
      <c r="DE98" s="21">
        <f t="shared" ca="1" si="234"/>
        <v>72.421777163485928</v>
      </c>
      <c r="DF98" s="21">
        <f t="shared" ca="1" si="234"/>
        <v>55.93050645892032</v>
      </c>
      <c r="DH98" s="21">
        <f t="shared" ref="DH98:DS98" ca="1" si="235">SUM(DH99:DH103)</f>
        <v>22.954621597581347</v>
      </c>
      <c r="DI98" s="21">
        <f t="shared" ca="1" si="235"/>
        <v>28.551318772018313</v>
      </c>
      <c r="DJ98" s="21">
        <f t="shared" ca="1" si="235"/>
        <v>48.505768179150948</v>
      </c>
      <c r="DK98" s="21">
        <f t="shared" ca="1" si="235"/>
        <v>94.062667793796408</v>
      </c>
      <c r="DL98" s="21">
        <f t="shared" ca="1" si="235"/>
        <v>89.968726440333342</v>
      </c>
      <c r="DM98" s="21">
        <f t="shared" ca="1" si="235"/>
        <v>95.297794648049177</v>
      </c>
      <c r="DN98" s="21">
        <f t="shared" ca="1" si="235"/>
        <v>99.84593508217273</v>
      </c>
      <c r="DO98" s="21">
        <f t="shared" ca="1" si="235"/>
        <v>183.00790889576399</v>
      </c>
      <c r="DP98" s="21">
        <f t="shared" ca="1" si="235"/>
        <v>61.002636298588008</v>
      </c>
      <c r="DQ98" s="21">
        <f t="shared" ca="1" si="235"/>
        <v>91.433521668933466</v>
      </c>
      <c r="DR98" s="21">
        <f t="shared" ca="1" si="235"/>
        <v>70.307322527926416</v>
      </c>
      <c r="DS98" s="21">
        <f t="shared" ca="1" si="235"/>
        <v>20.98740978141759</v>
      </c>
      <c r="DT98" s="21">
        <f t="shared" ref="DT98:ED98" ca="1" si="236">SUM(DT99:DT103)</f>
        <v>32.612263486075307</v>
      </c>
      <c r="DU98" s="21">
        <f t="shared" ca="1" si="236"/>
        <v>29.281407885753818</v>
      </c>
      <c r="DV98" s="21">
        <f t="shared" ref="DV98" ca="1" si="237">SUM(DV99:DV103)</f>
        <v>15.611820142090609</v>
      </c>
      <c r="DW98" s="21">
        <f t="shared" ca="1" si="236"/>
        <v>63.880704583450168</v>
      </c>
      <c r="DX98" s="21">
        <f t="shared" ca="1" si="236"/>
        <v>22.904382865346385</v>
      </c>
      <c r="DY98" s="21">
        <f t="shared" ca="1" si="236"/>
        <v>28.772865133945082</v>
      </c>
      <c r="DZ98" s="21">
        <f t="shared" ca="1" si="236"/>
        <v>28.772865133945082</v>
      </c>
      <c r="EA98" s="21">
        <f t="shared" ca="1" si="236"/>
        <v>22.904382865346385</v>
      </c>
      <c r="EB98" s="21">
        <f t="shared" ca="1" si="236"/>
        <v>33.473418288094528</v>
      </c>
      <c r="EC98" s="21">
        <f t="shared" ca="1" si="236"/>
        <v>20.084050972856716</v>
      </c>
      <c r="ED98" s="21">
        <f t="shared" ca="1" si="236"/>
        <v>25.105063716070894</v>
      </c>
    </row>
    <row r="99" spans="1:134" x14ac:dyDescent="0.3">
      <c r="A99" s="21" t="str">
        <f>A77</f>
        <v>Vehicle and battery manufacturing, assembly and disposal - Including fluids</v>
      </c>
      <c r="D99" s="305">
        <f t="shared" ref="D99:AE99" ca="1" si="238">D106/D$17</f>
        <v>24.73579149096523</v>
      </c>
      <c r="E99" s="305">
        <f t="shared" ca="1" si="238"/>
        <v>270.88822642106629</v>
      </c>
      <c r="F99" s="305">
        <f t="shared" ca="1" si="238"/>
        <v>14.822806505180806</v>
      </c>
      <c r="G99" s="305">
        <f t="shared" ca="1" si="238"/>
        <v>135.10859904030661</v>
      </c>
      <c r="H99" s="305">
        <f t="shared" ca="1" si="238"/>
        <v>45.036199680102207</v>
      </c>
      <c r="I99" s="305">
        <f t="shared" ref="I99" ca="1" si="239">I106/I$17</f>
        <v>67.554299520153307</v>
      </c>
      <c r="J99" s="305">
        <f t="shared" ca="1" si="238"/>
        <v>67.554299520153307</v>
      </c>
      <c r="K99" s="305">
        <f t="shared" ref="K99" ca="1" si="240">K106/K$17</f>
        <v>67.554299520153307</v>
      </c>
      <c r="L99" s="305">
        <f t="shared" ca="1" si="238"/>
        <v>67.554299520153307</v>
      </c>
      <c r="M99" s="305">
        <f t="shared" ca="1" si="238"/>
        <v>67.554299520153307</v>
      </c>
      <c r="N99" s="305">
        <f t="shared" ca="1" si="238"/>
        <v>67.554299520153307</v>
      </c>
      <c r="O99" s="305">
        <f t="shared" ca="1" si="238"/>
        <v>37.530166400085179</v>
      </c>
      <c r="P99" s="305">
        <f t="shared" ca="1" si="238"/>
        <v>112.59049920025552</v>
      </c>
      <c r="Q99" s="305">
        <f t="shared" ca="1" si="238"/>
        <v>64.377893046281571</v>
      </c>
      <c r="R99" s="305">
        <f t="shared" ca="1" si="238"/>
        <v>70.73070599402503</v>
      </c>
      <c r="S99" s="305">
        <f t="shared" ca="1" si="238"/>
        <v>81.266467926319876</v>
      </c>
      <c r="T99" s="305">
        <f t="shared" ca="1" si="238"/>
        <v>40.021577563988167</v>
      </c>
      <c r="U99" s="305">
        <f t="shared" ca="1" si="238"/>
        <v>67.554299520153307</v>
      </c>
      <c r="V99" s="305">
        <f t="shared" ca="1" si="238"/>
        <v>67.554299520153307</v>
      </c>
      <c r="W99" s="305">
        <f t="shared" ca="1" si="238"/>
        <v>67.554299520153307</v>
      </c>
      <c r="X99" s="305">
        <f t="shared" ref="X99:AA103" ca="1" si="241">X106/X$17</f>
        <v>25.411071788472839</v>
      </c>
      <c r="Y99" s="305">
        <f t="shared" ca="1" si="241"/>
        <v>62.385726120946849</v>
      </c>
      <c r="Z99" s="305">
        <f t="shared" ca="1" si="241"/>
        <v>62.385726120946849</v>
      </c>
      <c r="AA99" s="305">
        <f t="shared" ca="1" si="241"/>
        <v>41.590484080631235</v>
      </c>
      <c r="AB99" s="305">
        <f t="shared" ref="AB99:AC99" ca="1" si="242">AB106/AB$17</f>
        <v>38.116607682709251</v>
      </c>
      <c r="AC99" s="305">
        <f t="shared" ca="1" si="242"/>
        <v>62.385726120946849</v>
      </c>
      <c r="AD99" s="305">
        <f t="shared" ref="AD99" ca="1" si="243">AD106/AD$17</f>
        <v>62.385726120946849</v>
      </c>
      <c r="AE99" s="305">
        <f t="shared" ca="1" si="238"/>
        <v>62.385726120946849</v>
      </c>
      <c r="AF99" s="305">
        <f t="shared" ref="D99:AR103" si="244">AF106/AF$17</f>
        <v>61.776061776061773</v>
      </c>
      <c r="AG99" s="305">
        <f t="shared" ref="AG99:BL99" ca="1" si="245">AG106/AG$17</f>
        <v>6.688177195616329</v>
      </c>
      <c r="AH99" s="305">
        <f t="shared" ca="1" si="245"/>
        <v>11.491698300447505</v>
      </c>
      <c r="AI99" s="305">
        <f t="shared" ca="1" si="245"/>
        <v>20.760955028048802</v>
      </c>
      <c r="AJ99" s="305">
        <f t="shared" ca="1" si="245"/>
        <v>34.115379988835301</v>
      </c>
      <c r="AK99" s="305">
        <f t="shared" ca="1" si="245"/>
        <v>7.1247711248743535</v>
      </c>
      <c r="AL99" s="305">
        <f t="shared" ca="1" si="245"/>
        <v>8.9569586356429127</v>
      </c>
      <c r="AM99" s="305">
        <f t="shared" ca="1" si="245"/>
        <v>17.802844728140915</v>
      </c>
      <c r="AN99" s="305">
        <f t="shared" ca="1" si="245"/>
        <v>32.250238330216007</v>
      </c>
      <c r="AO99" s="305">
        <f t="shared" ca="1" si="245"/>
        <v>23.35064581327855</v>
      </c>
      <c r="AP99" s="305">
        <f t="shared" ca="1" si="245"/>
        <v>25.429816879002782</v>
      </c>
      <c r="AQ99" s="305">
        <f t="shared" ca="1" si="245"/>
        <v>31.153401521110357</v>
      </c>
      <c r="AR99" s="305">
        <f t="shared" ca="1" si="245"/>
        <v>41.026913324843555</v>
      </c>
      <c r="AS99" s="305">
        <f t="shared" ca="1" si="245"/>
        <v>41.026913324843555</v>
      </c>
      <c r="AT99" s="305">
        <f t="shared" ca="1" si="245"/>
        <v>41.026913324843555</v>
      </c>
      <c r="AU99" s="305">
        <f t="shared" ca="1" si="245"/>
        <v>35.612611115318266</v>
      </c>
      <c r="AV99" s="305">
        <f t="shared" ca="1" si="245"/>
        <v>35.900398159844805</v>
      </c>
      <c r="AW99" s="305">
        <f t="shared" ca="1" si="245"/>
        <v>46.153428489842319</v>
      </c>
      <c r="AX99" s="305">
        <f t="shared" ca="1" si="245"/>
        <v>41.026913324843555</v>
      </c>
      <c r="AY99" s="305">
        <f t="shared" ca="1" si="245"/>
        <v>37.163628636271454</v>
      </c>
      <c r="AZ99" s="305">
        <f t="shared" ca="1" si="245"/>
        <v>37.163628636271454</v>
      </c>
      <c r="BA99" s="305">
        <f t="shared" ca="1" si="245"/>
        <v>37.163628636271454</v>
      </c>
      <c r="BB99" s="305">
        <f t="shared" ca="1" si="245"/>
        <v>37.163628636271454</v>
      </c>
      <c r="BC99" s="305">
        <f t="shared" ca="1" si="245"/>
        <v>13.02577019147018</v>
      </c>
      <c r="BD99" s="305">
        <f t="shared" ca="1" si="245"/>
        <v>25.956043534029284</v>
      </c>
      <c r="BE99" s="305">
        <f t="shared" ca="1" si="245"/>
        <v>18.908376084392195</v>
      </c>
      <c r="BF99" s="305">
        <f t="shared" ca="1" si="245"/>
        <v>33.911918946758561</v>
      </c>
      <c r="BG99" s="305">
        <f t="shared" ca="1" si="245"/>
        <v>16.955959473379281</v>
      </c>
      <c r="BH99" s="305">
        <f t="shared" ca="1" si="245"/>
        <v>17.502925908004418</v>
      </c>
      <c r="BI99" s="305">
        <f t="shared" ca="1" si="245"/>
        <v>21.878657385005528</v>
      </c>
      <c r="BJ99" s="305">
        <f t="shared" ca="1" si="245"/>
        <v>23.759253048688674</v>
      </c>
      <c r="BK99" s="305">
        <f t="shared" ca="1" si="245"/>
        <v>28.698910082028217</v>
      </c>
      <c r="BL99" s="305">
        <f t="shared" ca="1" si="245"/>
        <v>58.88177333845929</v>
      </c>
      <c r="BM99" s="305">
        <f t="shared" ref="BM99:CR99" ca="1" si="246">BM106/BM$17</f>
        <v>29.440886669229645</v>
      </c>
      <c r="BN99" s="305">
        <f t="shared" ca="1" si="246"/>
        <v>30.390592690817694</v>
      </c>
      <c r="BO99" s="305">
        <f t="shared" ca="1" si="246"/>
        <v>37.988240863522122</v>
      </c>
      <c r="BP99" s="305">
        <f t="shared" ca="1" si="246"/>
        <v>37.988240863522122</v>
      </c>
      <c r="BQ99" s="305">
        <f t="shared" ca="1" si="246"/>
        <v>32.862952634540385</v>
      </c>
      <c r="BR99" s="305">
        <f t="shared" ca="1" si="246"/>
        <v>32.950061262032378</v>
      </c>
      <c r="BS99" s="305">
        <f t="shared" ca="1" si="246"/>
        <v>43.026420465011874</v>
      </c>
      <c r="BT99" s="305">
        <f t="shared" ca="1" si="246"/>
        <v>37.988240863522122</v>
      </c>
      <c r="BU99" s="305">
        <f t="shared" ca="1" si="246"/>
        <v>95.6445691519977</v>
      </c>
      <c r="BV99" s="305">
        <f t="shared" ca="1" si="246"/>
        <v>47.82228457599885</v>
      </c>
      <c r="BW99" s="305">
        <f t="shared" ca="1" si="246"/>
        <v>49.364938917160096</v>
      </c>
      <c r="BX99" s="305">
        <f t="shared" ca="1" si="246"/>
        <v>61.706173646450132</v>
      </c>
      <c r="BY99" s="305">
        <f t="shared" ca="1" si="246"/>
        <v>61.706173646450132</v>
      </c>
      <c r="BZ99" s="305">
        <f t="shared" ca="1" si="246"/>
        <v>52.629914343715733</v>
      </c>
      <c r="CA99" s="305">
        <f t="shared" ca="1" si="246"/>
        <v>51.629814443470629</v>
      </c>
      <c r="CB99" s="305">
        <f t="shared" ca="1" si="246"/>
        <v>71.7825328494296</v>
      </c>
      <c r="CC99" s="305">
        <f t="shared" ca="1" si="246"/>
        <v>61.706173646450132</v>
      </c>
      <c r="CD99" s="305">
        <f t="shared" ca="1" si="246"/>
        <v>31.305649664200015</v>
      </c>
      <c r="CE99" s="305">
        <f t="shared" ca="1" si="246"/>
        <v>31.305649664200015</v>
      </c>
      <c r="CF99" s="305">
        <f t="shared" ca="1" si="246"/>
        <v>31.305649664200015</v>
      </c>
      <c r="CG99" s="305">
        <f t="shared" ca="1" si="246"/>
        <v>31.967763503099626</v>
      </c>
      <c r="CH99" s="305">
        <f t="shared" ca="1" si="246"/>
        <v>28.42146875975434</v>
      </c>
      <c r="CI99" s="305">
        <f t="shared" ca="1" si="246"/>
        <v>30.045743731136174</v>
      </c>
      <c r="CJ99" s="305">
        <f t="shared" ca="1" si="246"/>
        <v>36.132533887513077</v>
      </c>
      <c r="CK99" s="305">
        <f t="shared" ca="1" si="246"/>
        <v>49.663478010983638</v>
      </c>
      <c r="CL99" s="305">
        <f t="shared" ca="1" si="246"/>
        <v>75.842865828064035</v>
      </c>
      <c r="CM99" s="305">
        <f t="shared" ca="1" si="246"/>
        <v>41.527721547723829</v>
      </c>
      <c r="CN99" s="305">
        <f t="shared" ca="1" si="246"/>
        <v>29.191462354293481</v>
      </c>
      <c r="CO99" s="305">
        <f t="shared" ca="1" si="246"/>
        <v>31.901739610409269</v>
      </c>
      <c r="CP99" s="305">
        <f t="shared" ca="1" si="246"/>
        <v>37.413263846015298</v>
      </c>
      <c r="CQ99" s="305">
        <f t="shared" ca="1" si="246"/>
        <v>46.202877021572988</v>
      </c>
      <c r="CR99" s="305">
        <f t="shared" ca="1" si="246"/>
        <v>46.774706418161948</v>
      </c>
      <c r="CS99" s="305">
        <f t="shared" ref="CS99:DF99" ca="1" si="247">CS106/CS$17</f>
        <v>27.396187821028608</v>
      </c>
      <c r="CT99" s="305">
        <f t="shared" ca="1" si="247"/>
        <v>29.833196822628597</v>
      </c>
      <c r="CU99" s="305">
        <f t="shared" ca="1" si="247"/>
        <v>34.616393944311604</v>
      </c>
      <c r="CV99" s="305">
        <f t="shared" ca="1" si="247"/>
        <v>42.500120722440599</v>
      </c>
      <c r="CW99" s="305">
        <f t="shared" ca="1" si="247"/>
        <v>62.958772474663121</v>
      </c>
      <c r="CX99" s="305">
        <f t="shared" ca="1" si="247"/>
        <v>40.245248337701874</v>
      </c>
      <c r="CY99" s="305">
        <f t="shared" ca="1" si="247"/>
        <v>8.0741908525132082</v>
      </c>
      <c r="CZ99" s="305">
        <f t="shared" ca="1" si="247"/>
        <v>8.7060142463708488</v>
      </c>
      <c r="DA99" s="305">
        <f t="shared" ca="1" si="247"/>
        <v>9.2100694296772652</v>
      </c>
      <c r="DB99" s="305">
        <f t="shared" ca="1" si="247"/>
        <v>12.366718090653057</v>
      </c>
      <c r="DC99" s="305">
        <f t="shared" ca="1" si="247"/>
        <v>18.188861539960591</v>
      </c>
      <c r="DD99" s="305">
        <f t="shared" ca="1" si="247"/>
        <v>11.626898379417703</v>
      </c>
      <c r="DE99" s="305">
        <f t="shared" ca="1" si="247"/>
        <v>6.3772586554367487</v>
      </c>
      <c r="DF99" s="305">
        <f t="shared" ca="1" si="247"/>
        <v>6.3037728701766982</v>
      </c>
      <c r="DG99" s="305"/>
      <c r="DH99" s="305">
        <f t="shared" ref="DH99:DS99" ca="1" si="248">DH106/DH$17</f>
        <v>11.964054286275404</v>
      </c>
      <c r="DI99" s="305">
        <f t="shared" ca="1" si="248"/>
        <v>17.521618970717576</v>
      </c>
      <c r="DJ99" s="305">
        <f t="shared" ca="1" si="248"/>
        <v>9.7595570788675658</v>
      </c>
      <c r="DK99" s="305">
        <f t="shared" ca="1" si="248"/>
        <v>10.450425615234833</v>
      </c>
      <c r="DL99" s="305">
        <f t="shared" ca="1" si="248"/>
        <v>6.4334585960336144</v>
      </c>
      <c r="DM99" s="305">
        <f t="shared" ca="1" si="248"/>
        <v>7.939821228234071</v>
      </c>
      <c r="DN99" s="305">
        <f t="shared" ca="1" si="248"/>
        <v>7.9398212282340719</v>
      </c>
      <c r="DO99" s="305">
        <f t="shared" ca="1" si="248"/>
        <v>15.879642456468142</v>
      </c>
      <c r="DP99" s="305">
        <f t="shared" ca="1" si="248"/>
        <v>5.2932141521560476</v>
      </c>
      <c r="DQ99" s="305">
        <f t="shared" ca="1" si="248"/>
        <v>7.8693884492855446</v>
      </c>
      <c r="DR99" s="305">
        <f t="shared" ca="1" si="248"/>
        <v>7.8486211512578885</v>
      </c>
      <c r="DS99" s="305">
        <f t="shared" ca="1" si="248"/>
        <v>16.822043669601264</v>
      </c>
      <c r="DT99" s="305">
        <f t="shared" ref="DT99:ED99" ca="1" si="249">DT106/DT$17</f>
        <v>16.822043669601264</v>
      </c>
      <c r="DU99" s="305">
        <f t="shared" ca="1" si="249"/>
        <v>13.53010577162568</v>
      </c>
      <c r="DV99" s="305">
        <f t="shared" ref="DV99" ca="1" si="250">DV106/DV$17</f>
        <v>10.884942287579674</v>
      </c>
      <c r="DW99" s="305">
        <f t="shared" ca="1" si="249"/>
        <v>10.854654696906609</v>
      </c>
      <c r="DX99" s="305">
        <f t="shared" ca="1" si="249"/>
        <v>1.9997711156197073</v>
      </c>
      <c r="DY99" s="305">
        <f t="shared" ca="1" si="249"/>
        <v>1.9997711156197073</v>
      </c>
      <c r="DZ99" s="305">
        <f t="shared" ca="1" si="249"/>
        <v>1.9997711156197073</v>
      </c>
      <c r="EA99" s="305">
        <f t="shared" ca="1" si="249"/>
        <v>1.9997711156197073</v>
      </c>
      <c r="EB99" s="305">
        <f t="shared" ca="1" si="249"/>
        <v>2.6663614874929431</v>
      </c>
      <c r="EC99" s="305">
        <f t="shared" ca="1" si="249"/>
        <v>1.5998168924957659</v>
      </c>
      <c r="ED99" s="305">
        <f t="shared" ca="1" si="249"/>
        <v>1.9997711156197073</v>
      </c>
    </row>
    <row r="100" spans="1:134" x14ac:dyDescent="0.3">
      <c r="A100" s="21" t="str">
        <f>A78</f>
        <v>Vehicle delivery at point of purchase</v>
      </c>
      <c r="D100" s="305">
        <f t="shared" si="244"/>
        <v>1.4285308396165375</v>
      </c>
      <c r="E100" s="305">
        <f t="shared" si="244"/>
        <v>13.004556608922963</v>
      </c>
      <c r="F100" s="305">
        <f t="shared" si="244"/>
        <v>1.4449507343247736</v>
      </c>
      <c r="G100" s="305">
        <f t="shared" si="244"/>
        <v>7.8027339653537764</v>
      </c>
      <c r="H100" s="305">
        <f t="shared" si="244"/>
        <v>2.6009113217845923</v>
      </c>
      <c r="I100" s="305">
        <f t="shared" ref="I100" si="251">I107/I$17</f>
        <v>3.9013669826768882</v>
      </c>
      <c r="J100" s="305">
        <f t="shared" si="244"/>
        <v>3.9013669826768882</v>
      </c>
      <c r="K100" s="305">
        <f t="shared" ref="K100" si="252">K107/K$17</f>
        <v>3.9013669826768882</v>
      </c>
      <c r="L100" s="305">
        <f t="shared" si="244"/>
        <v>3.9013669826768882</v>
      </c>
      <c r="M100" s="305">
        <f t="shared" si="244"/>
        <v>3.9013669826768882</v>
      </c>
      <c r="N100" s="305">
        <f t="shared" si="244"/>
        <v>3.9013669826768882</v>
      </c>
      <c r="O100" s="305">
        <f t="shared" si="244"/>
        <v>2.1674261014871603</v>
      </c>
      <c r="P100" s="305">
        <f t="shared" si="244"/>
        <v>6.5022783044614814</v>
      </c>
      <c r="Q100" s="305">
        <f t="shared" si="244"/>
        <v>3.9013669826768882</v>
      </c>
      <c r="R100" s="305">
        <f t="shared" si="244"/>
        <v>3.9013669826768882</v>
      </c>
      <c r="S100" s="305">
        <f t="shared" si="244"/>
        <v>3.9013669826768882</v>
      </c>
      <c r="T100" s="305">
        <f t="shared" si="244"/>
        <v>3.9013669826768882</v>
      </c>
      <c r="U100" s="305">
        <f t="shared" si="244"/>
        <v>3.9013669826768882</v>
      </c>
      <c r="V100" s="305">
        <f t="shared" si="244"/>
        <v>3.9013669826768882</v>
      </c>
      <c r="W100" s="305">
        <f t="shared" si="244"/>
        <v>3.9013669826768882</v>
      </c>
      <c r="X100" s="305">
        <f t="shared" si="241"/>
        <v>2.1267703682506682</v>
      </c>
      <c r="Y100" s="305">
        <f t="shared" si="241"/>
        <v>3.1901555523760021</v>
      </c>
      <c r="Z100" s="305">
        <f t="shared" si="241"/>
        <v>3.1901555523760021</v>
      </c>
      <c r="AA100" s="305">
        <f t="shared" si="241"/>
        <v>2.1267703682506682</v>
      </c>
      <c r="AB100" s="305">
        <f t="shared" ref="AB100:AC100" si="253">AB107/AB$17</f>
        <v>3.1901555523760021</v>
      </c>
      <c r="AC100" s="305">
        <f t="shared" si="253"/>
        <v>3.1901555523760021</v>
      </c>
      <c r="AD100" s="305">
        <f t="shared" ref="AD100" si="254">AD107/AD$17</f>
        <v>3.1901555523760021</v>
      </c>
      <c r="AE100" s="305">
        <f t="shared" ref="AE100" si="255">AE107/AE$17</f>
        <v>3.1901555523760021</v>
      </c>
      <c r="AF100" s="305">
        <f t="shared" si="244"/>
        <v>2.9122173101063002</v>
      </c>
      <c r="AG100" s="305">
        <f t="shared" si="244"/>
        <v>0.77891338959255574</v>
      </c>
      <c r="AH100" s="305">
        <f t="shared" si="244"/>
        <v>1.0462243650270233</v>
      </c>
      <c r="AI100" s="305">
        <f t="shared" si="244"/>
        <v>2.5519519901929568</v>
      </c>
      <c r="AJ100" s="305">
        <f t="shared" si="244"/>
        <v>3.0161386199913904</v>
      </c>
      <c r="AK100" s="305">
        <f t="shared" si="244"/>
        <v>0.86037509259922573</v>
      </c>
      <c r="AL100" s="305">
        <f t="shared" si="244"/>
        <v>0.84191496895520046</v>
      </c>
      <c r="AM100" s="305">
        <f t="shared" si="244"/>
        <v>2.1498408739093349</v>
      </c>
      <c r="AN100" s="305">
        <f t="shared" si="244"/>
        <v>2.3121786136421951</v>
      </c>
      <c r="AO100" s="305">
        <f>AO107/AO$17</f>
        <v>0.51280657541198993</v>
      </c>
      <c r="AP100" s="305">
        <f t="shared" si="244"/>
        <v>0.54794640461063804</v>
      </c>
      <c r="AQ100" s="305">
        <f t="shared" si="244"/>
        <v>0.60700667783382734</v>
      </c>
      <c r="AR100" s="305">
        <f t="shared" si="244"/>
        <v>0.62236078792075766</v>
      </c>
      <c r="AS100" s="305">
        <f t="shared" ref="AS100:DT103" si="256">AS107/AS$17</f>
        <v>0.62236078792075766</v>
      </c>
      <c r="AT100" s="305">
        <f t="shared" si="256"/>
        <v>0.62236078792075766</v>
      </c>
      <c r="AU100" s="305">
        <f t="shared" si="256"/>
        <v>0.62236078792075766</v>
      </c>
      <c r="AV100" s="305">
        <f t="shared" si="256"/>
        <v>0.5862634476659393</v>
      </c>
      <c r="AW100" s="305">
        <f t="shared" si="256"/>
        <v>0.65845812817557592</v>
      </c>
      <c r="AX100" s="305">
        <f t="shared" si="256"/>
        <v>0.62236078792075766</v>
      </c>
      <c r="AY100" s="305">
        <f t="shared" si="256"/>
        <v>0.58128494191351765</v>
      </c>
      <c r="AZ100" s="305">
        <f t="shared" si="256"/>
        <v>0.58128494191351765</v>
      </c>
      <c r="BA100" s="305">
        <f t="shared" si="256"/>
        <v>0.58128494191351765</v>
      </c>
      <c r="BB100" s="305">
        <f t="shared" si="256"/>
        <v>0.58128494191351765</v>
      </c>
      <c r="BC100" s="305">
        <f t="shared" si="256"/>
        <v>0.25718221881959058</v>
      </c>
      <c r="BD100" s="305">
        <f t="shared" si="256"/>
        <v>0.51247893750120754</v>
      </c>
      <c r="BE100" s="305">
        <f t="shared" si="256"/>
        <v>0.3733290273187605</v>
      </c>
      <c r="BF100" s="305">
        <f t="shared" si="256"/>
        <v>0.66956060416824426</v>
      </c>
      <c r="BG100" s="305">
        <f t="shared" si="256"/>
        <v>0.33478030208412213</v>
      </c>
      <c r="BH100" s="305">
        <f t="shared" si="256"/>
        <v>0.34557966666748086</v>
      </c>
      <c r="BI100" s="305">
        <f t="shared" si="256"/>
        <v>0.43197458333435113</v>
      </c>
      <c r="BJ100" s="305">
        <f t="shared" si="256"/>
        <v>0.46157543832403419</v>
      </c>
      <c r="BK100" s="305">
        <f t="shared" si="256"/>
        <v>0.51132623743713712</v>
      </c>
      <c r="BL100" s="305">
        <f t="shared" si="256"/>
        <v>0.84402421996319532</v>
      </c>
      <c r="BM100" s="305">
        <f t="shared" si="256"/>
        <v>0.42201210998159766</v>
      </c>
      <c r="BN100" s="305">
        <f t="shared" si="256"/>
        <v>0.43562540385197174</v>
      </c>
      <c r="BO100" s="305">
        <f t="shared" si="256"/>
        <v>0.54453175481496474</v>
      </c>
      <c r="BP100" s="305">
        <f t="shared" si="256"/>
        <v>0.54453175481496474</v>
      </c>
      <c r="BQ100" s="305">
        <f t="shared" si="256"/>
        <v>0.54453175481496474</v>
      </c>
      <c r="BR100" s="305">
        <f t="shared" si="256"/>
        <v>0.50905641191896767</v>
      </c>
      <c r="BS100" s="305">
        <f t="shared" si="256"/>
        <v>0.58000709771096204</v>
      </c>
      <c r="BT100" s="305">
        <f t="shared" si="256"/>
        <v>0.54453175481496474</v>
      </c>
      <c r="BU100" s="305">
        <f t="shared" si="256"/>
        <v>1.0639713459183782</v>
      </c>
      <c r="BV100" s="305">
        <f t="shared" si="256"/>
        <v>0.53198567295918908</v>
      </c>
      <c r="BW100" s="305">
        <f t="shared" si="256"/>
        <v>0.54914650111916286</v>
      </c>
      <c r="BX100" s="305">
        <f t="shared" si="256"/>
        <v>0.6864331263989536</v>
      </c>
      <c r="BY100" s="305">
        <f t="shared" si="256"/>
        <v>0.6864331263989536</v>
      </c>
      <c r="BZ100" s="305">
        <f t="shared" si="256"/>
        <v>0.6864331263989536</v>
      </c>
      <c r="CA100" s="305">
        <f t="shared" si="256"/>
        <v>0.61548244060695922</v>
      </c>
      <c r="CB100" s="305">
        <f t="shared" si="256"/>
        <v>0.75738381219094786</v>
      </c>
      <c r="CC100" s="305">
        <f t="shared" si="256"/>
        <v>0.6864331263989536</v>
      </c>
      <c r="CD100" s="305">
        <f t="shared" si="256"/>
        <v>0.48965893305851194</v>
      </c>
      <c r="CE100" s="305">
        <f t="shared" si="256"/>
        <v>0.48965893305851194</v>
      </c>
      <c r="CF100" s="305">
        <f t="shared" si="256"/>
        <v>0.48965893305851194</v>
      </c>
      <c r="CG100" s="305">
        <f t="shared" si="256"/>
        <v>0.48965893305851194</v>
      </c>
      <c r="CH100" s="305">
        <f t="shared" ref="CH100:CM102" si="257">CH107/CH$17</f>
        <v>0.56115656044138273</v>
      </c>
      <c r="CI100" s="305">
        <f t="shared" si="257"/>
        <v>0.59960954960551116</v>
      </c>
      <c r="CJ100" s="305">
        <f t="shared" si="257"/>
        <v>0.66423832265512894</v>
      </c>
      <c r="CK100" s="305">
        <f t="shared" si="257"/>
        <v>0.7073739483106688</v>
      </c>
      <c r="CL100" s="305">
        <f t="shared" si="257"/>
        <v>0.89171091782711942</v>
      </c>
      <c r="CM100" s="305">
        <f t="shared" si="257"/>
        <v>0.63609141200752994</v>
      </c>
      <c r="CN100" s="305">
        <f t="shared" si="256"/>
        <v>0.65150451529287146</v>
      </c>
      <c r="CO100" s="305">
        <f t="shared" si="256"/>
        <v>0.69449832616003537</v>
      </c>
      <c r="CP100" s="305">
        <f t="shared" si="256"/>
        <v>0.75849078495400846</v>
      </c>
      <c r="CQ100" s="305">
        <f t="shared" si="256"/>
        <v>0.75443607263617052</v>
      </c>
      <c r="CR100" s="305">
        <f t="shared" si="256"/>
        <v>0.74120092670267479</v>
      </c>
      <c r="CS100" s="305">
        <f t="shared" si="256"/>
        <v>0.54881002902114195</v>
      </c>
      <c r="CT100" s="305">
        <f t="shared" si="256"/>
        <v>0.58502686871431098</v>
      </c>
      <c r="CU100" s="305">
        <f t="shared" si="256"/>
        <v>0.63893240941814955</v>
      </c>
      <c r="CV100" s="305">
        <f t="shared" si="256"/>
        <v>0.65578845240678008</v>
      </c>
      <c r="CW100" s="305">
        <f t="shared" si="256"/>
        <v>0.79768982399076904</v>
      </c>
      <c r="CX100" s="305">
        <f t="shared" si="256"/>
        <v>0.62436789392216685</v>
      </c>
      <c r="CY100" s="305">
        <f t="shared" ref="CY100:DD102" si="258">CY107/CY$17</f>
        <v>0.15855184650597362</v>
      </c>
      <c r="CZ100" s="305">
        <f t="shared" si="258"/>
        <v>0.16901493301006809</v>
      </c>
      <c r="DA100" s="305">
        <f t="shared" si="258"/>
        <v>0.18458830551337427</v>
      </c>
      <c r="DB100" s="305">
        <f t="shared" si="258"/>
        <v>0.18945803565551148</v>
      </c>
      <c r="DC100" s="305">
        <f t="shared" si="258"/>
        <v>0.2304535045730538</v>
      </c>
      <c r="DD100" s="305">
        <f t="shared" si="258"/>
        <v>0.18038060029072794</v>
      </c>
      <c r="DE100" s="305">
        <f t="shared" ref="DE100:DJ100" si="259">DE107/DE$17</f>
        <v>0.1322437913310876</v>
      </c>
      <c r="DF100" s="305">
        <f t="shared" si="259"/>
        <v>0.13583048242647483</v>
      </c>
      <c r="DG100" s="305"/>
      <c r="DH100" s="305">
        <f t="shared" si="259"/>
        <v>0.17651810188764669</v>
      </c>
      <c r="DI100" s="305">
        <f t="shared" si="259"/>
        <v>0.21565059188244026</v>
      </c>
      <c r="DJ100" s="305">
        <f t="shared" si="259"/>
        <v>0.15356610604743517</v>
      </c>
      <c r="DK100" s="305">
        <f t="shared" si="256"/>
        <v>0.19243583565461209</v>
      </c>
      <c r="DL100" s="305">
        <f t="shared" si="256"/>
        <v>0.11546150139276726</v>
      </c>
      <c r="DM100" s="305">
        <f t="shared" si="256"/>
        <v>0.14432687674095906</v>
      </c>
      <c r="DN100" s="305">
        <f t="shared" si="256"/>
        <v>0.14432687674095906</v>
      </c>
      <c r="DO100" s="305">
        <f t="shared" si="256"/>
        <v>0.28865375348191813</v>
      </c>
      <c r="DP100" s="305">
        <f t="shared" si="256"/>
        <v>9.6217917827306043E-2</v>
      </c>
      <c r="DQ100" s="305">
        <f t="shared" si="256"/>
        <v>0.14432687674095906</v>
      </c>
      <c r="DR100" s="305">
        <f t="shared" si="256"/>
        <v>0.14438992966823738</v>
      </c>
      <c r="DS100" s="305">
        <f t="shared" ref="DS100" si="260">DS107/DS$17</f>
        <v>0.23893677381355319</v>
      </c>
      <c r="DT100" s="305">
        <f t="shared" si="256"/>
        <v>0.23893677381355319</v>
      </c>
      <c r="DU100" s="305">
        <f t="shared" ref="DU100:ED102" si="261">DU107/DU$17</f>
        <v>0.20001907146764875</v>
      </c>
      <c r="DV100" s="305">
        <f t="shared" ref="DV100" si="262">DV107/DV$17</f>
        <v>0.17054391427396204</v>
      </c>
      <c r="DW100" s="305">
        <f t="shared" si="261"/>
        <v>0.17054391427396204</v>
      </c>
      <c r="DX100" s="305">
        <f t="shared" si="261"/>
        <v>2.8489666429629284E-2</v>
      </c>
      <c r="DY100" s="305">
        <f t="shared" si="261"/>
        <v>2.8489666429629284E-2</v>
      </c>
      <c r="DZ100" s="305">
        <f t="shared" si="261"/>
        <v>2.8489666429629284E-2</v>
      </c>
      <c r="EA100" s="305">
        <f t="shared" si="261"/>
        <v>2.8489666429629284E-2</v>
      </c>
      <c r="EB100" s="305">
        <f t="shared" si="261"/>
        <v>3.7986221906172381E-2</v>
      </c>
      <c r="EC100" s="305">
        <f t="shared" si="261"/>
        <v>2.2791733143703426E-2</v>
      </c>
      <c r="ED100" s="305">
        <f t="shared" si="261"/>
        <v>2.8489666429629284E-2</v>
      </c>
    </row>
    <row r="101" spans="1:134" x14ac:dyDescent="0.3">
      <c r="A101" s="21" t="str">
        <f>A79</f>
        <v>Vehicle use (including fuel production)</v>
      </c>
      <c r="D101" s="305">
        <f t="shared" si="244"/>
        <v>1.4239176699373322</v>
      </c>
      <c r="E101" s="305">
        <f t="shared" si="244"/>
        <v>6.5698646003115231</v>
      </c>
      <c r="F101" s="305">
        <f t="shared" si="244"/>
        <v>0</v>
      </c>
      <c r="G101" s="305">
        <f t="shared" si="244"/>
        <v>0.80095368933974942</v>
      </c>
      <c r="H101" s="305">
        <f t="shared" si="244"/>
        <v>0.80095368933974942</v>
      </c>
      <c r="I101" s="305">
        <f t="shared" ref="I101" si="263">I108/I$17</f>
        <v>1.067938252452999</v>
      </c>
      <c r="J101" s="305">
        <f t="shared" si="244"/>
        <v>1.067938252452999</v>
      </c>
      <c r="K101" s="305">
        <f t="shared" ref="K101" si="264">K108/K$17</f>
        <v>0.80095368933974942</v>
      </c>
      <c r="L101" s="305">
        <f t="shared" si="244"/>
        <v>1.067938252452999</v>
      </c>
      <c r="M101" s="305">
        <f t="shared" si="244"/>
        <v>1.067938252452999</v>
      </c>
      <c r="N101" s="305">
        <f t="shared" si="244"/>
        <v>1.067938252452999</v>
      </c>
      <c r="O101" s="305">
        <f t="shared" si="244"/>
        <v>1.067938252452999</v>
      </c>
      <c r="P101" s="305">
        <f t="shared" si="244"/>
        <v>1.067938252452999</v>
      </c>
      <c r="Q101" s="305">
        <f t="shared" si="244"/>
        <v>1.4239176699373322</v>
      </c>
      <c r="R101" s="305">
        <f t="shared" si="244"/>
        <v>1.4239176699373322</v>
      </c>
      <c r="S101" s="305">
        <f t="shared" si="244"/>
        <v>1.4239176699373322</v>
      </c>
      <c r="T101" s="305">
        <f t="shared" si="244"/>
        <v>1.4239176699373322</v>
      </c>
      <c r="U101" s="305">
        <f t="shared" si="244"/>
        <v>11.679759289442709</v>
      </c>
      <c r="V101" s="305">
        <f t="shared" si="244"/>
        <v>0</v>
      </c>
      <c r="W101" s="305">
        <f t="shared" si="244"/>
        <v>1.4239176699373322</v>
      </c>
      <c r="X101" s="305">
        <f t="shared" si="241"/>
        <v>0</v>
      </c>
      <c r="Y101" s="305">
        <f t="shared" si="241"/>
        <v>0</v>
      </c>
      <c r="Z101" s="305">
        <f t="shared" si="241"/>
        <v>1.5404200247503861</v>
      </c>
      <c r="AA101" s="305">
        <f t="shared" si="241"/>
        <v>1.5404200247503863</v>
      </c>
      <c r="AB101" s="305">
        <f t="shared" ref="AB101:AC101" si="265">AB108/AB$17</f>
        <v>1.5404200247503861</v>
      </c>
      <c r="AC101" s="305">
        <f t="shared" si="265"/>
        <v>1.5404200247503861</v>
      </c>
      <c r="AD101" s="305">
        <f t="shared" ref="AD101" si="266">AD108/AD$17</f>
        <v>1.5404200247503861</v>
      </c>
      <c r="AE101" s="305">
        <f t="shared" ref="AE101" si="267">AE108/AE$17</f>
        <v>1.5404200247503861</v>
      </c>
      <c r="AF101" s="305">
        <f t="shared" si="244"/>
        <v>5.6798038727492948</v>
      </c>
      <c r="AG101" s="305">
        <f t="shared" si="244"/>
        <v>0</v>
      </c>
      <c r="AH101" s="305">
        <f t="shared" si="244"/>
        <v>2.7183882789712701</v>
      </c>
      <c r="AI101" s="305">
        <f t="shared" si="244"/>
        <v>0</v>
      </c>
      <c r="AJ101" s="305">
        <f t="shared" si="244"/>
        <v>2.7183882789712706</v>
      </c>
      <c r="AK101" s="305">
        <f t="shared" si="244"/>
        <v>53.73696412283369</v>
      </c>
      <c r="AL101" s="305">
        <f t="shared" si="244"/>
        <v>4.5324601156650521</v>
      </c>
      <c r="AM101" s="305">
        <f t="shared" si="244"/>
        <v>53.736964122833704</v>
      </c>
      <c r="AN101" s="305">
        <f t="shared" si="244"/>
        <v>4.5324601156650521</v>
      </c>
      <c r="AO101" s="305">
        <f>AO108/AO$17</f>
        <v>125.63212704</v>
      </c>
      <c r="AP101" s="305">
        <f t="shared" si="244"/>
        <v>93.58311504000001</v>
      </c>
      <c r="AQ101" s="305">
        <f t="shared" si="244"/>
        <v>42.659754529241155</v>
      </c>
      <c r="AR101" s="305">
        <f t="shared" si="244"/>
        <v>16.426508205516896</v>
      </c>
      <c r="AS101" s="305">
        <f t="shared" si="256"/>
        <v>134.73929417206867</v>
      </c>
      <c r="AT101" s="305">
        <f t="shared" si="256"/>
        <v>0</v>
      </c>
      <c r="AU101" s="305">
        <f t="shared" ref="AU101:BA102" si="268">AU108/AU$17</f>
        <v>16.426508205516896</v>
      </c>
      <c r="AV101" s="305">
        <f t="shared" si="268"/>
        <v>16.426508205516896</v>
      </c>
      <c r="AW101" s="305">
        <f t="shared" si="268"/>
        <v>16.426508205516896</v>
      </c>
      <c r="AX101" s="305">
        <f t="shared" si="268"/>
        <v>16.426508205516896</v>
      </c>
      <c r="AY101" s="305">
        <f t="shared" si="268"/>
        <v>162.79128163523271</v>
      </c>
      <c r="AZ101" s="305">
        <f t="shared" si="268"/>
        <v>0.8367214586828573</v>
      </c>
      <c r="BA101" s="305">
        <f t="shared" si="268"/>
        <v>41.860816766149433</v>
      </c>
      <c r="BB101" s="305">
        <f t="shared" si="256"/>
        <v>82.679705112992522</v>
      </c>
      <c r="BC101" s="305">
        <f t="shared" ref="BC101:BH102" si="269">BC108/BC$17</f>
        <v>117.86678585430464</v>
      </c>
      <c r="BD101" s="305">
        <f t="shared" si="269"/>
        <v>234.86944571260995</v>
      </c>
      <c r="BE101" s="305">
        <f t="shared" si="269"/>
        <v>171.09694720786158</v>
      </c>
      <c r="BF101" s="305">
        <f t="shared" si="269"/>
        <v>306.86008041379307</v>
      </c>
      <c r="BG101" s="305">
        <f t="shared" si="269"/>
        <v>153.43004020689654</v>
      </c>
      <c r="BH101" s="305">
        <f t="shared" si="269"/>
        <v>158.37939634260283</v>
      </c>
      <c r="BI101" s="305">
        <f t="shared" si="256"/>
        <v>197.9742454282536</v>
      </c>
      <c r="BJ101" s="305">
        <f t="shared" si="256"/>
        <v>147.47061139043385</v>
      </c>
      <c r="BK101" s="305">
        <f t="shared" si="256"/>
        <v>103.80408180264398</v>
      </c>
      <c r="BL101" s="305">
        <f t="shared" ref="BL101:BN102" si="270">BL108/BL$17</f>
        <v>40.122218318072868</v>
      </c>
      <c r="BM101" s="305">
        <f t="shared" si="270"/>
        <v>20.061109159036434</v>
      </c>
      <c r="BN101" s="305">
        <f t="shared" si="270"/>
        <v>20.708241712553736</v>
      </c>
      <c r="BO101" s="305">
        <f t="shared" si="256"/>
        <v>212.32554698972632</v>
      </c>
      <c r="BP101" s="305">
        <f t="shared" si="256"/>
        <v>0</v>
      </c>
      <c r="BQ101" s="305">
        <f t="shared" ref="BQ101:BS102" si="271">BQ108/BQ$17</f>
        <v>25.885302140692175</v>
      </c>
      <c r="BR101" s="305">
        <f t="shared" si="271"/>
        <v>25.885302140692175</v>
      </c>
      <c r="BS101" s="305">
        <f t="shared" si="271"/>
        <v>25.885302140692175</v>
      </c>
      <c r="BT101" s="305">
        <f t="shared" si="256"/>
        <v>25.885302140692175</v>
      </c>
      <c r="BU101" s="305">
        <f t="shared" ref="BU101:BW102" si="272">BU108/BU$17</f>
        <v>40.122218318072868</v>
      </c>
      <c r="BV101" s="305">
        <f t="shared" si="272"/>
        <v>20.061109159036434</v>
      </c>
      <c r="BW101" s="305">
        <f t="shared" si="272"/>
        <v>20.708241712553736</v>
      </c>
      <c r="BX101" s="305">
        <f t="shared" si="256"/>
        <v>212.32554698972632</v>
      </c>
      <c r="BY101" s="305">
        <f t="shared" si="256"/>
        <v>0</v>
      </c>
      <c r="BZ101" s="305">
        <f t="shared" ref="BZ101:CB102" si="273">BZ108/BZ$17</f>
        <v>25.885302140692175</v>
      </c>
      <c r="CA101" s="305">
        <f t="shared" si="273"/>
        <v>25.885302140692175</v>
      </c>
      <c r="CB101" s="305">
        <f t="shared" si="273"/>
        <v>25.885302140692175</v>
      </c>
      <c r="CC101" s="305">
        <f t="shared" si="256"/>
        <v>25.885302140692175</v>
      </c>
      <c r="CD101" s="305">
        <f t="shared" ref="CD101:CF102" si="274">CD108/CD$17</f>
        <v>256.53056987383718</v>
      </c>
      <c r="CE101" s="305">
        <f t="shared" si="274"/>
        <v>1.3185265848728749</v>
      </c>
      <c r="CF101" s="305">
        <f t="shared" si="274"/>
        <v>65.96532119248613</v>
      </c>
      <c r="CG101" s="305">
        <f t="shared" si="256"/>
        <v>130.28874554327703</v>
      </c>
      <c r="CH101" s="305">
        <f t="shared" si="257"/>
        <v>257.17843342303553</v>
      </c>
      <c r="CI101" s="305">
        <f t="shared" si="257"/>
        <v>191.57169020287344</v>
      </c>
      <c r="CJ101" s="305">
        <f t="shared" si="257"/>
        <v>134.84668716969739</v>
      </c>
      <c r="CK101" s="305">
        <f t="shared" si="257"/>
        <v>33.626300425212264</v>
      </c>
      <c r="CL101" s="305">
        <f t="shared" si="257"/>
        <v>33.626300425212264</v>
      </c>
      <c r="CM101" s="305">
        <f t="shared" si="257"/>
        <v>169.25158825073376</v>
      </c>
      <c r="CN101" s="305">
        <f t="shared" si="256"/>
        <v>163.50651827999997</v>
      </c>
      <c r="CO101" s="305">
        <f t="shared" si="256"/>
        <v>120.36400015290464</v>
      </c>
      <c r="CP101" s="305">
        <f t="shared" si="256"/>
        <v>52.320695999797643</v>
      </c>
      <c r="CQ101" s="305">
        <f t="shared" si="256"/>
        <v>17.268084769409189</v>
      </c>
      <c r="CR101" s="305">
        <f t="shared" si="256"/>
        <v>94.481920496077464</v>
      </c>
      <c r="CS101" s="305">
        <f t="shared" si="256"/>
        <v>257.65765765294765</v>
      </c>
      <c r="CT101" s="305">
        <f t="shared" si="256"/>
        <v>189.67259942522978</v>
      </c>
      <c r="CU101" s="305">
        <f t="shared" si="256"/>
        <v>131.3258029009728</v>
      </c>
      <c r="CV101" s="305">
        <f t="shared" si="256"/>
        <v>27.211479521686709</v>
      </c>
      <c r="CW101" s="305">
        <f t="shared" si="256"/>
        <v>27.211479521686709</v>
      </c>
      <c r="CX101" s="305">
        <f t="shared" si="256"/>
        <v>148.88697148992554</v>
      </c>
      <c r="CY101" s="305">
        <f t="shared" si="258"/>
        <v>74.437592658688644</v>
      </c>
      <c r="CZ101" s="305">
        <f t="shared" si="258"/>
        <v>54.796631402848405</v>
      </c>
      <c r="DA101" s="305">
        <f t="shared" si="258"/>
        <v>35.966233700324452</v>
      </c>
      <c r="DB101" s="305">
        <f t="shared" si="258"/>
        <v>7.8614276273670454</v>
      </c>
      <c r="DC101" s="305">
        <f t="shared" si="258"/>
        <v>7.8614276273670454</v>
      </c>
      <c r="DD101" s="305">
        <f t="shared" si="258"/>
        <v>43.013616738225743</v>
      </c>
      <c r="DE101" s="305">
        <f t="shared" ref="DE101:DJ101" si="275">DE108/DE$17</f>
        <v>56.577985314170363</v>
      </c>
      <c r="DF101" s="305">
        <f t="shared" si="275"/>
        <v>41.649425996240709</v>
      </c>
      <c r="DG101" s="305"/>
      <c r="DH101" s="305">
        <f t="shared" si="275"/>
        <v>7.504556282622759</v>
      </c>
      <c r="DI101" s="305">
        <f t="shared" si="275"/>
        <v>7.504556282622759</v>
      </c>
      <c r="DJ101" s="305">
        <f t="shared" si="275"/>
        <v>35.09163050614972</v>
      </c>
      <c r="DK101" s="305">
        <f t="shared" si="256"/>
        <v>71.835624993896062</v>
      </c>
      <c r="DL101" s="305">
        <f t="shared" si="256"/>
        <v>71.835624993896062</v>
      </c>
      <c r="DM101" s="305">
        <f t="shared" si="256"/>
        <v>64.652062494506453</v>
      </c>
      <c r="DN101" s="305">
        <f t="shared" si="256"/>
        <v>71.835624993896076</v>
      </c>
      <c r="DO101" s="305">
        <f t="shared" si="256"/>
        <v>143.67124998779212</v>
      </c>
      <c r="DP101" s="305">
        <f t="shared" si="256"/>
        <v>47.890416662597374</v>
      </c>
      <c r="DQ101" s="305">
        <f t="shared" si="256"/>
        <v>71.835624993896062</v>
      </c>
      <c r="DR101" s="305">
        <f t="shared" si="256"/>
        <v>52.881213964464521</v>
      </c>
      <c r="DS101" s="305">
        <f t="shared" ref="DS101" si="276">DS108/DS$17</f>
        <v>0</v>
      </c>
      <c r="DT101" s="305">
        <f t="shared" si="256"/>
        <v>10.462368334191947</v>
      </c>
      <c r="DU101" s="305">
        <f t="shared" si="261"/>
        <v>10.462368334191947</v>
      </c>
      <c r="DV101" s="305">
        <f t="shared" ref="DV101" si="277">DV108/DV$17</f>
        <v>0.44440777552615163</v>
      </c>
      <c r="DW101" s="305">
        <f t="shared" si="261"/>
        <v>43.913662604355508</v>
      </c>
      <c r="DX101" s="305">
        <f t="shared" si="261"/>
        <v>12.073398680398997</v>
      </c>
      <c r="DY101" s="305">
        <f t="shared" si="261"/>
        <v>12.073398680398997</v>
      </c>
      <c r="DZ101" s="305">
        <f t="shared" si="261"/>
        <v>12.073398680398997</v>
      </c>
      <c r="EA101" s="305">
        <f t="shared" si="261"/>
        <v>12.073398680398997</v>
      </c>
      <c r="EB101" s="305">
        <f t="shared" si="261"/>
        <v>16.097864907198662</v>
      </c>
      <c r="EC101" s="305">
        <f t="shared" si="261"/>
        <v>9.6587189443191974</v>
      </c>
      <c r="ED101" s="305">
        <f t="shared" si="261"/>
        <v>12.073398680398997</v>
      </c>
    </row>
    <row r="102" spans="1:134" x14ac:dyDescent="0.3">
      <c r="A102" s="21" t="str">
        <f>A80</f>
        <v>Operational services</v>
      </c>
      <c r="D102" s="305">
        <f t="shared" si="244"/>
        <v>0</v>
      </c>
      <c r="E102" s="305">
        <f t="shared" si="244"/>
        <v>208.36509538569825</v>
      </c>
      <c r="F102" s="305">
        <f t="shared" si="244"/>
        <v>0.81502382855616651</v>
      </c>
      <c r="G102" s="305">
        <f t="shared" si="244"/>
        <v>69.455031795232756</v>
      </c>
      <c r="H102" s="305">
        <f t="shared" si="244"/>
        <v>23.151677265077584</v>
      </c>
      <c r="I102" s="305">
        <f t="shared" ref="I102" si="278">I109/I$17</f>
        <v>0</v>
      </c>
      <c r="J102" s="305">
        <f t="shared" si="244"/>
        <v>3.6676072285027495</v>
      </c>
      <c r="K102" s="305">
        <f t="shared" ref="K102" si="279">K109/K$17</f>
        <v>23.151677265077588</v>
      </c>
      <c r="L102" s="305">
        <f t="shared" si="244"/>
        <v>69.455031795232756</v>
      </c>
      <c r="M102" s="305">
        <f t="shared" si="244"/>
        <v>17.363757948808189</v>
      </c>
      <c r="N102" s="305">
        <f t="shared" si="244"/>
        <v>52.091273846424563</v>
      </c>
      <c r="O102" s="305">
        <f t="shared" si="244"/>
        <v>34.727515897616378</v>
      </c>
      <c r="P102" s="305">
        <f t="shared" si="244"/>
        <v>34.727515897616378</v>
      </c>
      <c r="Q102" s="305">
        <f t="shared" si="244"/>
        <v>34.727515897616378</v>
      </c>
      <c r="R102" s="305">
        <f t="shared" si="244"/>
        <v>34.727515897616378</v>
      </c>
      <c r="S102" s="305">
        <f t="shared" si="244"/>
        <v>34.727515897616378</v>
      </c>
      <c r="T102" s="305">
        <f t="shared" si="244"/>
        <v>34.727515897616378</v>
      </c>
      <c r="U102" s="305">
        <f t="shared" si="244"/>
        <v>34.727515897616378</v>
      </c>
      <c r="V102" s="305">
        <f t="shared" si="244"/>
        <v>34.727515897616378</v>
      </c>
      <c r="W102" s="305">
        <f t="shared" si="244"/>
        <v>34.727515897616378</v>
      </c>
      <c r="X102" s="305">
        <f t="shared" si="241"/>
        <v>0</v>
      </c>
      <c r="Y102" s="305">
        <f t="shared" si="241"/>
        <v>24.702441658055509</v>
      </c>
      <c r="Z102" s="305">
        <f t="shared" si="241"/>
        <v>12.351220829027755</v>
      </c>
      <c r="AA102" s="305">
        <f t="shared" si="241"/>
        <v>16.468294438703673</v>
      </c>
      <c r="AB102" s="305">
        <f t="shared" ref="AB102:AC102" si="280">AB109/AB$17</f>
        <v>24.702441658055509</v>
      </c>
      <c r="AC102" s="305">
        <f t="shared" si="280"/>
        <v>0</v>
      </c>
      <c r="AD102" s="305">
        <f t="shared" ref="AD102" si="281">AD109/AD$17</f>
        <v>16.468294438703676</v>
      </c>
      <c r="AE102" s="305">
        <f t="shared" ref="AE102" si="282">AE109/AE$17</f>
        <v>24.702441658055509</v>
      </c>
      <c r="AF102" s="305">
        <f t="shared" si="244"/>
        <v>52.95479166261358</v>
      </c>
      <c r="AG102" s="305">
        <f t="shared" si="244"/>
        <v>0</v>
      </c>
      <c r="AH102" s="305">
        <f t="shared" si="244"/>
        <v>0</v>
      </c>
      <c r="AI102" s="305">
        <f t="shared" si="244"/>
        <v>24.702441658055513</v>
      </c>
      <c r="AJ102" s="305">
        <f t="shared" si="244"/>
        <v>24.702441658055513</v>
      </c>
      <c r="AK102" s="305">
        <f t="shared" si="244"/>
        <v>0</v>
      </c>
      <c r="AL102" s="305">
        <f t="shared" si="244"/>
        <v>0</v>
      </c>
      <c r="AM102" s="305">
        <f t="shared" si="244"/>
        <v>0</v>
      </c>
      <c r="AN102" s="305">
        <f t="shared" si="244"/>
        <v>13.516430341200186</v>
      </c>
      <c r="AO102" s="305">
        <f>AO109/AO$17</f>
        <v>0</v>
      </c>
      <c r="AP102" s="305">
        <f t="shared" si="244"/>
        <v>0</v>
      </c>
      <c r="AQ102" s="305">
        <f t="shared" si="244"/>
        <v>0</v>
      </c>
      <c r="AR102" s="305">
        <f t="shared" si="244"/>
        <v>0</v>
      </c>
      <c r="AS102" s="305">
        <f t="shared" si="256"/>
        <v>0</v>
      </c>
      <c r="AT102" s="305">
        <f t="shared" si="256"/>
        <v>0</v>
      </c>
      <c r="AU102" s="305">
        <f t="shared" si="268"/>
        <v>0</v>
      </c>
      <c r="AV102" s="305">
        <f t="shared" si="268"/>
        <v>0</v>
      </c>
      <c r="AW102" s="305">
        <f t="shared" si="268"/>
        <v>0</v>
      </c>
      <c r="AX102" s="305">
        <f t="shared" si="268"/>
        <v>0</v>
      </c>
      <c r="AY102" s="305">
        <f t="shared" si="268"/>
        <v>0</v>
      </c>
      <c r="AZ102" s="305">
        <f t="shared" si="268"/>
        <v>0</v>
      </c>
      <c r="BA102" s="305">
        <f t="shared" si="268"/>
        <v>0</v>
      </c>
      <c r="BB102" s="305">
        <f t="shared" si="256"/>
        <v>0</v>
      </c>
      <c r="BC102" s="305">
        <f t="shared" si="269"/>
        <v>20.991381226617225</v>
      </c>
      <c r="BD102" s="305">
        <f t="shared" si="269"/>
        <v>41.828866696441061</v>
      </c>
      <c r="BE102" s="305">
        <f t="shared" si="269"/>
        <v>30.471359845089516</v>
      </c>
      <c r="BF102" s="305">
        <f t="shared" si="269"/>
        <v>54.649975262399998</v>
      </c>
      <c r="BG102" s="305">
        <f t="shared" si="269"/>
        <v>27.324987631199999</v>
      </c>
      <c r="BH102" s="305">
        <f t="shared" si="269"/>
        <v>28.206438845109673</v>
      </c>
      <c r="BI102" s="305">
        <f t="shared" si="256"/>
        <v>35.258048556387102</v>
      </c>
      <c r="BJ102" s="305">
        <f t="shared" si="256"/>
        <v>26.263648414451623</v>
      </c>
      <c r="BK102" s="305">
        <f t="shared" si="256"/>
        <v>18.486896356804994</v>
      </c>
      <c r="BL102" s="305">
        <f t="shared" si="270"/>
        <v>7.1455310693998495</v>
      </c>
      <c r="BM102" s="305">
        <f t="shared" si="270"/>
        <v>3.5727655346999247</v>
      </c>
      <c r="BN102" s="305">
        <f t="shared" si="270"/>
        <v>3.6880160358192766</v>
      </c>
      <c r="BO102" s="305">
        <f t="shared" si="256"/>
        <v>37.813930945064442</v>
      </c>
      <c r="BP102" s="305">
        <f t="shared" si="256"/>
        <v>0</v>
      </c>
      <c r="BQ102" s="305">
        <f t="shared" si="271"/>
        <v>4.6100200447740969</v>
      </c>
      <c r="BR102" s="305">
        <f t="shared" si="271"/>
        <v>4.6100200447740969</v>
      </c>
      <c r="BS102" s="305">
        <f t="shared" si="271"/>
        <v>4.6100200447740969</v>
      </c>
      <c r="BT102" s="305">
        <f t="shared" si="256"/>
        <v>4.6100200447740969</v>
      </c>
      <c r="BU102" s="305">
        <f t="shared" si="272"/>
        <v>7.1455310693998495</v>
      </c>
      <c r="BV102" s="305">
        <f t="shared" si="272"/>
        <v>3.5727655346999247</v>
      </c>
      <c r="BW102" s="305">
        <f t="shared" si="272"/>
        <v>3.6880160358192766</v>
      </c>
      <c r="BX102" s="305">
        <f t="shared" si="256"/>
        <v>37.813930945064442</v>
      </c>
      <c r="BY102" s="305">
        <f t="shared" si="256"/>
        <v>0</v>
      </c>
      <c r="BZ102" s="305">
        <f t="shared" si="273"/>
        <v>4.6100200447740969</v>
      </c>
      <c r="CA102" s="305">
        <f t="shared" si="273"/>
        <v>4.6100200447740969</v>
      </c>
      <c r="CB102" s="305">
        <f t="shared" si="273"/>
        <v>4.6100200447740969</v>
      </c>
      <c r="CC102" s="305">
        <f t="shared" si="256"/>
        <v>4.6100200447740969</v>
      </c>
      <c r="CD102" s="305">
        <f t="shared" si="274"/>
        <v>45.686585491178214</v>
      </c>
      <c r="CE102" s="305">
        <f t="shared" si="274"/>
        <v>0.23482182872712448</v>
      </c>
      <c r="CF102" s="305">
        <f t="shared" si="274"/>
        <v>11.748035673080649</v>
      </c>
      <c r="CG102" s="305">
        <f t="shared" si="256"/>
        <v>23.20365917687209</v>
      </c>
      <c r="CH102" s="305">
        <f t="shared" si="257"/>
        <v>45.801966178328378</v>
      </c>
      <c r="CI102" s="305">
        <f t="shared" si="257"/>
        <v>34.117791132836459</v>
      </c>
      <c r="CJ102" s="305">
        <f t="shared" si="257"/>
        <v>24.015401769116227</v>
      </c>
      <c r="CK102" s="305">
        <f t="shared" si="257"/>
        <v>5.9886463039630984</v>
      </c>
      <c r="CL102" s="305">
        <f t="shared" si="257"/>
        <v>5.9886463039630984</v>
      </c>
      <c r="CM102" s="305">
        <f t="shared" si="257"/>
        <v>30.142712269877737</v>
      </c>
      <c r="CN102" s="305">
        <f t="shared" si="256"/>
        <v>0</v>
      </c>
      <c r="CO102" s="305">
        <f t="shared" si="256"/>
        <v>0</v>
      </c>
      <c r="CP102" s="305">
        <f t="shared" si="256"/>
        <v>0</v>
      </c>
      <c r="CQ102" s="305">
        <f t="shared" si="256"/>
        <v>0</v>
      </c>
      <c r="CR102" s="305">
        <f t="shared" si="256"/>
        <v>0</v>
      </c>
      <c r="CS102" s="305">
        <f t="shared" si="256"/>
        <v>45.887313194709677</v>
      </c>
      <c r="CT102" s="305">
        <f t="shared" si="256"/>
        <v>33.779574236460334</v>
      </c>
      <c r="CU102" s="305">
        <f t="shared" si="256"/>
        <v>23.388352991940309</v>
      </c>
      <c r="CV102" s="305">
        <f t="shared" si="256"/>
        <v>4.8462044352858049</v>
      </c>
      <c r="CW102" s="305">
        <f t="shared" si="256"/>
        <v>4.8462044352858049</v>
      </c>
      <c r="CX102" s="305">
        <f t="shared" si="256"/>
        <v>26.5158938166411</v>
      </c>
      <c r="CY102" s="305">
        <f t="shared" si="258"/>
        <v>7.581606659681249</v>
      </c>
      <c r="CZ102" s="305">
        <f t="shared" si="258"/>
        <v>5.5811383836234487</v>
      </c>
      <c r="DA102" s="305">
        <f t="shared" si="258"/>
        <v>3.6632275065145272</v>
      </c>
      <c r="DB102" s="305">
        <f t="shared" si="258"/>
        <v>0.80070096204664354</v>
      </c>
      <c r="DC102" s="305">
        <f t="shared" si="258"/>
        <v>0.80070096204664354</v>
      </c>
      <c r="DD102" s="305">
        <f t="shared" si="258"/>
        <v>4.3810165196341035</v>
      </c>
      <c r="DE102" s="305">
        <f t="shared" ref="DE102:DJ102" si="283">DE109/DE$17</f>
        <v>5.7625725782951287</v>
      </c>
      <c r="DF102" s="305">
        <f t="shared" si="283"/>
        <v>4.2420711662837762</v>
      </c>
      <c r="DG102" s="305"/>
      <c r="DH102" s="305">
        <f t="shared" si="283"/>
        <v>0</v>
      </c>
      <c r="DI102" s="305">
        <f t="shared" si="283"/>
        <v>0</v>
      </c>
      <c r="DJ102" s="305">
        <f t="shared" si="283"/>
        <v>0</v>
      </c>
      <c r="DK102" s="305">
        <f t="shared" si="256"/>
        <v>7.9817361104328963</v>
      </c>
      <c r="DL102" s="305">
        <f t="shared" si="256"/>
        <v>7.9817361104328963</v>
      </c>
      <c r="DM102" s="305">
        <f t="shared" si="256"/>
        <v>7.1835624993896063</v>
      </c>
      <c r="DN102" s="305">
        <f t="shared" si="256"/>
        <v>15.963472220865796</v>
      </c>
      <c r="DO102" s="305">
        <f t="shared" si="256"/>
        <v>15.963472220865793</v>
      </c>
      <c r="DP102" s="305">
        <f t="shared" si="256"/>
        <v>5.3211574069552645</v>
      </c>
      <c r="DQ102" s="305">
        <f t="shared" si="256"/>
        <v>7.9817361104328963</v>
      </c>
      <c r="DR102" s="305">
        <f t="shared" si="256"/>
        <v>5.8756904404960579</v>
      </c>
      <c r="DS102" s="305">
        <f t="shared" ref="DS102" si="284">DS109/DS$17</f>
        <v>0</v>
      </c>
      <c r="DT102" s="305">
        <f t="shared" si="256"/>
        <v>1.1624853704657718</v>
      </c>
      <c r="DU102" s="305">
        <f t="shared" si="261"/>
        <v>1.1624853704657718</v>
      </c>
      <c r="DV102" s="305">
        <f t="shared" ref="DV102" si="285">DV109/DV$17</f>
        <v>4.9378641725127959E-2</v>
      </c>
      <c r="DW102" s="305">
        <f t="shared" si="261"/>
        <v>4.8792958449283903</v>
      </c>
      <c r="DX102" s="305">
        <f t="shared" si="261"/>
        <v>0</v>
      </c>
      <c r="DY102" s="305">
        <f t="shared" si="261"/>
        <v>0</v>
      </c>
      <c r="DZ102" s="305">
        <f t="shared" si="261"/>
        <v>0</v>
      </c>
      <c r="EA102" s="305">
        <f t="shared" si="261"/>
        <v>0</v>
      </c>
      <c r="EB102" s="305">
        <f t="shared" si="261"/>
        <v>0</v>
      </c>
      <c r="EC102" s="305">
        <f t="shared" si="261"/>
        <v>0</v>
      </c>
      <c r="ED102" s="305">
        <f t="shared" si="261"/>
        <v>0</v>
      </c>
    </row>
    <row r="103" spans="1:134" x14ac:dyDescent="0.3">
      <c r="A103" s="21" t="str">
        <f>A81</f>
        <v>Infrastructure network (from the vehicleperspective)</v>
      </c>
      <c r="D103" s="305">
        <f t="shared" si="244"/>
        <v>9.4409392749428456</v>
      </c>
      <c r="E103" s="305">
        <f t="shared" si="244"/>
        <v>9.4409392749428456</v>
      </c>
      <c r="F103" s="305">
        <f t="shared" si="244"/>
        <v>9.4409392749428456</v>
      </c>
      <c r="G103" s="305">
        <f t="shared" si="244"/>
        <v>9.4409392749428456</v>
      </c>
      <c r="H103" s="305">
        <f t="shared" si="244"/>
        <v>9.4409392749428456</v>
      </c>
      <c r="I103" s="305">
        <f t="shared" ref="I103" si="286">I110/I$17</f>
        <v>9.4409392749428456</v>
      </c>
      <c r="J103" s="305">
        <f t="shared" si="244"/>
        <v>9.4409392749428456</v>
      </c>
      <c r="K103" s="305">
        <f t="shared" ref="K103" si="287">K110/K$17</f>
        <v>9.4409392749428456</v>
      </c>
      <c r="L103" s="305">
        <f t="shared" si="244"/>
        <v>9.4409392749428456</v>
      </c>
      <c r="M103" s="305">
        <f t="shared" si="244"/>
        <v>9.4409392749428456</v>
      </c>
      <c r="N103" s="305">
        <f t="shared" si="244"/>
        <v>9.4409392749428456</v>
      </c>
      <c r="O103" s="305">
        <f t="shared" si="244"/>
        <v>9.4409392749428456</v>
      </c>
      <c r="P103" s="305">
        <f t="shared" si="244"/>
        <v>9.4409392749428456</v>
      </c>
      <c r="Q103" s="305">
        <f t="shared" si="244"/>
        <v>9.4409392749428456</v>
      </c>
      <c r="R103" s="305">
        <f t="shared" si="244"/>
        <v>9.4409392749428456</v>
      </c>
      <c r="S103" s="305">
        <f t="shared" si="244"/>
        <v>9.4409392749428456</v>
      </c>
      <c r="T103" s="305">
        <f t="shared" si="244"/>
        <v>9.4493582127681535</v>
      </c>
      <c r="U103" s="305">
        <f t="shared" si="244"/>
        <v>9.4493582127681535</v>
      </c>
      <c r="V103" s="305">
        <f t="shared" si="244"/>
        <v>9.4409392749428456</v>
      </c>
      <c r="W103" s="305">
        <f t="shared" si="244"/>
        <v>9.4409392749428456</v>
      </c>
      <c r="X103" s="305">
        <f t="shared" si="241"/>
        <v>9.4835085147745115</v>
      </c>
      <c r="Y103" s="305">
        <f t="shared" si="241"/>
        <v>9.4835085147745115</v>
      </c>
      <c r="Z103" s="305">
        <f t="shared" si="241"/>
        <v>9.4835085147745115</v>
      </c>
      <c r="AA103" s="305">
        <f t="shared" si="241"/>
        <v>9.4835085147745115</v>
      </c>
      <c r="AB103" s="305">
        <f t="shared" ref="AB103:AC103" si="288">AB110/AB$17</f>
        <v>9.4835085147745115</v>
      </c>
      <c r="AC103" s="305">
        <f t="shared" si="288"/>
        <v>9.4835085147745115</v>
      </c>
      <c r="AD103" s="305">
        <f t="shared" ref="AD103" si="289">AD110/AD$17</f>
        <v>9.4835085147745115</v>
      </c>
      <c r="AE103" s="305">
        <f t="shared" ref="AE103" si="290">AE110/AE$17</f>
        <v>9.4835085147745115</v>
      </c>
      <c r="AF103" s="305">
        <f t="shared" si="244"/>
        <v>9.4409392749428456</v>
      </c>
      <c r="AG103" s="305">
        <f t="shared" si="244"/>
        <v>9.471154571397097</v>
      </c>
      <c r="AH103" s="305">
        <f t="shared" si="244"/>
        <v>9.4793603097639458</v>
      </c>
      <c r="AI103" s="305">
        <f t="shared" si="244"/>
        <v>9.4896885706026097</v>
      </c>
      <c r="AJ103" s="305">
        <f t="shared" si="244"/>
        <v>9.5026866330964577</v>
      </c>
      <c r="AK103" s="305">
        <f t="shared" si="244"/>
        <v>11.394557604754132</v>
      </c>
      <c r="AL103" s="305">
        <f t="shared" si="244"/>
        <v>11.354081196149926</v>
      </c>
      <c r="AM103" s="305">
        <f t="shared" si="244"/>
        <v>11.394557604754132</v>
      </c>
      <c r="AN103" s="305">
        <f t="shared" si="244"/>
        <v>11.354081196149926</v>
      </c>
      <c r="AO103" s="305">
        <f>AO110/AO$17</f>
        <v>12.476457294127272</v>
      </c>
      <c r="AP103" s="305">
        <f t="shared" si="244"/>
        <v>12.716888018619265</v>
      </c>
      <c r="AQ103" s="305">
        <f t="shared" si="244"/>
        <v>12.937036533686294</v>
      </c>
      <c r="AR103" s="305">
        <f t="shared" si="244"/>
        <v>12.197157451329351</v>
      </c>
      <c r="AS103" s="305">
        <f t="shared" si="256"/>
        <v>12.197157451329351</v>
      </c>
      <c r="AT103" s="305">
        <f t="shared" si="256"/>
        <v>12.197157451329351</v>
      </c>
      <c r="AU103" s="305">
        <f t="shared" si="256"/>
        <v>12.197157451329351</v>
      </c>
      <c r="AV103" s="305">
        <f t="shared" si="256"/>
        <v>12.197157451329351</v>
      </c>
      <c r="AW103" s="305">
        <f t="shared" si="256"/>
        <v>12.197157451329351</v>
      </c>
      <c r="AX103" s="305">
        <f t="shared" si="256"/>
        <v>12.197157451329351</v>
      </c>
      <c r="AY103" s="305">
        <f t="shared" si="256"/>
        <v>12.984188392693992</v>
      </c>
      <c r="AZ103" s="305">
        <f t="shared" si="256"/>
        <v>12.984188392693992</v>
      </c>
      <c r="BA103" s="305">
        <f t="shared" ref="BA103:ED103" si="291">BA110/BA$17</f>
        <v>12.984188392693992</v>
      </c>
      <c r="BB103" s="305">
        <f t="shared" si="291"/>
        <v>12.984188392693992</v>
      </c>
      <c r="BC103" s="305">
        <f t="shared" si="291"/>
        <v>12.147334446495694</v>
      </c>
      <c r="BD103" s="305">
        <f t="shared" si="291"/>
        <v>24.205612188838192</v>
      </c>
      <c r="BE103" s="305">
        <f t="shared" si="291"/>
        <v>17.63322742233246</v>
      </c>
      <c r="BF103" s="305">
        <f t="shared" si="291"/>
        <v>31.624956921049129</v>
      </c>
      <c r="BG103" s="305">
        <f t="shared" si="291"/>
        <v>15.812478460524565</v>
      </c>
      <c r="BH103" s="305">
        <f t="shared" si="291"/>
        <v>16.322558410864065</v>
      </c>
      <c r="BI103" s="305">
        <f t="shared" si="291"/>
        <v>20.403198013580084</v>
      </c>
      <c r="BJ103" s="305">
        <f t="shared" si="291"/>
        <v>20.796382999086166</v>
      </c>
      <c r="BK103" s="305">
        <f t="shared" si="291"/>
        <v>21.156399760208132</v>
      </c>
      <c r="BL103" s="305">
        <f t="shared" si="291"/>
        <v>30.916995895871118</v>
      </c>
      <c r="BM103" s="305">
        <f t="shared" si="291"/>
        <v>15.458497947935559</v>
      </c>
      <c r="BN103" s="305">
        <f t="shared" si="291"/>
        <v>15.957159172062511</v>
      </c>
      <c r="BO103" s="305">
        <f t="shared" si="291"/>
        <v>19.94644896507814</v>
      </c>
      <c r="BP103" s="305">
        <f t="shared" si="291"/>
        <v>19.94644896507814</v>
      </c>
      <c r="BQ103" s="305">
        <f t="shared" si="291"/>
        <v>19.94644896507814</v>
      </c>
      <c r="BR103" s="305">
        <f t="shared" si="291"/>
        <v>19.94644896507814</v>
      </c>
      <c r="BS103" s="305">
        <f t="shared" si="291"/>
        <v>19.94644896507814</v>
      </c>
      <c r="BT103" s="305">
        <f t="shared" si="291"/>
        <v>19.94644896507814</v>
      </c>
      <c r="BU103" s="305">
        <f t="shared" si="291"/>
        <v>30.916995895871118</v>
      </c>
      <c r="BV103" s="305">
        <f t="shared" si="291"/>
        <v>15.458497947935559</v>
      </c>
      <c r="BW103" s="305">
        <f t="shared" si="291"/>
        <v>15.957159172062511</v>
      </c>
      <c r="BX103" s="305">
        <f t="shared" si="291"/>
        <v>19.94644896507814</v>
      </c>
      <c r="BY103" s="305">
        <f t="shared" si="291"/>
        <v>19.94644896507814</v>
      </c>
      <c r="BZ103" s="305">
        <f t="shared" si="291"/>
        <v>19.94644896507814</v>
      </c>
      <c r="CA103" s="305">
        <f t="shared" si="291"/>
        <v>19.94644896507814</v>
      </c>
      <c r="CB103" s="305">
        <f t="shared" si="291"/>
        <v>19.94644896507814</v>
      </c>
      <c r="CC103" s="305">
        <f t="shared" si="291"/>
        <v>19.94644896507814</v>
      </c>
      <c r="CD103" s="305">
        <f t="shared" si="291"/>
        <v>18.023609971415254</v>
      </c>
      <c r="CE103" s="305">
        <f t="shared" si="291"/>
        <v>18.023609971415254</v>
      </c>
      <c r="CF103" s="305">
        <f t="shared" si="291"/>
        <v>18.023609971415254</v>
      </c>
      <c r="CG103" s="305">
        <f t="shared" si="291"/>
        <v>21.233508886089187</v>
      </c>
      <c r="CH103" s="305">
        <f t="shared" ref="CH103:CM103" si="292">CH110/CH$17</f>
        <v>26.504773338581245</v>
      </c>
      <c r="CI103" s="305">
        <f t="shared" si="292"/>
        <v>27.01554027394284</v>
      </c>
      <c r="CJ103" s="305">
        <f t="shared" si="292"/>
        <v>27.48322002911047</v>
      </c>
      <c r="CK103" s="305">
        <f t="shared" si="292"/>
        <v>25.911433510427884</v>
      </c>
      <c r="CL103" s="305">
        <f t="shared" si="292"/>
        <v>25.911433510427884</v>
      </c>
      <c r="CM103" s="305">
        <f t="shared" si="292"/>
        <v>27.58338863515219</v>
      </c>
      <c r="CN103" s="305">
        <f t="shared" si="291"/>
        <v>13.588504018815213</v>
      </c>
      <c r="CO103" s="305">
        <f t="shared" si="291"/>
        <v>13.875075274876075</v>
      </c>
      <c r="CP103" s="305">
        <f t="shared" si="291"/>
        <v>14.136501636518176</v>
      </c>
      <c r="CQ103" s="305">
        <f t="shared" si="291"/>
        <v>13.256105319669301</v>
      </c>
      <c r="CR103" s="305">
        <f t="shared" si="291"/>
        <v>14.249525493909287</v>
      </c>
      <c r="CS103" s="305">
        <f t="shared" si="291"/>
        <v>22.221767899988556</v>
      </c>
      <c r="CT103" s="305">
        <f t="shared" si="291"/>
        <v>22.690408151349207</v>
      </c>
      <c r="CU103" s="305">
        <f t="shared" si="291"/>
        <v>23.117928055181544</v>
      </c>
      <c r="CV103" s="305">
        <f t="shared" si="291"/>
        <v>21.678184387598165</v>
      </c>
      <c r="CW103" s="305">
        <f t="shared" si="291"/>
        <v>21.678184387598165</v>
      </c>
      <c r="CX103" s="305">
        <f t="shared" si="291"/>
        <v>23.30276002216106</v>
      </c>
      <c r="CY103" s="305">
        <f t="shared" ref="CY103:DD103" si="293">CY110/CY$17</f>
        <v>6.0044203845842832</v>
      </c>
      <c r="CZ103" s="305">
        <f t="shared" si="293"/>
        <v>6.131049061968139</v>
      </c>
      <c r="DA103" s="305">
        <f t="shared" si="293"/>
        <v>6.2465668388137754</v>
      </c>
      <c r="DB103" s="305">
        <f t="shared" si="293"/>
        <v>5.8575417052096102</v>
      </c>
      <c r="DC103" s="305">
        <f t="shared" si="293"/>
        <v>5.8575417052096102</v>
      </c>
      <c r="DD103" s="305">
        <f t="shared" si="293"/>
        <v>6.2965092572230317</v>
      </c>
      <c r="DE103" s="305">
        <f t="shared" ref="DE103:DJ103" si="294">DE110/DE$17</f>
        <v>3.5717168242525923</v>
      </c>
      <c r="DF103" s="305">
        <f t="shared" si="294"/>
        <v>3.5994059437926644</v>
      </c>
      <c r="DG103" s="305"/>
      <c r="DH103" s="305">
        <f t="shared" si="294"/>
        <v>3.30949292679554</v>
      </c>
      <c r="DI103" s="305">
        <f t="shared" si="294"/>
        <v>3.30949292679554</v>
      </c>
      <c r="DJ103" s="305">
        <f t="shared" si="294"/>
        <v>3.5010144880862284</v>
      </c>
      <c r="DK103" s="305">
        <f t="shared" si="291"/>
        <v>3.6024452385780199</v>
      </c>
      <c r="DL103" s="305">
        <f t="shared" si="291"/>
        <v>3.6024452385780199</v>
      </c>
      <c r="DM103" s="305">
        <f t="shared" si="291"/>
        <v>15.378021549178094</v>
      </c>
      <c r="DN103" s="305">
        <f t="shared" si="291"/>
        <v>3.9626897624358226</v>
      </c>
      <c r="DO103" s="305">
        <f t="shared" si="291"/>
        <v>7.2048904771560398</v>
      </c>
      <c r="DP103" s="305">
        <f t="shared" si="291"/>
        <v>2.4016301590520137</v>
      </c>
      <c r="DQ103" s="305">
        <f t="shared" si="291"/>
        <v>3.6024452385780199</v>
      </c>
      <c r="DR103" s="305">
        <f t="shared" si="291"/>
        <v>3.5574070420397113</v>
      </c>
      <c r="DS103" s="305">
        <f t="shared" ref="DS103" si="295">DS110/DS$17</f>
        <v>3.9264293380027726</v>
      </c>
      <c r="DT103" s="305">
        <f t="shared" si="291"/>
        <v>3.9264293380027726</v>
      </c>
      <c r="DU103" s="305">
        <f t="shared" si="291"/>
        <v>3.9264293380027726</v>
      </c>
      <c r="DV103" s="305">
        <f t="shared" ref="DV103" si="296">DV110/DV$17</f>
        <v>4.0625475229856942</v>
      </c>
      <c r="DW103" s="305">
        <f t="shared" si="291"/>
        <v>4.0625475229856942</v>
      </c>
      <c r="DX103" s="305">
        <f t="shared" si="291"/>
        <v>8.8027234028980494</v>
      </c>
      <c r="DY103" s="305">
        <f t="shared" si="291"/>
        <v>14.671205671496748</v>
      </c>
      <c r="DZ103" s="305">
        <f t="shared" si="291"/>
        <v>14.671205671496748</v>
      </c>
      <c r="EA103" s="305">
        <f t="shared" si="291"/>
        <v>8.8027234028980494</v>
      </c>
      <c r="EB103" s="305">
        <f t="shared" si="291"/>
        <v>14.671205671496748</v>
      </c>
      <c r="EC103" s="305">
        <f t="shared" si="291"/>
        <v>8.8027234028980494</v>
      </c>
      <c r="ED103" s="305">
        <f t="shared" si="291"/>
        <v>11.003404253622561</v>
      </c>
    </row>
    <row r="105" spans="1:134" x14ac:dyDescent="0.3">
      <c r="A105" s="21" t="s">
        <v>856</v>
      </c>
      <c r="B105" s="21" t="s">
        <v>1133</v>
      </c>
      <c r="D105" s="21">
        <f t="shared" ref="D105:AE105" ca="1" si="297">SUM(D106:D110)</f>
        <v>37.029179275461942</v>
      </c>
      <c r="E105" s="21">
        <f t="shared" ca="1" si="297"/>
        <v>508.2686822909418</v>
      </c>
      <c r="F105" s="21">
        <f t="shared" ca="1" si="297"/>
        <v>26.523720343004591</v>
      </c>
      <c r="G105" s="21">
        <f t="shared" ca="1" si="297"/>
        <v>222.60825776517575</v>
      </c>
      <c r="H105" s="21">
        <f t="shared" ca="1" si="297"/>
        <v>81.030681231246987</v>
      </c>
      <c r="I105" s="21">
        <f t="shared" ref="I105" ca="1" si="298">SUM(I106:I110)</f>
        <v>81.964544030226051</v>
      </c>
      <c r="J105" s="21">
        <f t="shared" ca="1" si="297"/>
        <v>85.632151258728797</v>
      </c>
      <c r="K105" s="21">
        <f t="shared" ref="K105" ca="1" si="299">SUM(K106:K110)</f>
        <v>104.84923673219038</v>
      </c>
      <c r="L105" s="21">
        <f t="shared" ca="1" si="297"/>
        <v>151.41957582545879</v>
      </c>
      <c r="M105" s="21">
        <f t="shared" ca="1" si="297"/>
        <v>99.328301979034237</v>
      </c>
      <c r="N105" s="21">
        <f t="shared" ca="1" si="297"/>
        <v>134.05581787665062</v>
      </c>
      <c r="O105" s="21">
        <f t="shared" ca="1" si="297"/>
        <v>84.933985926584569</v>
      </c>
      <c r="P105" s="21">
        <f t="shared" ca="1" si="297"/>
        <v>164.32917092972923</v>
      </c>
      <c r="Q105" s="21">
        <f t="shared" ca="1" si="297"/>
        <v>113.87163287145503</v>
      </c>
      <c r="R105" s="21">
        <f t="shared" ca="1" si="297"/>
        <v>120.22444581919848</v>
      </c>
      <c r="S105" s="21">
        <f t="shared" ca="1" si="297"/>
        <v>130.76020775149334</v>
      </c>
      <c r="T105" s="21">
        <f t="shared" ca="1" si="297"/>
        <v>89.523736326986921</v>
      </c>
      <c r="U105" s="21">
        <f t="shared" ca="1" si="297"/>
        <v>127.31229990265743</v>
      </c>
      <c r="V105" s="21">
        <f t="shared" ca="1" si="297"/>
        <v>115.62412167538943</v>
      </c>
      <c r="W105" s="21">
        <f t="shared" ca="1" si="297"/>
        <v>117.04803934532677</v>
      </c>
      <c r="X105" s="21">
        <f t="shared" ref="X105:Y105" ca="1" si="300">SUM(X106:X110)</f>
        <v>37.02135067149802</v>
      </c>
      <c r="Y105" s="21">
        <f t="shared" ca="1" si="300"/>
        <v>99.761831846152873</v>
      </c>
      <c r="Z105" s="21">
        <f t="shared" ca="1" si="297"/>
        <v>88.95103104187551</v>
      </c>
      <c r="AA105" s="21">
        <f t="shared" ref="AA105" ca="1" si="301">SUM(AA106:AA110)</f>
        <v>71.209477427110471</v>
      </c>
      <c r="AB105" s="21">
        <f t="shared" ref="AB105:AC105" ca="1" si="302">SUM(AB106:AB110)</f>
        <v>77.033133432665664</v>
      </c>
      <c r="AC105" s="21">
        <f t="shared" ca="1" si="302"/>
        <v>76.599810212847757</v>
      </c>
      <c r="AD105" s="21">
        <f t="shared" ref="AD105" ca="1" si="303">SUM(AD106:AD110)</f>
        <v>93.068104651551437</v>
      </c>
      <c r="AE105" s="21">
        <f t="shared" ca="1" si="297"/>
        <v>101.30225187090326</v>
      </c>
      <c r="AF105" s="21">
        <f t="shared" ref="AF105" si="304">SUM(AF106:AF110)</f>
        <v>132.76381389647381</v>
      </c>
      <c r="AG105" s="21">
        <f t="shared" ref="AG105:BL105" ca="1" si="305">SUM(AG106:AG110)</f>
        <v>16.93824515660598</v>
      </c>
      <c r="AH105" s="21">
        <f t="shared" ca="1" si="305"/>
        <v>24.735671254209745</v>
      </c>
      <c r="AI105" s="21">
        <f t="shared" ca="1" si="305"/>
        <v>57.505037246899882</v>
      </c>
      <c r="AJ105" s="21">
        <f t="shared" ca="1" si="305"/>
        <v>74.055035178949936</v>
      </c>
      <c r="AK105" s="21">
        <f t="shared" ca="1" si="305"/>
        <v>73.116667945061394</v>
      </c>
      <c r="AL105" s="21">
        <f t="shared" ca="1" si="305"/>
        <v>25.685414916413087</v>
      </c>
      <c r="AM105" s="21">
        <f t="shared" ca="1" si="305"/>
        <v>85.084207329638076</v>
      </c>
      <c r="AN105" s="21">
        <f t="shared" ca="1" si="305"/>
        <v>63.965388596873368</v>
      </c>
      <c r="AO105" s="21">
        <f t="shared" ca="1" si="305"/>
        <v>242.95805508422671</v>
      </c>
      <c r="AP105" s="21">
        <f t="shared" ca="1" si="305"/>
        <v>198.41664951334906</v>
      </c>
      <c r="AQ105" s="21">
        <f t="shared" ca="1" si="305"/>
        <v>131.03579889280746</v>
      </c>
      <c r="AR105" s="21">
        <f t="shared" ca="1" si="305"/>
        <v>105.40940965441584</v>
      </c>
      <c r="AS105" s="21">
        <f t="shared" ca="1" si="305"/>
        <v>282.87858860424348</v>
      </c>
      <c r="AT105" s="21">
        <f t="shared" ca="1" si="305"/>
        <v>80.769647346140488</v>
      </c>
      <c r="AU105" s="21">
        <f t="shared" ca="1" si="305"/>
        <v>97.287956340127906</v>
      </c>
      <c r="AV105" s="21">
        <f t="shared" ca="1" si="305"/>
        <v>97.665490896535474</v>
      </c>
      <c r="AW105" s="21">
        <f t="shared" ca="1" si="305"/>
        <v>113.1533284122962</v>
      </c>
      <c r="AX105" s="21">
        <f t="shared" ca="1" si="305"/>
        <v>105.40940965441584</v>
      </c>
      <c r="AY105" s="21">
        <f t="shared" ca="1" si="305"/>
        <v>320.28057540916751</v>
      </c>
      <c r="AZ105" s="21">
        <f t="shared" ca="1" si="305"/>
        <v>77.34873514434274</v>
      </c>
      <c r="BA105" s="21">
        <f t="shared" ca="1" si="305"/>
        <v>138.88487810554258</v>
      </c>
      <c r="BB105" s="21">
        <f t="shared" ca="1" si="305"/>
        <v>200.1132106258072</v>
      </c>
      <c r="BC105" s="21">
        <f t="shared" ca="1" si="305"/>
        <v>222.96032365470072</v>
      </c>
      <c r="BD105" s="21">
        <f t="shared" ca="1" si="305"/>
        <v>222.96032365470072</v>
      </c>
      <c r="BE105" s="21">
        <f t="shared" ca="1" si="305"/>
        <v>222.96032365470072</v>
      </c>
      <c r="BF105" s="21">
        <f t="shared" ca="1" si="305"/>
        <v>222.96032365470072</v>
      </c>
      <c r="BG105" s="21">
        <f t="shared" ca="1" si="305"/>
        <v>222.96032365470072</v>
      </c>
      <c r="BH105" s="21">
        <f t="shared" ca="1" si="305"/>
        <v>222.96032365470072</v>
      </c>
      <c r="BI105" s="21">
        <f t="shared" ca="1" si="305"/>
        <v>222.96032365470072</v>
      </c>
      <c r="BJ105" s="21">
        <f t="shared" ca="1" si="305"/>
        <v>176.74790331496078</v>
      </c>
      <c r="BK105" s="21">
        <f t="shared" ca="1" si="305"/>
        <v>139.50475911329761</v>
      </c>
      <c r="BL105" s="21">
        <f t="shared" ca="1" si="305"/>
        <v>71.890095032257506</v>
      </c>
      <c r="BM105" s="21">
        <f t="shared" ref="BM105:CR105" ca="1" si="306">SUM(BM106:BM110)</f>
        <v>71.890095032257506</v>
      </c>
      <c r="BN105" s="21">
        <f t="shared" ca="1" si="306"/>
        <v>71.890095032257506</v>
      </c>
      <c r="BO105" s="21">
        <f t="shared" ca="1" si="306"/>
        <v>249.3592739820852</v>
      </c>
      <c r="BP105" s="21">
        <f t="shared" ca="1" si="306"/>
        <v>47.250332723982169</v>
      </c>
      <c r="BQ105" s="21">
        <f t="shared" ca="1" si="306"/>
        <v>67.748939121345444</v>
      </c>
      <c r="BR105" s="21">
        <f t="shared" ca="1" si="306"/>
        <v>67.790658039804583</v>
      </c>
      <c r="BS105" s="21">
        <f t="shared" ca="1" si="306"/>
        <v>75.989532024710428</v>
      </c>
      <c r="BT105" s="21">
        <f t="shared" ca="1" si="306"/>
        <v>71.890095032257506</v>
      </c>
      <c r="BU105" s="21">
        <f t="shared" ca="1" si="306"/>
        <v>91.168482671730686</v>
      </c>
      <c r="BV105" s="21">
        <f t="shared" ca="1" si="306"/>
        <v>91.168482671730686</v>
      </c>
      <c r="BW105" s="21">
        <f t="shared" ca="1" si="306"/>
        <v>91.168482671730686</v>
      </c>
      <c r="BX105" s="21">
        <f t="shared" ca="1" si="306"/>
        <v>268.63766162155838</v>
      </c>
      <c r="BY105" s="21">
        <f t="shared" ca="1" si="306"/>
        <v>66.528720363455349</v>
      </c>
      <c r="BZ105" s="21">
        <f t="shared" ca="1" si="306"/>
        <v>83.835001473941233</v>
      </c>
      <c r="CA105" s="21">
        <f t="shared" ca="1" si="306"/>
        <v>82.969608686824841</v>
      </c>
      <c r="CB105" s="21">
        <f t="shared" ca="1" si="306"/>
        <v>99.367356656636517</v>
      </c>
      <c r="CC105" s="21">
        <f t="shared" ca="1" si="306"/>
        <v>91.168482671730686</v>
      </c>
      <c r="CD105" s="21">
        <f t="shared" ca="1" si="306"/>
        <v>335.096926376174</v>
      </c>
      <c r="CE105" s="21">
        <f t="shared" ca="1" si="306"/>
        <v>48.90035437100908</v>
      </c>
      <c r="CF105" s="21">
        <f t="shared" ca="1" si="306"/>
        <v>121.39572241628711</v>
      </c>
      <c r="CG105" s="21">
        <f t="shared" ca="1" si="306"/>
        <v>167.40102377908784</v>
      </c>
      <c r="CH105" s="21">
        <f t="shared" ca="1" si="306"/>
        <v>222.96032365470072</v>
      </c>
      <c r="CI105" s="21">
        <f t="shared" ca="1" si="306"/>
        <v>176.23867917808408</v>
      </c>
      <c r="CJ105" s="21">
        <f t="shared" ca="1" si="306"/>
        <v>138.79023689694424</v>
      </c>
      <c r="CK105" s="21">
        <f t="shared" ca="1" si="306"/>
        <v>72.085929411706061</v>
      </c>
      <c r="CL105" s="21">
        <f t="shared" ca="1" si="306"/>
        <v>88.483677381517737</v>
      </c>
      <c r="CM105" s="21">
        <f t="shared" ca="1" si="306"/>
        <v>167.40102377908784</v>
      </c>
      <c r="CN105" s="21">
        <f t="shared" ca="1" si="306"/>
        <v>310.40698375260234</v>
      </c>
      <c r="CO105" s="21">
        <f t="shared" ca="1" si="306"/>
        <v>250.25297004652504</v>
      </c>
      <c r="CP105" s="21">
        <f t="shared" ca="1" si="306"/>
        <v>156.9434284009277</v>
      </c>
      <c r="CQ105" s="21">
        <f t="shared" ca="1" si="306"/>
        <v>116.22225477493147</v>
      </c>
      <c r="CR105" s="21">
        <f t="shared" ca="1" si="306"/>
        <v>234.37103000227708</v>
      </c>
      <c r="CS105" s="21">
        <f t="shared" ref="CS105:DF105" ca="1" si="307">SUM(CS106:CS110)</f>
        <v>285.79377067766035</v>
      </c>
      <c r="CT105" s="21">
        <f t="shared" ca="1" si="307"/>
        <v>223.45697710519048</v>
      </c>
      <c r="CU105" s="21">
        <f t="shared" ca="1" si="307"/>
        <v>172.17142710580012</v>
      </c>
      <c r="CV105" s="21">
        <f t="shared" ca="1" si="307"/>
        <v>78.287100991592752</v>
      </c>
      <c r="CW105" s="21">
        <f t="shared" ca="1" si="307"/>
        <v>94.932038510288805</v>
      </c>
      <c r="CX105" s="21">
        <f t="shared" ca="1" si="307"/>
        <v>193.57319693471072</v>
      </c>
      <c r="CY105" s="21">
        <f t="shared" ca="1" si="307"/>
        <v>287.83277835143872</v>
      </c>
      <c r="CZ105" s="21">
        <f t="shared" ca="1" si="307"/>
        <v>225.41826721082791</v>
      </c>
      <c r="DA105" s="21">
        <f t="shared" ca="1" si="307"/>
        <v>165.2744260504422</v>
      </c>
      <c r="DB105" s="21">
        <f t="shared" ca="1" si="307"/>
        <v>80.964165973863018</v>
      </c>
      <c r="DC105" s="21">
        <f t="shared" ca="1" si="307"/>
        <v>98.496550562069473</v>
      </c>
      <c r="DD105" s="21">
        <f t="shared" ca="1" si="307"/>
        <v>195.85814554002803</v>
      </c>
      <c r="DE105" s="21">
        <f t="shared" ca="1" si="307"/>
        <v>486.1514403241473</v>
      </c>
      <c r="DF105" s="21">
        <f t="shared" ca="1" si="307"/>
        <v>375.44917203125914</v>
      </c>
      <c r="DH105" s="21">
        <f t="shared" ref="DH105:DS105" ca="1" si="308">SUM(DH106:DH110)</f>
        <v>169.78360191474482</v>
      </c>
      <c r="DI105" s="21">
        <f t="shared" ca="1" si="308"/>
        <v>211.17950997023223</v>
      </c>
      <c r="DJ105" s="21">
        <f t="shared" ca="1" si="308"/>
        <v>358.77237183320011</v>
      </c>
      <c r="DK105" s="21">
        <f t="shared" ca="1" si="308"/>
        <v>1439.1588172450854</v>
      </c>
      <c r="DL105" s="21">
        <f t="shared" ca="1" si="308"/>
        <v>1376.5215145371005</v>
      </c>
      <c r="DM105" s="21">
        <f t="shared" ca="1" si="308"/>
        <v>1458.0562581151526</v>
      </c>
      <c r="DN105" s="21">
        <f t="shared" ca="1" si="308"/>
        <v>1388.7661879611296</v>
      </c>
      <c r="DO105" s="21">
        <f t="shared" ca="1" si="308"/>
        <v>1400.0105030525949</v>
      </c>
      <c r="DP105" s="21">
        <f t="shared" ca="1" si="308"/>
        <v>1400.0105030525949</v>
      </c>
      <c r="DQ105" s="21">
        <f t="shared" ca="1" si="308"/>
        <v>1398.9328815346823</v>
      </c>
      <c r="DR105" s="21">
        <f t="shared" ca="1" si="308"/>
        <v>1075.7020346772742</v>
      </c>
      <c r="DS105" s="21">
        <f t="shared" ca="1" si="308"/>
        <v>321.10736965568913</v>
      </c>
      <c r="DT105" s="21">
        <f t="shared" ref="DT105:ED105" ca="1" si="309">SUM(DT106:DT110)</f>
        <v>498.96763133695219</v>
      </c>
      <c r="DU105" s="21">
        <f t="shared" ca="1" si="309"/>
        <v>448.0055406520334</v>
      </c>
      <c r="DV105" s="21">
        <f t="shared" ref="DV105" ca="1" si="310">SUM(DV106:DV110)</f>
        <v>238.86084817398634</v>
      </c>
      <c r="DW105" s="21">
        <f t="shared" ca="1" si="309"/>
        <v>977.37478012678753</v>
      </c>
      <c r="DX105" s="21">
        <f t="shared" ca="1" si="309"/>
        <v>4351.8327444158131</v>
      </c>
      <c r="DY105" s="21">
        <f t="shared" ca="1" si="309"/>
        <v>5466.8443754495656</v>
      </c>
      <c r="DZ105" s="21">
        <f t="shared" ca="1" si="309"/>
        <v>5466.8443754495656</v>
      </c>
      <c r="EA105" s="21">
        <f t="shared" ca="1" si="309"/>
        <v>4351.8327444158131</v>
      </c>
      <c r="EB105" s="21">
        <f t="shared" ca="1" si="309"/>
        <v>4769.9621060534701</v>
      </c>
      <c r="EC105" s="21">
        <f t="shared" ca="1" si="309"/>
        <v>4769.9621060534701</v>
      </c>
      <c r="ED105" s="21">
        <f t="shared" ca="1" si="309"/>
        <v>4769.9621060534701</v>
      </c>
    </row>
    <row r="106" spans="1:134" x14ac:dyDescent="0.3">
      <c r="A106" s="21" t="str">
        <f>A84</f>
        <v>Vehicle and battery manufacturing, assembly and disposal - Including fluids</v>
      </c>
      <c r="C106" s="276"/>
      <c r="D106" s="278">
        <f t="shared" ref="D106:AE106" ca="1" si="311">D113/D$22</f>
        <v>24.73579149096523</v>
      </c>
      <c r="E106" s="278">
        <f t="shared" ca="1" si="311"/>
        <v>270.88822642106629</v>
      </c>
      <c r="F106" s="278">
        <f t="shared" ca="1" si="311"/>
        <v>14.822806505180806</v>
      </c>
      <c r="G106" s="278">
        <f t="shared" ca="1" si="311"/>
        <v>135.10859904030661</v>
      </c>
      <c r="H106" s="278">
        <f t="shared" ca="1" si="311"/>
        <v>45.036199680102207</v>
      </c>
      <c r="I106" s="278">
        <f t="shared" ref="I106" ca="1" si="312">I113/I$22</f>
        <v>67.554299520153307</v>
      </c>
      <c r="J106" s="278">
        <f t="shared" ca="1" si="311"/>
        <v>67.554299520153307</v>
      </c>
      <c r="K106" s="278">
        <f t="shared" ref="K106" ca="1" si="313">K113/K$22</f>
        <v>67.554299520153307</v>
      </c>
      <c r="L106" s="278">
        <f t="shared" ca="1" si="311"/>
        <v>67.554299520153307</v>
      </c>
      <c r="M106" s="278">
        <f t="shared" ca="1" si="311"/>
        <v>67.554299520153307</v>
      </c>
      <c r="N106" s="278">
        <f t="shared" ca="1" si="311"/>
        <v>67.554299520153307</v>
      </c>
      <c r="O106" s="278">
        <f t="shared" ca="1" si="311"/>
        <v>37.530166400085179</v>
      </c>
      <c r="P106" s="278">
        <f t="shared" ca="1" si="311"/>
        <v>112.59049920025552</v>
      </c>
      <c r="Q106" s="278">
        <f t="shared" ca="1" si="311"/>
        <v>64.377893046281571</v>
      </c>
      <c r="R106" s="278">
        <f t="shared" ca="1" si="311"/>
        <v>70.73070599402503</v>
      </c>
      <c r="S106" s="278">
        <f t="shared" ca="1" si="311"/>
        <v>81.266467926319876</v>
      </c>
      <c r="T106" s="278">
        <f t="shared" ca="1" si="311"/>
        <v>40.021577563988167</v>
      </c>
      <c r="U106" s="278">
        <f t="shared" ca="1" si="311"/>
        <v>67.554299520153307</v>
      </c>
      <c r="V106" s="278">
        <f t="shared" ca="1" si="311"/>
        <v>67.554299520153307</v>
      </c>
      <c r="W106" s="278">
        <f t="shared" ca="1" si="311"/>
        <v>67.554299520153307</v>
      </c>
      <c r="X106" s="278">
        <f t="shared" ref="X106:AA109" ca="1" si="314">X113/X$22</f>
        <v>25.411071788472839</v>
      </c>
      <c r="Y106" s="278">
        <f t="shared" ca="1" si="314"/>
        <v>62.385726120946849</v>
      </c>
      <c r="Z106" s="278">
        <f t="shared" ca="1" si="314"/>
        <v>62.385726120946849</v>
      </c>
      <c r="AA106" s="278">
        <f t="shared" ca="1" si="314"/>
        <v>41.590484080631235</v>
      </c>
      <c r="AB106" s="278">
        <f t="shared" ref="AB106:AC106" ca="1" si="315">AB113/AB$22</f>
        <v>38.116607682709251</v>
      </c>
      <c r="AC106" s="278">
        <f t="shared" ca="1" si="315"/>
        <v>62.385726120946849</v>
      </c>
      <c r="AD106" s="278">
        <f t="shared" ref="AD106" ca="1" si="316">AD113/AD$22</f>
        <v>62.385726120946849</v>
      </c>
      <c r="AE106" s="278">
        <f t="shared" ca="1" si="311"/>
        <v>62.385726120946849</v>
      </c>
      <c r="AF106" s="278">
        <f t="shared" ref="D106:AR109" si="317">AF113/AF$22</f>
        <v>61.776061776061773</v>
      </c>
      <c r="AG106" s="278">
        <f t="shared" ref="AG106:BL106" ca="1" si="318">AG113/AG$22</f>
        <v>6.688177195616329</v>
      </c>
      <c r="AH106" s="278">
        <f t="shared" ca="1" si="318"/>
        <v>11.491698300447505</v>
      </c>
      <c r="AI106" s="278">
        <f t="shared" ca="1" si="318"/>
        <v>20.760955028048802</v>
      </c>
      <c r="AJ106" s="278">
        <f t="shared" ca="1" si="318"/>
        <v>34.115379988835301</v>
      </c>
      <c r="AK106" s="278">
        <f t="shared" ca="1" si="318"/>
        <v>7.1247711248743535</v>
      </c>
      <c r="AL106" s="278">
        <f t="shared" ca="1" si="318"/>
        <v>8.9569586356429127</v>
      </c>
      <c r="AM106" s="278">
        <f t="shared" ca="1" si="318"/>
        <v>17.802844728140915</v>
      </c>
      <c r="AN106" s="278">
        <f t="shared" ca="1" si="318"/>
        <v>32.250238330216007</v>
      </c>
      <c r="AO106" s="278">
        <f t="shared" ca="1" si="318"/>
        <v>35.025968719917827</v>
      </c>
      <c r="AP106" s="278">
        <f t="shared" ca="1" si="318"/>
        <v>38.144725318504172</v>
      </c>
      <c r="AQ106" s="278">
        <f t="shared" ca="1" si="318"/>
        <v>46.730102281665538</v>
      </c>
      <c r="AR106" s="278">
        <f t="shared" ca="1" si="318"/>
        <v>61.540369987265329</v>
      </c>
      <c r="AS106" s="278">
        <f t="shared" ca="1" si="318"/>
        <v>61.540369987265329</v>
      </c>
      <c r="AT106" s="278">
        <f t="shared" ca="1" si="318"/>
        <v>61.540369987265329</v>
      </c>
      <c r="AU106" s="278">
        <f t="shared" ca="1" si="318"/>
        <v>53.418916672977403</v>
      </c>
      <c r="AV106" s="278">
        <f t="shared" ca="1" si="318"/>
        <v>53.850597239767204</v>
      </c>
      <c r="AW106" s="278">
        <f t="shared" ca="1" si="318"/>
        <v>69.230142734763476</v>
      </c>
      <c r="AX106" s="278">
        <f t="shared" ca="1" si="318"/>
        <v>61.540369987265329</v>
      </c>
      <c r="AY106" s="278">
        <f t="shared" ca="1" si="318"/>
        <v>55.745442954407181</v>
      </c>
      <c r="AZ106" s="278">
        <f t="shared" ca="1" si="318"/>
        <v>55.745442954407181</v>
      </c>
      <c r="BA106" s="278">
        <f t="shared" ca="1" si="318"/>
        <v>55.745442954407181</v>
      </c>
      <c r="BB106" s="278">
        <f t="shared" ca="1" si="318"/>
        <v>55.745442954407181</v>
      </c>
      <c r="BC106" s="278">
        <f t="shared" ca="1" si="318"/>
        <v>17.677626565547516</v>
      </c>
      <c r="BD106" s="278">
        <f t="shared" ca="1" si="318"/>
        <v>17.677626565547516</v>
      </c>
      <c r="BE106" s="278">
        <f t="shared" ca="1" si="318"/>
        <v>17.677626565547516</v>
      </c>
      <c r="BF106" s="278">
        <f t="shared" ca="1" si="318"/>
        <v>17.677626565547516</v>
      </c>
      <c r="BG106" s="278">
        <f t="shared" ca="1" si="318"/>
        <v>17.677626565547516</v>
      </c>
      <c r="BH106" s="278">
        <f t="shared" ca="1" si="318"/>
        <v>17.677626565547516</v>
      </c>
      <c r="BI106" s="278">
        <f t="shared" ca="1" si="318"/>
        <v>17.677626565547516</v>
      </c>
      <c r="BJ106" s="278">
        <f t="shared" ca="1" si="318"/>
        <v>19.197119616623066</v>
      </c>
      <c r="BK106" s="278">
        <f t="shared" ca="1" si="318"/>
        <v>23.188288309501917</v>
      </c>
      <c r="BL106" s="278">
        <f t="shared" ca="1" si="318"/>
        <v>30.69392806195026</v>
      </c>
      <c r="BM106" s="278">
        <f t="shared" ref="BM106:CR106" ca="1" si="319">BM113/BM$22</f>
        <v>30.69392806195026</v>
      </c>
      <c r="BN106" s="278">
        <f t="shared" ca="1" si="319"/>
        <v>30.69392806195026</v>
      </c>
      <c r="BO106" s="278">
        <f t="shared" ca="1" si="319"/>
        <v>30.69392806195026</v>
      </c>
      <c r="BP106" s="278">
        <f t="shared" ca="1" si="319"/>
        <v>30.69392806195026</v>
      </c>
      <c r="BQ106" s="278">
        <f t="shared" ca="1" si="319"/>
        <v>26.552772151038194</v>
      </c>
      <c r="BR106" s="278">
        <f t="shared" ca="1" si="319"/>
        <v>26.623154613743431</v>
      </c>
      <c r="BS106" s="278">
        <f t="shared" ca="1" si="319"/>
        <v>34.764701510157089</v>
      </c>
      <c r="BT106" s="278">
        <f t="shared" ca="1" si="319"/>
        <v>30.69392806195026</v>
      </c>
      <c r="BU106" s="278">
        <f t="shared" ca="1" si="319"/>
        <v>49.857661524439074</v>
      </c>
      <c r="BV106" s="278">
        <f t="shared" ca="1" si="319"/>
        <v>49.857661524439074</v>
      </c>
      <c r="BW106" s="278">
        <f t="shared" ca="1" si="319"/>
        <v>49.857661524439074</v>
      </c>
      <c r="BX106" s="278">
        <f t="shared" ca="1" si="319"/>
        <v>49.857661524439074</v>
      </c>
      <c r="BY106" s="278">
        <f t="shared" ca="1" si="319"/>
        <v>49.857661524439074</v>
      </c>
      <c r="BZ106" s="278">
        <f t="shared" ca="1" si="319"/>
        <v>42.524180326649621</v>
      </c>
      <c r="CA106" s="278">
        <f t="shared" ca="1" si="319"/>
        <v>41.716114628025409</v>
      </c>
      <c r="CB106" s="278">
        <f t="shared" ca="1" si="319"/>
        <v>57.999208420852717</v>
      </c>
      <c r="CC106" s="278">
        <f t="shared" ca="1" si="319"/>
        <v>49.857661524439074</v>
      </c>
      <c r="CD106" s="278">
        <f t="shared" ca="1" si="319"/>
        <v>29.799295462710862</v>
      </c>
      <c r="CE106" s="278">
        <f t="shared" ca="1" si="319"/>
        <v>29.799295462710862</v>
      </c>
      <c r="CF106" s="278">
        <f t="shared" ca="1" si="319"/>
        <v>29.799295462710862</v>
      </c>
      <c r="CG106" s="278">
        <f t="shared" ca="1" si="319"/>
        <v>25.829472777924373</v>
      </c>
      <c r="CH106" s="278">
        <f t="shared" ca="1" si="319"/>
        <v>17.677626565547516</v>
      </c>
      <c r="CI106" s="278">
        <f t="shared" ca="1" si="319"/>
        <v>18.687895479746363</v>
      </c>
      <c r="CJ106" s="278">
        <f t="shared" ca="1" si="319"/>
        <v>22.473766093148523</v>
      </c>
      <c r="CK106" s="278">
        <f t="shared" ca="1" si="319"/>
        <v>30.889762441398812</v>
      </c>
      <c r="CL106" s="278">
        <f t="shared" ca="1" si="319"/>
        <v>47.172856234226131</v>
      </c>
      <c r="CM106" s="278">
        <f t="shared" ca="1" si="319"/>
        <v>25.829472777924373</v>
      </c>
      <c r="CN106" s="278">
        <f t="shared" ca="1" si="319"/>
        <v>43.787193531440224</v>
      </c>
      <c r="CO106" s="278">
        <f t="shared" ca="1" si="319"/>
        <v>47.852609415613905</v>
      </c>
      <c r="CP106" s="278">
        <f t="shared" ca="1" si="319"/>
        <v>56.119895769022946</v>
      </c>
      <c r="CQ106" s="278">
        <f t="shared" ca="1" si="319"/>
        <v>69.304315532359482</v>
      </c>
      <c r="CR106" s="278">
        <f t="shared" ca="1" si="319"/>
        <v>70.162059627242925</v>
      </c>
      <c r="CS106" s="278">
        <f t="shared" ref="CS106:DF106" ca="1" si="320">CS113/CS$22</f>
        <v>22.135708288556039</v>
      </c>
      <c r="CT106" s="278">
        <f t="shared" ca="1" si="320"/>
        <v>24.104774959744351</v>
      </c>
      <c r="CU106" s="278">
        <f t="shared" ca="1" si="320"/>
        <v>27.969526393918908</v>
      </c>
      <c r="CV106" s="278">
        <f t="shared" ca="1" si="320"/>
        <v>34.339459222799228</v>
      </c>
      <c r="CW106" s="278">
        <f t="shared" ca="1" si="320"/>
        <v>50.869742564510908</v>
      </c>
      <c r="CX106" s="278">
        <f t="shared" ca="1" si="320"/>
        <v>32.51755620247517</v>
      </c>
      <c r="CY106" s="278">
        <f t="shared" ca="1" si="320"/>
        <v>24.144032955591971</v>
      </c>
      <c r="CZ106" s="278">
        <f t="shared" ca="1" si="320"/>
        <v>26.033357238614656</v>
      </c>
      <c r="DA106" s="278">
        <f t="shared" ca="1" si="320"/>
        <v>27.540619722185873</v>
      </c>
      <c r="DB106" s="278">
        <f t="shared" ca="1" si="320"/>
        <v>36.979860222192386</v>
      </c>
      <c r="DC106" s="278">
        <f t="shared" ca="1" si="320"/>
        <v>54.389657176460631</v>
      </c>
      <c r="DD106" s="278">
        <f t="shared" ca="1" si="320"/>
        <v>34.767597493264809</v>
      </c>
      <c r="DE106" s="278">
        <f t="shared" ca="1" si="320"/>
        <v>42.809132861535829</v>
      </c>
      <c r="DF106" s="278">
        <f t="shared" ca="1" si="320"/>
        <v>42.315838969190743</v>
      </c>
      <c r="DG106" s="278"/>
      <c r="DH106" s="278">
        <f t="shared" ref="DH106:DS106" ca="1" si="321">DH113/DH$22</f>
        <v>88.491993718659728</v>
      </c>
      <c r="DI106" s="278">
        <f t="shared" ca="1" si="321"/>
        <v>129.59845874957082</v>
      </c>
      <c r="DJ106" s="278">
        <f t="shared" ca="1" si="321"/>
        <v>72.186454779863354</v>
      </c>
      <c r="DK106" s="278">
        <f t="shared" ca="1" si="321"/>
        <v>159.89151191309296</v>
      </c>
      <c r="DL106" s="278">
        <f t="shared" ca="1" si="321"/>
        <v>98.431916519314299</v>
      </c>
      <c r="DM106" s="278">
        <f t="shared" ca="1" si="321"/>
        <v>121.47926479198129</v>
      </c>
      <c r="DN106" s="278">
        <f t="shared" ca="1" si="321"/>
        <v>110.43569526543754</v>
      </c>
      <c r="DO106" s="278">
        <f t="shared" ca="1" si="321"/>
        <v>121.47926479198129</v>
      </c>
      <c r="DP106" s="278">
        <f t="shared" ca="1" si="321"/>
        <v>121.47926479198129</v>
      </c>
      <c r="DQ106" s="278">
        <f t="shared" ca="1" si="321"/>
        <v>120.40164327406883</v>
      </c>
      <c r="DR106" s="278">
        <f t="shared" ca="1" si="321"/>
        <v>120.0839036142457</v>
      </c>
      <c r="DS106" s="278">
        <f t="shared" ca="1" si="321"/>
        <v>257.37726814489935</v>
      </c>
      <c r="DT106" s="278">
        <f t="shared" ref="DT106:ED106" ca="1" si="322">DT113/DT$22</f>
        <v>257.37726814489935</v>
      </c>
      <c r="DU106" s="278">
        <f t="shared" ca="1" si="322"/>
        <v>207.0106183058729</v>
      </c>
      <c r="DV106" s="278">
        <f t="shared" ref="DV106" ca="1" si="323">DV113/DV$22</f>
        <v>166.53961699996901</v>
      </c>
      <c r="DW106" s="278">
        <f t="shared" ca="1" si="322"/>
        <v>166.07621686267112</v>
      </c>
      <c r="DX106" s="278">
        <f t="shared" ca="1" si="322"/>
        <v>379.9565119677444</v>
      </c>
      <c r="DY106" s="278">
        <f t="shared" ca="1" si="322"/>
        <v>379.9565119677444</v>
      </c>
      <c r="DZ106" s="278">
        <f t="shared" ca="1" si="322"/>
        <v>379.9565119677444</v>
      </c>
      <c r="EA106" s="278">
        <f t="shared" ca="1" si="322"/>
        <v>379.9565119677444</v>
      </c>
      <c r="EB106" s="278">
        <f t="shared" ca="1" si="322"/>
        <v>379.9565119677444</v>
      </c>
      <c r="EC106" s="278">
        <f t="shared" ca="1" si="322"/>
        <v>379.9565119677444</v>
      </c>
      <c r="ED106" s="278">
        <f t="shared" ca="1" si="322"/>
        <v>379.9565119677444</v>
      </c>
    </row>
    <row r="107" spans="1:134" x14ac:dyDescent="0.3">
      <c r="A107" s="21" t="str">
        <f>A85</f>
        <v>Vehicle delivery at point of purchase</v>
      </c>
      <c r="C107" s="276"/>
      <c r="D107" s="278">
        <f t="shared" si="317"/>
        <v>1.4285308396165375</v>
      </c>
      <c r="E107" s="278">
        <f t="shared" si="317"/>
        <v>13.004556608922963</v>
      </c>
      <c r="F107" s="278">
        <f t="shared" si="317"/>
        <v>1.4449507343247736</v>
      </c>
      <c r="G107" s="278">
        <f t="shared" si="317"/>
        <v>7.8027339653537764</v>
      </c>
      <c r="H107" s="278">
        <f t="shared" si="317"/>
        <v>2.6009113217845923</v>
      </c>
      <c r="I107" s="278">
        <f t="shared" ref="I107" si="324">I114/I$22</f>
        <v>3.9013669826768882</v>
      </c>
      <c r="J107" s="278">
        <f t="shared" si="317"/>
        <v>3.9013669826768882</v>
      </c>
      <c r="K107" s="278">
        <f t="shared" ref="K107" si="325">K114/K$22</f>
        <v>3.9013669826768882</v>
      </c>
      <c r="L107" s="278">
        <f t="shared" si="317"/>
        <v>3.9013669826768882</v>
      </c>
      <c r="M107" s="278">
        <f t="shared" si="317"/>
        <v>3.9013669826768882</v>
      </c>
      <c r="N107" s="278">
        <f t="shared" si="317"/>
        <v>3.9013669826768882</v>
      </c>
      <c r="O107" s="278">
        <f t="shared" si="317"/>
        <v>2.1674261014871603</v>
      </c>
      <c r="P107" s="278">
        <f t="shared" si="317"/>
        <v>6.5022783044614814</v>
      </c>
      <c r="Q107" s="278">
        <f t="shared" si="317"/>
        <v>3.9013669826768882</v>
      </c>
      <c r="R107" s="278">
        <f t="shared" si="317"/>
        <v>3.9013669826768882</v>
      </c>
      <c r="S107" s="278">
        <f t="shared" si="317"/>
        <v>3.9013669826768882</v>
      </c>
      <c r="T107" s="278">
        <f t="shared" si="317"/>
        <v>3.9013669826768882</v>
      </c>
      <c r="U107" s="278">
        <f t="shared" si="317"/>
        <v>3.9013669826768882</v>
      </c>
      <c r="V107" s="278">
        <f t="shared" si="317"/>
        <v>3.9013669826768882</v>
      </c>
      <c r="W107" s="278">
        <f t="shared" si="317"/>
        <v>3.9013669826768882</v>
      </c>
      <c r="X107" s="278">
        <f t="shared" si="314"/>
        <v>2.1267703682506682</v>
      </c>
      <c r="Y107" s="278">
        <f t="shared" si="314"/>
        <v>3.1901555523760021</v>
      </c>
      <c r="Z107" s="278">
        <f t="shared" si="314"/>
        <v>3.1901555523760021</v>
      </c>
      <c r="AA107" s="278">
        <f t="shared" si="314"/>
        <v>2.1267703682506682</v>
      </c>
      <c r="AB107" s="278">
        <f t="shared" ref="AB107:AC107" si="326">AB114/AB$22</f>
        <v>3.1901555523760021</v>
      </c>
      <c r="AC107" s="278">
        <f t="shared" si="326"/>
        <v>3.1901555523760021</v>
      </c>
      <c r="AD107" s="278">
        <f t="shared" ref="AD107" si="327">AD114/AD$22</f>
        <v>3.1901555523760021</v>
      </c>
      <c r="AE107" s="278">
        <f>AE114/AE$22</f>
        <v>3.1901555523760021</v>
      </c>
      <c r="AF107" s="278">
        <f t="shared" si="317"/>
        <v>2.9122173101063002</v>
      </c>
      <c r="AG107" s="278">
        <f t="shared" si="317"/>
        <v>0.77891338959255574</v>
      </c>
      <c r="AH107" s="278">
        <f t="shared" si="317"/>
        <v>1.0462243650270233</v>
      </c>
      <c r="AI107" s="278">
        <f t="shared" si="317"/>
        <v>2.5519519901929568</v>
      </c>
      <c r="AJ107" s="278">
        <f t="shared" si="317"/>
        <v>3.0161386199913904</v>
      </c>
      <c r="AK107" s="278">
        <f t="shared" si="317"/>
        <v>0.86037509259922573</v>
      </c>
      <c r="AL107" s="278">
        <f t="shared" si="317"/>
        <v>0.84191496895520046</v>
      </c>
      <c r="AM107" s="278">
        <f t="shared" si="317"/>
        <v>2.1498408739093349</v>
      </c>
      <c r="AN107" s="278">
        <f t="shared" si="317"/>
        <v>2.3121786136421951</v>
      </c>
      <c r="AO107" s="278">
        <f>AO114/AO$22</f>
        <v>0.76920986311798489</v>
      </c>
      <c r="AP107" s="278">
        <f t="shared" si="317"/>
        <v>0.821919606915957</v>
      </c>
      <c r="AQ107" s="278">
        <f t="shared" si="317"/>
        <v>0.91051001675074095</v>
      </c>
      <c r="AR107" s="278">
        <f t="shared" si="317"/>
        <v>0.93354118188113655</v>
      </c>
      <c r="AS107" s="278">
        <f t="shared" ref="AS107:DT109" si="328">AS114/AS$22</f>
        <v>0.93354118188113655</v>
      </c>
      <c r="AT107" s="278">
        <f t="shared" si="328"/>
        <v>0.93354118188113655</v>
      </c>
      <c r="AU107" s="278">
        <f t="shared" si="328"/>
        <v>0.93354118188113655</v>
      </c>
      <c r="AV107" s="278">
        <f t="shared" si="328"/>
        <v>0.879395171498909</v>
      </c>
      <c r="AW107" s="278">
        <f t="shared" si="328"/>
        <v>0.98768719226336388</v>
      </c>
      <c r="AX107" s="278">
        <f t="shared" si="328"/>
        <v>0.93354118188113655</v>
      </c>
      <c r="AY107" s="278">
        <f t="shared" si="328"/>
        <v>0.87192741287027653</v>
      </c>
      <c r="AZ107" s="278">
        <f t="shared" si="328"/>
        <v>0.87192741287027653</v>
      </c>
      <c r="BA107" s="278">
        <f t="shared" si="328"/>
        <v>0.87192741287027653</v>
      </c>
      <c r="BB107" s="278">
        <f t="shared" si="328"/>
        <v>0.87192741287027653</v>
      </c>
      <c r="BC107" s="278">
        <f t="shared" si="328"/>
        <v>0.34902897538978561</v>
      </c>
      <c r="BD107" s="278">
        <f t="shared" si="328"/>
        <v>0.34902897538978561</v>
      </c>
      <c r="BE107" s="278">
        <f t="shared" si="328"/>
        <v>0.34902897538978561</v>
      </c>
      <c r="BF107" s="278">
        <f t="shared" si="328"/>
        <v>0.34902897538978561</v>
      </c>
      <c r="BG107" s="278">
        <f t="shared" si="328"/>
        <v>0.34902897538978561</v>
      </c>
      <c r="BH107" s="278">
        <f t="shared" si="328"/>
        <v>0.34902897538978561</v>
      </c>
      <c r="BI107" s="278">
        <f t="shared" si="328"/>
        <v>0.34902897538978561</v>
      </c>
      <c r="BJ107" s="278">
        <f t="shared" si="328"/>
        <v>0.37294602163811547</v>
      </c>
      <c r="BK107" s="278">
        <f t="shared" si="328"/>
        <v>0.41314392010064871</v>
      </c>
      <c r="BL107" s="278">
        <f t="shared" si="328"/>
        <v>0.43997347941918952</v>
      </c>
      <c r="BM107" s="278">
        <f t="shared" si="328"/>
        <v>0.43997347941918952</v>
      </c>
      <c r="BN107" s="278">
        <f t="shared" si="328"/>
        <v>0.43997347941918952</v>
      </c>
      <c r="BO107" s="278">
        <f t="shared" si="328"/>
        <v>0.43997347941918952</v>
      </c>
      <c r="BP107" s="278">
        <f t="shared" si="328"/>
        <v>0.43997347941918952</v>
      </c>
      <c r="BQ107" s="278">
        <f t="shared" si="328"/>
        <v>0.43997347941918952</v>
      </c>
      <c r="BR107" s="278">
        <f t="shared" si="328"/>
        <v>0.41130993517309788</v>
      </c>
      <c r="BS107" s="278">
        <f t="shared" si="328"/>
        <v>0.46863702366528132</v>
      </c>
      <c r="BT107" s="278">
        <f t="shared" si="328"/>
        <v>0.43997347941918952</v>
      </c>
      <c r="BU107" s="278">
        <f t="shared" si="328"/>
        <v>0.55462765640355649</v>
      </c>
      <c r="BV107" s="278">
        <f t="shared" si="328"/>
        <v>0.55462765640355649</v>
      </c>
      <c r="BW107" s="278">
        <f t="shared" si="328"/>
        <v>0.55462765640355649</v>
      </c>
      <c r="BX107" s="278">
        <f t="shared" si="328"/>
        <v>0.55462765640355649</v>
      </c>
      <c r="BY107" s="278">
        <f t="shared" si="328"/>
        <v>0.55462765640355649</v>
      </c>
      <c r="BZ107" s="278">
        <f t="shared" si="328"/>
        <v>0.55462765640355649</v>
      </c>
      <c r="CA107" s="278">
        <f t="shared" si="328"/>
        <v>0.497300567911373</v>
      </c>
      <c r="CB107" s="278">
        <f t="shared" si="328"/>
        <v>0.61195474489573976</v>
      </c>
      <c r="CC107" s="278">
        <f t="shared" si="328"/>
        <v>0.55462765640355649</v>
      </c>
      <c r="CD107" s="278">
        <f t="shared" si="328"/>
        <v>0.46609769733840239</v>
      </c>
      <c r="CE107" s="278">
        <f t="shared" si="328"/>
        <v>0.46609769733840239</v>
      </c>
      <c r="CF107" s="278">
        <f t="shared" si="328"/>
        <v>0.46609769733840239</v>
      </c>
      <c r="CG107" s="278">
        <f t="shared" si="328"/>
        <v>0.39563706358988798</v>
      </c>
      <c r="CH107" s="278">
        <f t="shared" ref="CH107:CM107" si="329">CH114/CH$22</f>
        <v>0.34902897538978561</v>
      </c>
      <c r="CI107" s="278">
        <f t="shared" si="329"/>
        <v>0.37294602163811547</v>
      </c>
      <c r="CJ107" s="278">
        <f t="shared" si="329"/>
        <v>0.41314392010064871</v>
      </c>
      <c r="CK107" s="278">
        <f t="shared" si="329"/>
        <v>0.43997347941918952</v>
      </c>
      <c r="CL107" s="278">
        <f t="shared" si="329"/>
        <v>0.55462765640355649</v>
      </c>
      <c r="CM107" s="278">
        <f t="shared" si="329"/>
        <v>0.39563706358988798</v>
      </c>
      <c r="CN107" s="278">
        <f t="shared" si="328"/>
        <v>0.97725677293930724</v>
      </c>
      <c r="CO107" s="278">
        <f t="shared" si="328"/>
        <v>1.0417474892400531</v>
      </c>
      <c r="CP107" s="278">
        <f t="shared" si="328"/>
        <v>1.1377361774310126</v>
      </c>
      <c r="CQ107" s="278">
        <f t="shared" si="328"/>
        <v>1.1316541089542558</v>
      </c>
      <c r="CR107" s="278">
        <f t="shared" si="328"/>
        <v>1.1118013900540122</v>
      </c>
      <c r="CS107" s="278">
        <f t="shared" si="328"/>
        <v>0.44343026072121067</v>
      </c>
      <c r="CT107" s="278">
        <f t="shared" si="328"/>
        <v>0.47269292324267415</v>
      </c>
      <c r="CU107" s="278">
        <f t="shared" si="328"/>
        <v>0.5162477905093219</v>
      </c>
      <c r="CV107" s="278">
        <f t="shared" si="328"/>
        <v>0.52986722007861731</v>
      </c>
      <c r="CW107" s="278">
        <f t="shared" si="328"/>
        <v>0.64452139706298428</v>
      </c>
      <c r="CX107" s="278">
        <f t="shared" si="328"/>
        <v>0.50447988073700811</v>
      </c>
      <c r="CY107" s="278">
        <f t="shared" ref="CY107:DD107" si="330">CY114/CY$22</f>
        <v>0.4741132674636544</v>
      </c>
      <c r="CZ107" s="278">
        <f t="shared" si="330"/>
        <v>0.50540075000977658</v>
      </c>
      <c r="DA107" s="278">
        <f t="shared" si="330"/>
        <v>0.55196938156899933</v>
      </c>
      <c r="DB107" s="278">
        <f t="shared" si="330"/>
        <v>0.56653120295572112</v>
      </c>
      <c r="DC107" s="278">
        <f t="shared" si="330"/>
        <v>0.68911883689392561</v>
      </c>
      <c r="DD107" s="278">
        <f t="shared" si="330"/>
        <v>0.53938719526467538</v>
      </c>
      <c r="DE107" s="278">
        <f t="shared" ref="DE107:DJ107" si="331">DE114/DE$22</f>
        <v>0.88772344655950564</v>
      </c>
      <c r="DF107" s="278">
        <f t="shared" si="331"/>
        <v>0.91180011396969773</v>
      </c>
      <c r="DG107" s="278"/>
      <c r="DH107" s="278">
        <f t="shared" si="331"/>
        <v>1.3056141663775629</v>
      </c>
      <c r="DI107" s="278">
        <f t="shared" si="331"/>
        <v>1.5950571909538787</v>
      </c>
      <c r="DJ107" s="278">
        <f t="shared" si="331"/>
        <v>1.1358499858478366</v>
      </c>
      <c r="DK107" s="278">
        <f t="shared" si="328"/>
        <v>2.9442682855155651</v>
      </c>
      <c r="DL107" s="278">
        <f t="shared" si="328"/>
        <v>1.7665609713093391</v>
      </c>
      <c r="DM107" s="278">
        <f t="shared" si="328"/>
        <v>2.2082012141366736</v>
      </c>
      <c r="DN107" s="278">
        <f t="shared" si="328"/>
        <v>2.0074556492151578</v>
      </c>
      <c r="DO107" s="278">
        <f t="shared" si="328"/>
        <v>2.2082012141366736</v>
      </c>
      <c r="DP107" s="278">
        <f t="shared" si="328"/>
        <v>2.2082012141366736</v>
      </c>
      <c r="DQ107" s="278">
        <f t="shared" si="328"/>
        <v>2.2082012141366736</v>
      </c>
      <c r="DR107" s="278">
        <f t="shared" si="328"/>
        <v>2.209165923924032</v>
      </c>
      <c r="DS107" s="278">
        <f t="shared" ref="DS107" si="332">DS114/DS$22</f>
        <v>3.6557326393473639</v>
      </c>
      <c r="DT107" s="278">
        <f t="shared" si="328"/>
        <v>3.6557326393473639</v>
      </c>
      <c r="DU107" s="278">
        <f t="shared" ref="DU107:ED109" si="333">DU114/DU$22</f>
        <v>3.060291793455026</v>
      </c>
      <c r="DV107" s="278">
        <f t="shared" ref="DV107" si="334">DV114/DV$22</f>
        <v>2.6093218883916194</v>
      </c>
      <c r="DW107" s="278">
        <f t="shared" si="333"/>
        <v>2.6093218883916194</v>
      </c>
      <c r="DX107" s="278">
        <f t="shared" si="333"/>
        <v>5.4130366216295638</v>
      </c>
      <c r="DY107" s="278">
        <f t="shared" si="333"/>
        <v>5.4130366216295638</v>
      </c>
      <c r="DZ107" s="278">
        <f t="shared" si="333"/>
        <v>5.4130366216295638</v>
      </c>
      <c r="EA107" s="278">
        <f t="shared" si="333"/>
        <v>5.4130366216295638</v>
      </c>
      <c r="EB107" s="278">
        <f t="shared" si="333"/>
        <v>5.4130366216295638</v>
      </c>
      <c r="EC107" s="278">
        <f t="shared" si="333"/>
        <v>5.4130366216295638</v>
      </c>
      <c r="ED107" s="278">
        <f t="shared" si="333"/>
        <v>5.4130366216295638</v>
      </c>
    </row>
    <row r="108" spans="1:134" x14ac:dyDescent="0.3">
      <c r="A108" s="21" t="str">
        <f>A86</f>
        <v>Vehicle use (including fuel production)</v>
      </c>
      <c r="C108" s="276"/>
      <c r="D108" s="278">
        <f t="shared" si="317"/>
        <v>1.4239176699373322</v>
      </c>
      <c r="E108" s="278">
        <f t="shared" si="317"/>
        <v>6.5698646003115231</v>
      </c>
      <c r="F108" s="278">
        <f t="shared" si="317"/>
        <v>0</v>
      </c>
      <c r="G108" s="278">
        <f t="shared" si="317"/>
        <v>0.80095368933974942</v>
      </c>
      <c r="H108" s="278">
        <f t="shared" si="317"/>
        <v>0.80095368933974942</v>
      </c>
      <c r="I108" s="278">
        <f t="shared" ref="I108" si="335">I115/I$22</f>
        <v>1.067938252452999</v>
      </c>
      <c r="J108" s="278">
        <f t="shared" si="317"/>
        <v>1.067938252452999</v>
      </c>
      <c r="K108" s="278">
        <f t="shared" ref="K108" si="336">K115/K$22</f>
        <v>0.80095368933974942</v>
      </c>
      <c r="L108" s="278">
        <f t="shared" si="317"/>
        <v>1.067938252452999</v>
      </c>
      <c r="M108" s="278">
        <f t="shared" si="317"/>
        <v>1.067938252452999</v>
      </c>
      <c r="N108" s="278">
        <f t="shared" si="317"/>
        <v>1.067938252452999</v>
      </c>
      <c r="O108" s="278">
        <f t="shared" si="317"/>
        <v>1.067938252452999</v>
      </c>
      <c r="P108" s="278">
        <f t="shared" si="317"/>
        <v>1.067938252452999</v>
      </c>
      <c r="Q108" s="278">
        <f t="shared" si="317"/>
        <v>1.4239176699373322</v>
      </c>
      <c r="R108" s="278">
        <f t="shared" si="317"/>
        <v>1.4239176699373322</v>
      </c>
      <c r="S108" s="278">
        <f t="shared" si="317"/>
        <v>1.4239176699373322</v>
      </c>
      <c r="T108" s="278">
        <f t="shared" si="317"/>
        <v>1.4239176699373322</v>
      </c>
      <c r="U108" s="278">
        <f t="shared" si="317"/>
        <v>11.679759289442709</v>
      </c>
      <c r="V108" s="278">
        <f t="shared" si="317"/>
        <v>0</v>
      </c>
      <c r="W108" s="278">
        <f t="shared" si="317"/>
        <v>1.4239176699373322</v>
      </c>
      <c r="X108" s="278">
        <f t="shared" si="314"/>
        <v>0</v>
      </c>
      <c r="Y108" s="278">
        <f t="shared" si="314"/>
        <v>0</v>
      </c>
      <c r="Z108" s="278">
        <f t="shared" si="314"/>
        <v>1.5404200247503861</v>
      </c>
      <c r="AA108" s="278">
        <f t="shared" si="314"/>
        <v>1.5404200247503863</v>
      </c>
      <c r="AB108" s="278">
        <f t="shared" ref="AB108:AC108" si="337">AB115/AB$22</f>
        <v>1.5404200247503861</v>
      </c>
      <c r="AC108" s="278">
        <f t="shared" si="337"/>
        <v>1.5404200247503861</v>
      </c>
      <c r="AD108" s="278">
        <f t="shared" ref="AD108" si="338">AD115/AD$22</f>
        <v>1.5404200247503861</v>
      </c>
      <c r="AE108" s="278">
        <f t="shared" ref="AE108" si="339">AE115/AE$22</f>
        <v>1.5404200247503861</v>
      </c>
      <c r="AF108" s="278">
        <f t="shared" si="317"/>
        <v>5.6798038727492948</v>
      </c>
      <c r="AG108" s="278">
        <f t="shared" si="317"/>
        <v>0</v>
      </c>
      <c r="AH108" s="278">
        <f t="shared" si="317"/>
        <v>2.7183882789712701</v>
      </c>
      <c r="AI108" s="278">
        <f t="shared" si="317"/>
        <v>0</v>
      </c>
      <c r="AJ108" s="278">
        <f t="shared" si="317"/>
        <v>2.7183882789712706</v>
      </c>
      <c r="AK108" s="278">
        <f t="shared" si="317"/>
        <v>53.73696412283369</v>
      </c>
      <c r="AL108" s="278">
        <f t="shared" si="317"/>
        <v>4.5324601156650521</v>
      </c>
      <c r="AM108" s="278">
        <f t="shared" si="317"/>
        <v>53.736964122833704</v>
      </c>
      <c r="AN108" s="278">
        <f t="shared" si="317"/>
        <v>4.5324601156650521</v>
      </c>
      <c r="AO108" s="278">
        <f>AO115/AO$22</f>
        <v>188.44819056</v>
      </c>
      <c r="AP108" s="278">
        <f t="shared" si="317"/>
        <v>140.37467256000002</v>
      </c>
      <c r="AQ108" s="278">
        <f t="shared" si="317"/>
        <v>63.989631793861733</v>
      </c>
      <c r="AR108" s="278">
        <f t="shared" si="317"/>
        <v>24.639762308275344</v>
      </c>
      <c r="AS108" s="278">
        <f t="shared" si="328"/>
        <v>202.10894125810302</v>
      </c>
      <c r="AT108" s="278">
        <f t="shared" si="328"/>
        <v>0</v>
      </c>
      <c r="AU108" s="278">
        <f t="shared" ref="AU108:BA109" si="340">AU115/AU$22</f>
        <v>24.639762308275344</v>
      </c>
      <c r="AV108" s="278">
        <f t="shared" si="340"/>
        <v>24.639762308275344</v>
      </c>
      <c r="AW108" s="278">
        <f t="shared" si="340"/>
        <v>24.639762308275344</v>
      </c>
      <c r="AX108" s="278">
        <f t="shared" si="340"/>
        <v>24.639762308275344</v>
      </c>
      <c r="AY108" s="278">
        <f t="shared" si="340"/>
        <v>244.18692245284905</v>
      </c>
      <c r="AZ108" s="278">
        <f t="shared" si="340"/>
        <v>1.2550821880242859</v>
      </c>
      <c r="BA108" s="278">
        <f t="shared" si="340"/>
        <v>62.791225149224154</v>
      </c>
      <c r="BB108" s="278">
        <f t="shared" si="328"/>
        <v>124.01955766948878</v>
      </c>
      <c r="BC108" s="278">
        <f t="shared" ref="BC108:BH109" si="341">BC115/BC$22</f>
        <v>159.96021687671012</v>
      </c>
      <c r="BD108" s="278">
        <f t="shared" si="341"/>
        <v>159.96021687671012</v>
      </c>
      <c r="BE108" s="278">
        <f t="shared" si="341"/>
        <v>159.96021687671012</v>
      </c>
      <c r="BF108" s="278">
        <f t="shared" si="341"/>
        <v>159.96021687671012</v>
      </c>
      <c r="BG108" s="278">
        <f t="shared" si="341"/>
        <v>159.96021687671012</v>
      </c>
      <c r="BH108" s="278">
        <f t="shared" si="341"/>
        <v>159.96021687671012</v>
      </c>
      <c r="BI108" s="278">
        <f t="shared" si="328"/>
        <v>159.96021687671012</v>
      </c>
      <c r="BJ108" s="278">
        <f t="shared" si="328"/>
        <v>119.15403910203921</v>
      </c>
      <c r="BK108" s="278">
        <f t="shared" si="328"/>
        <v>83.872139034651426</v>
      </c>
      <c r="BL108" s="278">
        <f t="shared" ref="BL108:BN109" si="342">BL115/BL$22</f>
        <v>20.914935351249316</v>
      </c>
      <c r="BM108" s="278">
        <f t="shared" si="342"/>
        <v>20.914935351249316</v>
      </c>
      <c r="BN108" s="278">
        <f t="shared" si="342"/>
        <v>20.914935351249316</v>
      </c>
      <c r="BO108" s="278">
        <f t="shared" si="328"/>
        <v>171.55585299225825</v>
      </c>
      <c r="BP108" s="278">
        <f t="shared" si="328"/>
        <v>0</v>
      </c>
      <c r="BQ108" s="278">
        <f t="shared" ref="BQ108:BS109" si="343">BQ115/BQ$22</f>
        <v>20.914935351249316</v>
      </c>
      <c r="BR108" s="278">
        <f t="shared" si="343"/>
        <v>20.914935351249316</v>
      </c>
      <c r="BS108" s="278">
        <f t="shared" si="343"/>
        <v>20.914935351249316</v>
      </c>
      <c r="BT108" s="278">
        <f t="shared" si="328"/>
        <v>20.914935351249316</v>
      </c>
      <c r="BU108" s="278">
        <f t="shared" ref="BU108:BW109" si="344">BU115/BU$22</f>
        <v>20.914935351249316</v>
      </c>
      <c r="BV108" s="278">
        <f t="shared" si="344"/>
        <v>20.914935351249316</v>
      </c>
      <c r="BW108" s="278">
        <f t="shared" si="344"/>
        <v>20.914935351249316</v>
      </c>
      <c r="BX108" s="278">
        <f t="shared" si="328"/>
        <v>171.55585299225825</v>
      </c>
      <c r="BY108" s="278">
        <f t="shared" si="328"/>
        <v>0</v>
      </c>
      <c r="BZ108" s="278">
        <f t="shared" ref="BZ108:CB109" si="345">BZ115/BZ$22</f>
        <v>20.914935351249316</v>
      </c>
      <c r="CA108" s="278">
        <f t="shared" si="345"/>
        <v>20.914935351249316</v>
      </c>
      <c r="CB108" s="278">
        <f t="shared" si="345"/>
        <v>20.914935351249316</v>
      </c>
      <c r="CC108" s="278">
        <f t="shared" si="328"/>
        <v>20.914935351249316</v>
      </c>
      <c r="CD108" s="278">
        <f t="shared" ref="CD108:CF109" si="346">CD115/CD$22</f>
        <v>244.18692245284905</v>
      </c>
      <c r="CE108" s="278">
        <f t="shared" si="346"/>
        <v>1.2550821880242859</v>
      </c>
      <c r="CF108" s="278">
        <f t="shared" si="346"/>
        <v>62.791225149224154</v>
      </c>
      <c r="CG108" s="278">
        <f t="shared" si="328"/>
        <v>105.27134955667724</v>
      </c>
      <c r="CH108" s="278">
        <f t="shared" ref="CH108:CM108" si="347">CH115/CH$22</f>
        <v>159.96021687671012</v>
      </c>
      <c r="CI108" s="278">
        <f t="shared" si="347"/>
        <v>119.15403910203921</v>
      </c>
      <c r="CJ108" s="278">
        <f t="shared" si="347"/>
        <v>83.872139034651426</v>
      </c>
      <c r="CK108" s="278">
        <f t="shared" si="347"/>
        <v>20.914935351249316</v>
      </c>
      <c r="CL108" s="278">
        <f t="shared" si="347"/>
        <v>20.914935351249316</v>
      </c>
      <c r="CM108" s="278">
        <f t="shared" si="347"/>
        <v>105.27134955667724</v>
      </c>
      <c r="CN108" s="278">
        <f t="shared" si="328"/>
        <v>245.25977741999995</v>
      </c>
      <c r="CO108" s="278">
        <f t="shared" si="328"/>
        <v>180.54600022935696</v>
      </c>
      <c r="CP108" s="278">
        <f t="shared" si="328"/>
        <v>78.481043999696467</v>
      </c>
      <c r="CQ108" s="278">
        <f t="shared" si="328"/>
        <v>25.902127154113785</v>
      </c>
      <c r="CR108" s="278">
        <f t="shared" si="328"/>
        <v>141.7228807441162</v>
      </c>
      <c r="CS108" s="278">
        <f t="shared" si="328"/>
        <v>208.18351755277712</v>
      </c>
      <c r="CT108" s="278">
        <f t="shared" si="328"/>
        <v>153.25261159095788</v>
      </c>
      <c r="CU108" s="278">
        <f t="shared" si="328"/>
        <v>106.10927632584742</v>
      </c>
      <c r="CV108" s="278">
        <f t="shared" si="328"/>
        <v>21.986466756872233</v>
      </c>
      <c r="CW108" s="278">
        <f t="shared" si="328"/>
        <v>21.986466756872233</v>
      </c>
      <c r="CX108" s="278">
        <f t="shared" si="328"/>
        <v>120.29843678972894</v>
      </c>
      <c r="CY108" s="278">
        <f t="shared" ref="CY108:DD108" si="348">CY115/CY$22</f>
        <v>222.58870555764702</v>
      </c>
      <c r="CZ108" s="278">
        <f t="shared" si="348"/>
        <v>163.85687415773572</v>
      </c>
      <c r="DA108" s="278">
        <f t="shared" si="348"/>
        <v>107.54884887057919</v>
      </c>
      <c r="DB108" s="278">
        <f t="shared" si="348"/>
        <v>23.507812879363769</v>
      </c>
      <c r="DC108" s="278">
        <f t="shared" si="348"/>
        <v>23.507812879363769</v>
      </c>
      <c r="DD108" s="278">
        <f t="shared" si="348"/>
        <v>128.62244638961806</v>
      </c>
      <c r="DE108" s="278">
        <f t="shared" ref="DE108:DJ108" si="349">DE115/DE$22</f>
        <v>379.79555498936662</v>
      </c>
      <c r="DF108" s="278">
        <f t="shared" si="349"/>
        <v>279.58342407199495</v>
      </c>
      <c r="DG108" s="278"/>
      <c r="DH108" s="278">
        <f t="shared" si="349"/>
        <v>55.507366611082482</v>
      </c>
      <c r="DI108" s="278">
        <f t="shared" si="349"/>
        <v>55.507366611082482</v>
      </c>
      <c r="DJ108" s="278">
        <f t="shared" si="349"/>
        <v>259.55485256281514</v>
      </c>
      <c r="DK108" s="278">
        <f t="shared" si="328"/>
        <v>1099.0850624066097</v>
      </c>
      <c r="DL108" s="278">
        <f t="shared" si="328"/>
        <v>1099.0850624066097</v>
      </c>
      <c r="DM108" s="278">
        <f t="shared" si="328"/>
        <v>989.1765561659488</v>
      </c>
      <c r="DN108" s="278">
        <f t="shared" si="328"/>
        <v>999.16823855146345</v>
      </c>
      <c r="DO108" s="278">
        <f t="shared" si="328"/>
        <v>1099.0850624066097</v>
      </c>
      <c r="DP108" s="278">
        <f t="shared" si="328"/>
        <v>1099.0850624066097</v>
      </c>
      <c r="DQ108" s="278">
        <f>DQ115/DQ$22</f>
        <v>1099.0850624066097</v>
      </c>
      <c r="DR108" s="278">
        <f t="shared" si="328"/>
        <v>809.0825736563072</v>
      </c>
      <c r="DS108" s="278">
        <f t="shared" ref="DS108" si="350">DS115/DS$22</f>
        <v>0</v>
      </c>
      <c r="DT108" s="278">
        <f t="shared" si="328"/>
        <v>160.07423551313678</v>
      </c>
      <c r="DU108" s="278">
        <f t="shared" si="333"/>
        <v>160.07423551313678</v>
      </c>
      <c r="DV108" s="278">
        <f t="shared" ref="DV108" si="351">DV115/DV$22</f>
        <v>6.7994389655501202</v>
      </c>
      <c r="DW108" s="278">
        <f t="shared" si="333"/>
        <v>671.87903784663933</v>
      </c>
      <c r="DX108" s="278">
        <f t="shared" si="333"/>
        <v>2293.9457492758092</v>
      </c>
      <c r="DY108" s="278">
        <f t="shared" si="333"/>
        <v>2293.9457492758092</v>
      </c>
      <c r="DZ108" s="278">
        <f t="shared" si="333"/>
        <v>2293.9457492758092</v>
      </c>
      <c r="EA108" s="278">
        <f t="shared" si="333"/>
        <v>2293.9457492758092</v>
      </c>
      <c r="EB108" s="278">
        <f t="shared" si="333"/>
        <v>2293.9457492758092</v>
      </c>
      <c r="EC108" s="278">
        <f t="shared" si="333"/>
        <v>2293.9457492758092</v>
      </c>
      <c r="ED108" s="278">
        <f t="shared" si="333"/>
        <v>2293.9457492758092</v>
      </c>
    </row>
    <row r="109" spans="1:134" x14ac:dyDescent="0.3">
      <c r="A109" s="21" t="str">
        <f>A87</f>
        <v>Operational services</v>
      </c>
      <c r="C109" s="276"/>
      <c r="D109" s="278">
        <f t="shared" si="317"/>
        <v>0</v>
      </c>
      <c r="E109" s="278">
        <f t="shared" si="317"/>
        <v>208.36509538569825</v>
      </c>
      <c r="F109" s="278">
        <f t="shared" si="317"/>
        <v>0.81502382855616651</v>
      </c>
      <c r="G109" s="278">
        <f t="shared" si="317"/>
        <v>69.455031795232756</v>
      </c>
      <c r="H109" s="278">
        <f t="shared" si="317"/>
        <v>23.151677265077584</v>
      </c>
      <c r="I109" s="278">
        <f t="shared" ref="I109" si="352">I116/I$22</f>
        <v>0</v>
      </c>
      <c r="J109" s="278">
        <f t="shared" si="317"/>
        <v>3.6676072285027495</v>
      </c>
      <c r="K109" s="278">
        <f t="shared" ref="K109" si="353">K116/K$22</f>
        <v>23.151677265077588</v>
      </c>
      <c r="L109" s="278">
        <f t="shared" si="317"/>
        <v>69.455031795232756</v>
      </c>
      <c r="M109" s="278">
        <f t="shared" si="317"/>
        <v>17.363757948808189</v>
      </c>
      <c r="N109" s="278">
        <f t="shared" si="317"/>
        <v>52.091273846424563</v>
      </c>
      <c r="O109" s="278">
        <f t="shared" si="317"/>
        <v>34.727515897616378</v>
      </c>
      <c r="P109" s="278">
        <f t="shared" si="317"/>
        <v>34.727515897616378</v>
      </c>
      <c r="Q109" s="278">
        <f t="shared" si="317"/>
        <v>34.727515897616378</v>
      </c>
      <c r="R109" s="278">
        <f t="shared" si="317"/>
        <v>34.727515897616378</v>
      </c>
      <c r="S109" s="278">
        <f t="shared" si="317"/>
        <v>34.727515897616378</v>
      </c>
      <c r="T109" s="278">
        <f t="shared" si="317"/>
        <v>34.727515897616378</v>
      </c>
      <c r="U109" s="278">
        <f t="shared" si="317"/>
        <v>34.727515897616378</v>
      </c>
      <c r="V109" s="278">
        <f t="shared" si="317"/>
        <v>34.727515897616378</v>
      </c>
      <c r="W109" s="278">
        <f t="shared" si="317"/>
        <v>34.727515897616378</v>
      </c>
      <c r="X109" s="278">
        <f t="shared" si="314"/>
        <v>0</v>
      </c>
      <c r="Y109" s="278">
        <f t="shared" si="314"/>
        <v>24.702441658055509</v>
      </c>
      <c r="Z109" s="278">
        <f t="shared" si="314"/>
        <v>12.351220829027755</v>
      </c>
      <c r="AA109" s="278">
        <f t="shared" si="314"/>
        <v>16.468294438703673</v>
      </c>
      <c r="AB109" s="278">
        <f t="shared" ref="AB109:AC109" si="354">AB116/AB$22</f>
        <v>24.702441658055509</v>
      </c>
      <c r="AC109" s="278">
        <f t="shared" si="354"/>
        <v>0</v>
      </c>
      <c r="AD109" s="278">
        <f t="shared" ref="AD109" si="355">AD116/AD$22</f>
        <v>16.468294438703676</v>
      </c>
      <c r="AE109" s="278">
        <f t="shared" ref="AE109" si="356">AE116/AE$22</f>
        <v>24.702441658055509</v>
      </c>
      <c r="AF109" s="278">
        <f t="shared" si="317"/>
        <v>52.95479166261358</v>
      </c>
      <c r="AG109" s="278">
        <f t="shared" si="317"/>
        <v>0</v>
      </c>
      <c r="AH109" s="278">
        <f t="shared" si="317"/>
        <v>0</v>
      </c>
      <c r="AI109" s="278">
        <f t="shared" si="317"/>
        <v>24.702441658055513</v>
      </c>
      <c r="AJ109" s="278">
        <f t="shared" si="317"/>
        <v>24.702441658055513</v>
      </c>
      <c r="AK109" s="278">
        <f t="shared" si="317"/>
        <v>0</v>
      </c>
      <c r="AL109" s="278">
        <f t="shared" si="317"/>
        <v>0</v>
      </c>
      <c r="AM109" s="278">
        <f t="shared" si="317"/>
        <v>0</v>
      </c>
      <c r="AN109" s="278">
        <f t="shared" si="317"/>
        <v>13.516430341200186</v>
      </c>
      <c r="AO109" s="278">
        <f>AO116/AO$22</f>
        <v>0</v>
      </c>
      <c r="AP109" s="278">
        <f t="shared" si="317"/>
        <v>0</v>
      </c>
      <c r="AQ109" s="278">
        <f t="shared" si="317"/>
        <v>0</v>
      </c>
      <c r="AR109" s="278">
        <f t="shared" si="317"/>
        <v>0</v>
      </c>
      <c r="AS109" s="278">
        <f t="shared" si="328"/>
        <v>0</v>
      </c>
      <c r="AT109" s="278">
        <f t="shared" si="328"/>
        <v>0</v>
      </c>
      <c r="AU109" s="278">
        <f t="shared" si="340"/>
        <v>0</v>
      </c>
      <c r="AV109" s="278">
        <f t="shared" si="340"/>
        <v>0</v>
      </c>
      <c r="AW109" s="278">
        <f t="shared" si="340"/>
        <v>0</v>
      </c>
      <c r="AX109" s="278">
        <f t="shared" si="340"/>
        <v>0</v>
      </c>
      <c r="AY109" s="278">
        <f t="shared" si="340"/>
        <v>0</v>
      </c>
      <c r="AZ109" s="278">
        <f t="shared" si="340"/>
        <v>0</v>
      </c>
      <c r="BA109" s="278">
        <f t="shared" si="340"/>
        <v>0</v>
      </c>
      <c r="BB109" s="278">
        <f t="shared" si="328"/>
        <v>0</v>
      </c>
      <c r="BC109" s="278">
        <f t="shared" si="341"/>
        <v>28.487973683289862</v>
      </c>
      <c r="BD109" s="278">
        <f t="shared" si="341"/>
        <v>28.487973683289862</v>
      </c>
      <c r="BE109" s="278">
        <f t="shared" si="341"/>
        <v>28.487973683289862</v>
      </c>
      <c r="BF109" s="278">
        <f t="shared" si="341"/>
        <v>28.487973683289862</v>
      </c>
      <c r="BG109" s="278">
        <f t="shared" si="341"/>
        <v>28.487973683289862</v>
      </c>
      <c r="BH109" s="278">
        <f t="shared" si="341"/>
        <v>28.487973683289862</v>
      </c>
      <c r="BI109" s="278">
        <f t="shared" si="328"/>
        <v>28.487973683289862</v>
      </c>
      <c r="BJ109" s="278">
        <f t="shared" si="328"/>
        <v>21.220633457960822</v>
      </c>
      <c r="BK109" s="278">
        <f t="shared" si="328"/>
        <v>14.937134596547686</v>
      </c>
      <c r="BL109" s="278">
        <f t="shared" si="342"/>
        <v>3.7248269570260257</v>
      </c>
      <c r="BM109" s="278">
        <f t="shared" si="342"/>
        <v>3.7248269570260257</v>
      </c>
      <c r="BN109" s="278">
        <f t="shared" si="342"/>
        <v>3.7248269570260257</v>
      </c>
      <c r="BO109" s="278">
        <f t="shared" si="328"/>
        <v>30.553088265844774</v>
      </c>
      <c r="BP109" s="278">
        <f t="shared" si="328"/>
        <v>0</v>
      </c>
      <c r="BQ109" s="278">
        <f t="shared" si="343"/>
        <v>3.7248269570260257</v>
      </c>
      <c r="BR109" s="278">
        <f t="shared" si="343"/>
        <v>3.7248269570260257</v>
      </c>
      <c r="BS109" s="278">
        <f t="shared" si="343"/>
        <v>3.7248269570260257</v>
      </c>
      <c r="BT109" s="278">
        <f t="shared" si="328"/>
        <v>3.7248269570260257</v>
      </c>
      <c r="BU109" s="278">
        <f t="shared" si="344"/>
        <v>3.7248269570260257</v>
      </c>
      <c r="BV109" s="278">
        <f t="shared" si="344"/>
        <v>3.7248269570260257</v>
      </c>
      <c r="BW109" s="278">
        <f t="shared" si="344"/>
        <v>3.7248269570260257</v>
      </c>
      <c r="BX109" s="278">
        <f t="shared" si="328"/>
        <v>30.553088265844774</v>
      </c>
      <c r="BY109" s="278">
        <f t="shared" si="328"/>
        <v>0</v>
      </c>
      <c r="BZ109" s="278">
        <f t="shared" si="345"/>
        <v>3.7248269570260257</v>
      </c>
      <c r="CA109" s="278">
        <f t="shared" si="345"/>
        <v>3.7248269570260257</v>
      </c>
      <c r="CB109" s="278">
        <f t="shared" si="345"/>
        <v>3.7248269570260257</v>
      </c>
      <c r="CC109" s="278">
        <f t="shared" si="328"/>
        <v>3.7248269570260257</v>
      </c>
      <c r="CD109" s="278">
        <f t="shared" si="346"/>
        <v>43.488254495190937</v>
      </c>
      <c r="CE109" s="278">
        <f t="shared" si="346"/>
        <v>0.2235227548507252</v>
      </c>
      <c r="CF109" s="278">
        <f t="shared" si="346"/>
        <v>11.182747838928886</v>
      </c>
      <c r="CG109" s="278">
        <f t="shared" si="328"/>
        <v>18.748208112811529</v>
      </c>
      <c r="CH109" s="278">
        <f t="shared" ref="CH109:CM109" si="357">CH116/CH$22</f>
        <v>28.487973683289862</v>
      </c>
      <c r="CI109" s="278">
        <f t="shared" si="357"/>
        <v>21.220633457960822</v>
      </c>
      <c r="CJ109" s="278">
        <f t="shared" si="357"/>
        <v>14.937134596547686</v>
      </c>
      <c r="CK109" s="278">
        <f t="shared" si="357"/>
        <v>3.7248269570260257</v>
      </c>
      <c r="CL109" s="278">
        <f t="shared" si="357"/>
        <v>3.7248269570260257</v>
      </c>
      <c r="CM109" s="278">
        <f t="shared" si="357"/>
        <v>18.748208112811529</v>
      </c>
      <c r="CN109" s="278">
        <f t="shared" si="328"/>
        <v>0</v>
      </c>
      <c r="CO109" s="278">
        <f t="shared" si="328"/>
        <v>0</v>
      </c>
      <c r="CP109" s="278">
        <f t="shared" si="328"/>
        <v>0</v>
      </c>
      <c r="CQ109" s="278">
        <f t="shared" si="328"/>
        <v>0</v>
      </c>
      <c r="CR109" s="278">
        <f t="shared" si="328"/>
        <v>0</v>
      </c>
      <c r="CS109" s="278">
        <f t="shared" si="328"/>
        <v>37.076259867222831</v>
      </c>
      <c r="CT109" s="278">
        <f t="shared" si="328"/>
        <v>27.293388638399065</v>
      </c>
      <c r="CU109" s="278">
        <f t="shared" si="328"/>
        <v>18.897437941419746</v>
      </c>
      <c r="CV109" s="278">
        <f t="shared" si="328"/>
        <v>3.9156603972415516</v>
      </c>
      <c r="CW109" s="278">
        <f t="shared" si="328"/>
        <v>3.9156603972415516</v>
      </c>
      <c r="CX109" s="278">
        <f t="shared" si="328"/>
        <v>21.424443954387261</v>
      </c>
      <c r="CY109" s="278">
        <f t="shared" ref="CY109:DD109" si="358">CY116/CY$22</f>
        <v>22.671071862352932</v>
      </c>
      <c r="CZ109" s="278">
        <f t="shared" si="358"/>
        <v>16.689126071621232</v>
      </c>
      <c r="DA109" s="278">
        <f t="shared" si="358"/>
        <v>10.954049422003436</v>
      </c>
      <c r="DB109" s="278">
        <f t="shared" si="358"/>
        <v>2.3943142747500135</v>
      </c>
      <c r="DC109" s="278">
        <f t="shared" si="358"/>
        <v>2.3943142747500135</v>
      </c>
      <c r="DD109" s="278">
        <f t="shared" si="358"/>
        <v>13.100434354498136</v>
      </c>
      <c r="DE109" s="278">
        <f t="shared" ref="DE109:DJ109" si="359">DE116/DE$22</f>
        <v>38.682880600768819</v>
      </c>
      <c r="DF109" s="278">
        <f t="shared" si="359"/>
        <v>28.476089488814299</v>
      </c>
      <c r="DG109" s="278"/>
      <c r="DH109" s="278">
        <f t="shared" si="359"/>
        <v>0</v>
      </c>
      <c r="DI109" s="278">
        <f t="shared" si="359"/>
        <v>0</v>
      </c>
      <c r="DJ109" s="278">
        <f t="shared" si="359"/>
        <v>0</v>
      </c>
      <c r="DK109" s="278">
        <f t="shared" si="328"/>
        <v>122.12056248962332</v>
      </c>
      <c r="DL109" s="278">
        <f t="shared" si="328"/>
        <v>122.12056248962332</v>
      </c>
      <c r="DM109" s="278">
        <f t="shared" si="328"/>
        <v>109.90850624066098</v>
      </c>
      <c r="DN109" s="278">
        <f t="shared" si="328"/>
        <v>222.03738634476969</v>
      </c>
      <c r="DO109" s="278">
        <f t="shared" si="328"/>
        <v>122.12056248962332</v>
      </c>
      <c r="DP109" s="278">
        <f t="shared" si="328"/>
        <v>122.12056248962332</v>
      </c>
      <c r="DQ109" s="278">
        <f t="shared" si="328"/>
        <v>122.12056248962332</v>
      </c>
      <c r="DR109" s="278">
        <f t="shared" si="328"/>
        <v>89.898063739589688</v>
      </c>
      <c r="DS109" s="278">
        <f t="shared" ref="DS109" si="360">DS116/DS$22</f>
        <v>0</v>
      </c>
      <c r="DT109" s="278">
        <f t="shared" si="328"/>
        <v>17.786026168126309</v>
      </c>
      <c r="DU109" s="278">
        <f t="shared" si="333"/>
        <v>17.786026168126309</v>
      </c>
      <c r="DV109" s="278">
        <f t="shared" ref="DV109" si="361">DV116/DV$22</f>
        <v>0.75549321839445782</v>
      </c>
      <c r="DW109" s="278">
        <f t="shared" si="333"/>
        <v>74.653226427404377</v>
      </c>
      <c r="DX109" s="278">
        <f t="shared" si="333"/>
        <v>0</v>
      </c>
      <c r="DY109" s="278">
        <f t="shared" si="333"/>
        <v>0</v>
      </c>
      <c r="DZ109" s="278">
        <f t="shared" si="333"/>
        <v>0</v>
      </c>
      <c r="EA109" s="278">
        <f t="shared" si="333"/>
        <v>0</v>
      </c>
      <c r="EB109" s="278">
        <f t="shared" si="333"/>
        <v>0</v>
      </c>
      <c r="EC109" s="278">
        <f t="shared" si="333"/>
        <v>0</v>
      </c>
      <c r="ED109" s="278">
        <f t="shared" si="333"/>
        <v>0</v>
      </c>
    </row>
    <row r="110" spans="1:134" x14ac:dyDescent="0.3">
      <c r="A110" s="21" t="str">
        <f>A88</f>
        <v>Infrastructure network (from the vehicleperspective)</v>
      </c>
      <c r="D110" s="45">
        <f>'5_Infrastructure'!D79</f>
        <v>9.4409392749428456</v>
      </c>
      <c r="E110" s="45">
        <f>'5_Infrastructure'!G79</f>
        <v>9.4409392749428456</v>
      </c>
      <c r="F110" s="45">
        <f>'5_Infrastructure'!H79</f>
        <v>9.4409392749428456</v>
      </c>
      <c r="G110" s="45">
        <f>'5_Infrastructure'!J79</f>
        <v>9.4409392749428456</v>
      </c>
      <c r="H110" s="45">
        <f>'5_Infrastructure'!K79</f>
        <v>9.4409392749428456</v>
      </c>
      <c r="I110" s="45">
        <f>'5_Infrastructure'!K79</f>
        <v>9.4409392749428456</v>
      </c>
      <c r="J110" s="45">
        <f>'5_Infrastructure'!L79</f>
        <v>9.4409392749428456</v>
      </c>
      <c r="K110" s="45">
        <f>'5_Infrastructure'!M79</f>
        <v>9.4409392749428456</v>
      </c>
      <c r="L110" s="45">
        <f>'5_Infrastructure'!L79</f>
        <v>9.4409392749428456</v>
      </c>
      <c r="M110" s="45">
        <f>'5_Infrastructure'!L79</f>
        <v>9.4409392749428456</v>
      </c>
      <c r="N110" s="45">
        <f>'5_Infrastructure'!N79</f>
        <v>9.4409392749428456</v>
      </c>
      <c r="O110" s="45">
        <f>'5_Infrastructure'!N79</f>
        <v>9.4409392749428456</v>
      </c>
      <c r="P110" s="45">
        <f>'5_Infrastructure'!O79</f>
        <v>9.4409392749428456</v>
      </c>
      <c r="Q110" s="45">
        <f>'5_Infrastructure'!N79</f>
        <v>9.4409392749428456</v>
      </c>
      <c r="R110" s="45">
        <f>'5_Infrastructure'!O79</f>
        <v>9.4409392749428456</v>
      </c>
      <c r="S110" s="45">
        <f>'5_Infrastructure'!P79</f>
        <v>9.4409392749428456</v>
      </c>
      <c r="T110" s="45">
        <f>'5_Infrastructure'!S79</f>
        <v>9.4493582127681535</v>
      </c>
      <c r="U110" s="45">
        <f>'5_Infrastructure'!S79</f>
        <v>9.4493582127681535</v>
      </c>
      <c r="V110" s="45">
        <f>'5_Infrastructure'!T79</f>
        <v>9.4409392749428456</v>
      </c>
      <c r="W110" s="21">
        <f>'5_Infrastructure'!W79</f>
        <v>9.4409392749428456</v>
      </c>
      <c r="X110" s="21">
        <f>'5_Infrastructure'!X79</f>
        <v>9.4835085147745115</v>
      </c>
      <c r="Y110" s="21">
        <f>'5_Infrastructure'!Y79</f>
        <v>9.4835085147745115</v>
      </c>
      <c r="Z110" s="21">
        <f>'5_Infrastructure'!Z79</f>
        <v>9.4835085147745115</v>
      </c>
      <c r="AA110" s="21">
        <f>'5_Infrastructure'!AA79</f>
        <v>9.4835085147745115</v>
      </c>
      <c r="AB110" s="21">
        <f>'5_Infrastructure'!AB79</f>
        <v>9.4835085147745115</v>
      </c>
      <c r="AC110" s="21">
        <f>'5_Infrastructure'!AC79</f>
        <v>9.4835085147745115</v>
      </c>
      <c r="AD110" s="21">
        <f>'5_Infrastructure'!AD79</f>
        <v>9.4835085147745115</v>
      </c>
      <c r="AE110" s="21">
        <f>'5_Infrastructure'!AE79</f>
        <v>9.4835085147745115</v>
      </c>
      <c r="AF110" s="21">
        <f>'5_Infrastructure'!AF79</f>
        <v>9.4409392749428456</v>
      </c>
      <c r="AG110" s="21">
        <f>'5_Infrastructure'!AG79</f>
        <v>9.471154571397097</v>
      </c>
      <c r="AH110" s="21">
        <f>'5_Infrastructure'!AH79</f>
        <v>9.4793603097639458</v>
      </c>
      <c r="AI110" s="21">
        <f>'5_Infrastructure'!AI79</f>
        <v>9.4896885706026097</v>
      </c>
      <c r="AJ110" s="21">
        <f>'5_Infrastructure'!AJ79</f>
        <v>9.5026866330964577</v>
      </c>
      <c r="AK110" s="21">
        <f>'5_Infrastructure'!AK79</f>
        <v>11.394557604754132</v>
      </c>
      <c r="AL110" s="21">
        <f>'5_Infrastructure'!AL79</f>
        <v>11.354081196149926</v>
      </c>
      <c r="AM110" s="21">
        <f>'5_Infrastructure'!AM79</f>
        <v>11.394557604754132</v>
      </c>
      <c r="AN110" s="21">
        <f>'5_Infrastructure'!AN79</f>
        <v>11.354081196149926</v>
      </c>
      <c r="AO110" s="21">
        <f>'5_Infrastructure'!AO79</f>
        <v>18.714685941190908</v>
      </c>
      <c r="AP110" s="21">
        <f>'5_Infrastructure'!AP79</f>
        <v>19.075332027928898</v>
      </c>
      <c r="AQ110" s="21">
        <f>'5_Infrastructure'!AQ79</f>
        <v>19.40555480052944</v>
      </c>
      <c r="AR110" s="21">
        <f>'5_Infrastructure'!AR79</f>
        <v>18.295736176994026</v>
      </c>
      <c r="AS110" s="21">
        <f>'5_Infrastructure'!AS79</f>
        <v>18.295736176994026</v>
      </c>
      <c r="AT110" s="21">
        <f>'5_Infrastructure'!AT79</f>
        <v>18.295736176994026</v>
      </c>
      <c r="AU110" s="21">
        <f>'5_Infrastructure'!AU79</f>
        <v>18.295736176994026</v>
      </c>
      <c r="AV110" s="21">
        <f>'5_Infrastructure'!AV79</f>
        <v>18.295736176994026</v>
      </c>
      <c r="AW110" s="21">
        <f>'5_Infrastructure'!AW79</f>
        <v>18.295736176994026</v>
      </c>
      <c r="AX110" s="21">
        <f>'5_Infrastructure'!AX79</f>
        <v>18.295736176994026</v>
      </c>
      <c r="AY110" s="21">
        <f>'5_Infrastructure'!AY79</f>
        <v>19.476282589040988</v>
      </c>
      <c r="AZ110" s="21">
        <f>'5_Infrastructure'!AZ79</f>
        <v>19.476282589040988</v>
      </c>
      <c r="BA110" s="21">
        <f>'5_Infrastructure'!BA79</f>
        <v>19.476282589040988</v>
      </c>
      <c r="BB110" s="21">
        <f>'5_Infrastructure'!BB79</f>
        <v>19.476282589040988</v>
      </c>
      <c r="BC110" s="21">
        <f>'5_Infrastructure'!BC79</f>
        <v>16.485477553763452</v>
      </c>
      <c r="BD110" s="21">
        <f>'5_Infrastructure'!BD79</f>
        <v>16.485477553763452</v>
      </c>
      <c r="BE110" s="21">
        <f>'5_Infrastructure'!BE79</f>
        <v>16.485477553763452</v>
      </c>
      <c r="BF110" s="21">
        <f>'5_Infrastructure'!BF79</f>
        <v>16.485477553763452</v>
      </c>
      <c r="BG110" s="21">
        <f>'5_Infrastructure'!BG79</f>
        <v>16.485477553763452</v>
      </c>
      <c r="BH110" s="21">
        <f>'5_Infrastructure'!BH79</f>
        <v>16.485477553763452</v>
      </c>
      <c r="BI110" s="21">
        <f>'5_Infrastructure'!BI79</f>
        <v>16.485477553763452</v>
      </c>
      <c r="BJ110" s="21">
        <f>'5_Infrastructure'!BJ79</f>
        <v>16.803165116699571</v>
      </c>
      <c r="BK110" s="21">
        <f>'5_Infrastructure'!BK79</f>
        <v>17.094053252495954</v>
      </c>
      <c r="BL110" s="21">
        <f>'5_Infrastructure'!BL79</f>
        <v>16.116431182612718</v>
      </c>
      <c r="BM110" s="21">
        <f>'5_Infrastructure'!BM79</f>
        <v>16.116431182612718</v>
      </c>
      <c r="BN110" s="21">
        <f>'5_Infrastructure'!BN79</f>
        <v>16.116431182612718</v>
      </c>
      <c r="BO110" s="21">
        <f>'5_Infrastructure'!BO79</f>
        <v>16.116431182612718</v>
      </c>
      <c r="BP110" s="21">
        <f>'5_Infrastructure'!BP79</f>
        <v>16.116431182612718</v>
      </c>
      <c r="BQ110" s="21">
        <f>'5_Infrastructure'!BQ79</f>
        <v>16.116431182612718</v>
      </c>
      <c r="BR110" s="21">
        <f>'5_Infrastructure'!BR79</f>
        <v>16.116431182612718</v>
      </c>
      <c r="BS110" s="21">
        <f>'5_Infrastructure'!BS79</f>
        <v>16.116431182612718</v>
      </c>
      <c r="BT110" s="21">
        <f>'5_Infrastructure'!BT79</f>
        <v>16.116431182612718</v>
      </c>
      <c r="BU110" s="21">
        <f>'5_Infrastructure'!BU79</f>
        <v>16.116431182612718</v>
      </c>
      <c r="BV110" s="21">
        <f>'5_Infrastructure'!BV79</f>
        <v>16.116431182612718</v>
      </c>
      <c r="BW110" s="21">
        <f>'5_Infrastructure'!BW79</f>
        <v>16.116431182612718</v>
      </c>
      <c r="BX110" s="21">
        <f>'5_Infrastructure'!BX79</f>
        <v>16.116431182612718</v>
      </c>
      <c r="BY110" s="21">
        <f>'5_Infrastructure'!BY79</f>
        <v>16.116431182612718</v>
      </c>
      <c r="BZ110" s="21">
        <f>'5_Infrastructure'!BZ79</f>
        <v>16.116431182612718</v>
      </c>
      <c r="CA110" s="21">
        <f>'5_Infrastructure'!CA79</f>
        <v>16.116431182612718</v>
      </c>
      <c r="CB110" s="21">
        <f>'5_Infrastructure'!CB79</f>
        <v>16.116431182612718</v>
      </c>
      <c r="CC110" s="21">
        <f>'5_Infrastructure'!CC79</f>
        <v>16.116431182612718</v>
      </c>
      <c r="CD110" s="21">
        <f>'5_Infrastructure'!CD79</f>
        <v>17.156356268084803</v>
      </c>
      <c r="CE110" s="21">
        <f>'5_Infrastructure'!CE79</f>
        <v>17.156356268084803</v>
      </c>
      <c r="CF110" s="21">
        <f>'5_Infrastructure'!CF79</f>
        <v>17.156356268084803</v>
      </c>
      <c r="CG110" s="21">
        <f>'5_Infrastructure'!CG79</f>
        <v>17.156356268084803</v>
      </c>
      <c r="CH110" s="21">
        <f>'5_Infrastructure'!CH79</f>
        <v>16.485477553763452</v>
      </c>
      <c r="CI110" s="21">
        <f>'5_Infrastructure'!CI79</f>
        <v>16.803165116699571</v>
      </c>
      <c r="CJ110" s="21">
        <f>'5_Infrastructure'!CJ79</f>
        <v>17.094053252495954</v>
      </c>
      <c r="CK110" s="21">
        <f>'5_Infrastructure'!CK79</f>
        <v>16.116431182612718</v>
      </c>
      <c r="CL110" s="21">
        <f>'5_Infrastructure'!CL79</f>
        <v>16.116431182612718</v>
      </c>
      <c r="CM110" s="21">
        <f>'5_Infrastructure'!CM79</f>
        <v>17.156356268084803</v>
      </c>
      <c r="CN110" s="21">
        <f>'5_Infrastructure'!CN79</f>
        <v>20.382756028222818</v>
      </c>
      <c r="CO110" s="21">
        <f>'5_Infrastructure'!CO79</f>
        <v>20.812612912314112</v>
      </c>
      <c r="CP110" s="21">
        <f>'5_Infrastructure'!CP79</f>
        <v>21.204752454777264</v>
      </c>
      <c r="CQ110" s="21">
        <f>'5_Infrastructure'!CQ79</f>
        <v>19.88415797950395</v>
      </c>
      <c r="CR110" s="21">
        <f>'5_Infrastructure'!CR79</f>
        <v>21.37428824086393</v>
      </c>
      <c r="CS110" s="21">
        <f>'5_Infrastructure'!CS79</f>
        <v>17.954854708383174</v>
      </c>
      <c r="CT110" s="21">
        <f>'5_Infrastructure'!CT79</f>
        <v>18.333508992846514</v>
      </c>
      <c r="CU110" s="21">
        <f>'5_Infrastructure'!CU79</f>
        <v>18.678938654104723</v>
      </c>
      <c r="CV110" s="21">
        <f>'5_Infrastructure'!CV79</f>
        <v>17.515647394601125</v>
      </c>
      <c r="CW110" s="21">
        <f>'5_Infrastructure'!CW79</f>
        <v>17.515647394601125</v>
      </c>
      <c r="CX110" s="21">
        <f>'5_Infrastructure'!CX79</f>
        <v>18.828280107382326</v>
      </c>
      <c r="CY110" s="21">
        <f>'5_Infrastructure'!CY79</f>
        <v>17.954854708383174</v>
      </c>
      <c r="CZ110" s="21">
        <f>'5_Infrastructure'!CZ79</f>
        <v>18.333508992846514</v>
      </c>
      <c r="DA110" s="21">
        <f>'5_Infrastructure'!DA79</f>
        <v>18.678938654104723</v>
      </c>
      <c r="DB110" s="21">
        <f>'5_Infrastructure'!DB79</f>
        <v>17.515647394601125</v>
      </c>
      <c r="DC110" s="21">
        <f>'5_Infrastructure'!DC79</f>
        <v>17.515647394601125</v>
      </c>
      <c r="DD110" s="21">
        <f>'5_Infrastructure'!DD79</f>
        <v>18.828280107382326</v>
      </c>
      <c r="DE110" s="21">
        <f>'5_Infrastructure'!DE79</f>
        <v>23.976148425916477</v>
      </c>
      <c r="DF110" s="21">
        <f>'5_Infrastructure'!DF79</f>
        <v>24.162019387289412</v>
      </c>
      <c r="DH110" s="21">
        <f>'5_Infrastructure'!DH79</f>
        <v>24.478627418625056</v>
      </c>
      <c r="DI110" s="21">
        <f>'5_Infrastructure'!DI79</f>
        <v>24.478627418625056</v>
      </c>
      <c r="DJ110" s="21">
        <f>'5_Infrastructure'!DJ79</f>
        <v>25.895214504673771</v>
      </c>
      <c r="DK110" s="21">
        <f>'5_Infrastructure'!DK79</f>
        <v>55.117412150243709</v>
      </c>
      <c r="DL110" s="21">
        <f>'5_Infrastructure'!DL79</f>
        <v>55.117412150243709</v>
      </c>
      <c r="DM110" s="21">
        <f>'5_Infrastructure'!DM79</f>
        <v>235.28372970242484</v>
      </c>
      <c r="DN110" s="21">
        <f>'5_Infrastructure'!DN79</f>
        <v>55.117412150243709</v>
      </c>
      <c r="DO110" s="21">
        <f>'5_Infrastructure'!DO79</f>
        <v>55.117412150243709</v>
      </c>
      <c r="DP110" s="21">
        <f>'5_Infrastructure'!DP79</f>
        <v>55.117412150243709</v>
      </c>
      <c r="DQ110" s="21">
        <f>'5_Infrastructure'!DQ79</f>
        <v>55.117412150243709</v>
      </c>
      <c r="DR110" s="21">
        <f>'5_Infrastructure'!DR79</f>
        <v>54.428327743207582</v>
      </c>
      <c r="DS110" s="21">
        <f>'5_Infrastructure'!DS79</f>
        <v>60.074368871442424</v>
      </c>
      <c r="DT110" s="21">
        <f>'5_Infrastructure'!DT79</f>
        <v>60.074368871442424</v>
      </c>
      <c r="DU110" s="21">
        <f>'5_Infrastructure'!DU79</f>
        <v>60.074368871442424</v>
      </c>
      <c r="DV110" s="21">
        <f>'5_Infrastructure'!DV79</f>
        <v>62.156977101681122</v>
      </c>
      <c r="DW110" s="21">
        <f>'5_Infrastructure'!DW79</f>
        <v>62.156977101681122</v>
      </c>
      <c r="DX110" s="21">
        <f>'5_Infrastructure'!DX79</f>
        <v>1672.5174465506295</v>
      </c>
      <c r="DY110" s="21">
        <f>'5_Infrastructure'!DY79</f>
        <v>2787.5290775843823</v>
      </c>
      <c r="DZ110" s="21">
        <f>'5_Infrastructure'!DZ79</f>
        <v>2787.5290775843823</v>
      </c>
      <c r="EA110" s="21">
        <f>'5_Infrastructure'!EA79</f>
        <v>1672.5174465506295</v>
      </c>
      <c r="EB110" s="21">
        <f>'5_Infrastructure'!EB79</f>
        <v>2090.6468081882867</v>
      </c>
      <c r="EC110" s="21">
        <f>'5_Infrastructure'!EC79</f>
        <v>2090.6468081882867</v>
      </c>
      <c r="ED110" s="21">
        <f>'5_Infrastructure'!ED79</f>
        <v>2090.6468081882867</v>
      </c>
    </row>
    <row r="112" spans="1:134" x14ac:dyDescent="0.3">
      <c r="A112" s="21" t="s">
        <v>855</v>
      </c>
      <c r="B112" s="45" t="s">
        <v>1134</v>
      </c>
      <c r="D112" s="21" t="e">
        <f t="shared" ref="D112:AQ112" ca="1" si="362">SUM(D113:D117)</f>
        <v>#N/A</v>
      </c>
      <c r="E112" s="21" t="e">
        <f t="shared" ca="1" si="362"/>
        <v>#N/A</v>
      </c>
      <c r="F112" s="21" t="e">
        <f t="shared" ca="1" si="362"/>
        <v>#N/A</v>
      </c>
      <c r="G112" s="21" t="e">
        <f t="shared" ca="1" si="362"/>
        <v>#N/A</v>
      </c>
      <c r="H112" s="21" t="e">
        <f t="shared" ca="1" si="362"/>
        <v>#N/A</v>
      </c>
      <c r="I112" s="21" t="e">
        <f t="shared" ref="I112" ca="1" si="363">SUM(I113:I117)</f>
        <v>#N/A</v>
      </c>
      <c r="J112" s="21" t="e">
        <f t="shared" ca="1" si="362"/>
        <v>#N/A</v>
      </c>
      <c r="K112" s="21" t="e">
        <f t="shared" ref="K112" ca="1" si="364">SUM(K113:K117)</f>
        <v>#N/A</v>
      </c>
      <c r="L112" s="21" t="e">
        <f t="shared" ca="1" si="362"/>
        <v>#N/A</v>
      </c>
      <c r="M112" s="21" t="e">
        <f t="shared" ca="1" si="362"/>
        <v>#N/A</v>
      </c>
      <c r="N112" s="21" t="e">
        <f t="shared" ca="1" si="362"/>
        <v>#N/A</v>
      </c>
      <c r="O112" s="21" t="e">
        <f t="shared" ca="1" si="362"/>
        <v>#N/A</v>
      </c>
      <c r="P112" s="21" t="e">
        <f t="shared" ca="1" si="362"/>
        <v>#N/A</v>
      </c>
      <c r="Q112" s="21" t="e">
        <f t="shared" ca="1" si="362"/>
        <v>#N/A</v>
      </c>
      <c r="R112" s="21" t="e">
        <f t="shared" ca="1" si="362"/>
        <v>#N/A</v>
      </c>
      <c r="S112" s="21" t="e">
        <f t="shared" ca="1" si="362"/>
        <v>#N/A</v>
      </c>
      <c r="T112" s="21" t="e">
        <f t="shared" ca="1" si="362"/>
        <v>#N/A</v>
      </c>
      <c r="U112" s="21" t="e">
        <f t="shared" ca="1" si="362"/>
        <v>#N/A</v>
      </c>
      <c r="V112" s="21" t="e">
        <f t="shared" ca="1" si="362"/>
        <v>#N/A</v>
      </c>
      <c r="W112" s="21" t="e">
        <f t="shared" ca="1" si="362"/>
        <v>#N/A</v>
      </c>
      <c r="X112" s="21" t="e">
        <f t="shared" ref="X112:Y112" ca="1" si="365">SUM(X113:X117)</f>
        <v>#N/A</v>
      </c>
      <c r="Y112" s="21" t="e">
        <f t="shared" ca="1" si="365"/>
        <v>#N/A</v>
      </c>
      <c r="Z112" s="21" t="e">
        <f t="shared" ca="1" si="362"/>
        <v>#N/A</v>
      </c>
      <c r="AA112" s="21" t="e">
        <f t="shared" ref="AA112" ca="1" si="366">SUM(AA113:AA117)</f>
        <v>#N/A</v>
      </c>
      <c r="AB112" s="21" t="e">
        <f t="shared" ref="AB112:AC112" ca="1" si="367">SUM(AB113:AB117)</f>
        <v>#N/A</v>
      </c>
      <c r="AC112" s="21" t="e">
        <f t="shared" ca="1" si="367"/>
        <v>#N/A</v>
      </c>
      <c r="AD112" s="21" t="e">
        <f t="shared" ref="AD112" ca="1" si="368">SUM(AD113:AD117)</f>
        <v>#N/A</v>
      </c>
      <c r="AE112" s="21" t="e">
        <f t="shared" ca="1" si="362"/>
        <v>#N/A</v>
      </c>
      <c r="AF112" s="21" t="e">
        <f t="shared" si="362"/>
        <v>#N/A</v>
      </c>
      <c r="AG112" s="21" t="e">
        <f t="shared" ca="1" si="362"/>
        <v>#N/A</v>
      </c>
      <c r="AH112" s="21" t="e">
        <f t="shared" ca="1" si="362"/>
        <v>#N/A</v>
      </c>
      <c r="AI112" s="21" t="e">
        <f t="shared" ca="1" si="362"/>
        <v>#N/A</v>
      </c>
      <c r="AJ112" s="21" t="e">
        <f t="shared" ca="1" si="362"/>
        <v>#N/A</v>
      </c>
      <c r="AK112" s="21" t="e">
        <f t="shared" ca="1" si="362"/>
        <v>#N/A</v>
      </c>
      <c r="AL112" s="21" t="e">
        <f t="shared" ca="1" si="362"/>
        <v>#N/A</v>
      </c>
      <c r="AM112" s="21" t="e">
        <f t="shared" ca="1" si="362"/>
        <v>#N/A</v>
      </c>
      <c r="AN112" s="21" t="e">
        <f t="shared" ca="1" si="362"/>
        <v>#N/A</v>
      </c>
      <c r="AO112" s="21" t="e">
        <f t="shared" ca="1" si="362"/>
        <v>#N/A</v>
      </c>
      <c r="AP112" s="21" t="e">
        <f t="shared" ca="1" si="362"/>
        <v>#N/A</v>
      </c>
      <c r="AQ112" s="21" t="e">
        <f t="shared" ca="1" si="362"/>
        <v>#N/A</v>
      </c>
      <c r="AR112" s="21" t="e">
        <f t="shared" ref="AR112:BW112" ca="1" si="369">SUM(AR113:AR117)</f>
        <v>#N/A</v>
      </c>
      <c r="AS112" s="21" t="e">
        <f t="shared" ca="1" si="369"/>
        <v>#N/A</v>
      </c>
      <c r="AT112" s="21" t="e">
        <f t="shared" ca="1" si="369"/>
        <v>#N/A</v>
      </c>
      <c r="AU112" s="21" t="e">
        <f t="shared" ca="1" si="369"/>
        <v>#N/A</v>
      </c>
      <c r="AV112" s="21" t="e">
        <f t="shared" ca="1" si="369"/>
        <v>#N/A</v>
      </c>
      <c r="AW112" s="21" t="e">
        <f t="shared" ca="1" si="369"/>
        <v>#N/A</v>
      </c>
      <c r="AX112" s="21" t="e">
        <f t="shared" ca="1" si="369"/>
        <v>#N/A</v>
      </c>
      <c r="AY112" s="21" t="e">
        <f t="shared" ca="1" si="369"/>
        <v>#N/A</v>
      </c>
      <c r="AZ112" s="21" t="e">
        <f t="shared" ca="1" si="369"/>
        <v>#N/A</v>
      </c>
      <c r="BA112" s="21" t="e">
        <f t="shared" ca="1" si="369"/>
        <v>#N/A</v>
      </c>
      <c r="BB112" s="21" t="e">
        <f t="shared" ca="1" si="369"/>
        <v>#N/A</v>
      </c>
      <c r="BC112" s="21" t="e">
        <f t="shared" ca="1" si="369"/>
        <v>#N/A</v>
      </c>
      <c r="BD112" s="21" t="e">
        <f t="shared" ca="1" si="369"/>
        <v>#N/A</v>
      </c>
      <c r="BE112" s="21" t="e">
        <f t="shared" ca="1" si="369"/>
        <v>#N/A</v>
      </c>
      <c r="BF112" s="21" t="e">
        <f t="shared" ca="1" si="369"/>
        <v>#N/A</v>
      </c>
      <c r="BG112" s="21" t="e">
        <f t="shared" ca="1" si="369"/>
        <v>#N/A</v>
      </c>
      <c r="BH112" s="21" t="e">
        <f t="shared" ca="1" si="369"/>
        <v>#N/A</v>
      </c>
      <c r="BI112" s="21" t="e">
        <f t="shared" ca="1" si="369"/>
        <v>#N/A</v>
      </c>
      <c r="BJ112" s="21" t="e">
        <f t="shared" ca="1" si="369"/>
        <v>#N/A</v>
      </c>
      <c r="BK112" s="21" t="e">
        <f t="shared" ca="1" si="369"/>
        <v>#N/A</v>
      </c>
      <c r="BL112" s="21" t="e">
        <f t="shared" ca="1" si="369"/>
        <v>#N/A</v>
      </c>
      <c r="BM112" s="21" t="e">
        <f t="shared" ca="1" si="369"/>
        <v>#N/A</v>
      </c>
      <c r="BN112" s="21" t="e">
        <f t="shared" ca="1" si="369"/>
        <v>#N/A</v>
      </c>
      <c r="BO112" s="21" t="e">
        <f t="shared" ca="1" si="369"/>
        <v>#N/A</v>
      </c>
      <c r="BP112" s="21" t="e">
        <f t="shared" ca="1" si="369"/>
        <v>#N/A</v>
      </c>
      <c r="BQ112" s="21" t="e">
        <f t="shared" ca="1" si="369"/>
        <v>#N/A</v>
      </c>
      <c r="BR112" s="21" t="e">
        <f t="shared" ca="1" si="369"/>
        <v>#N/A</v>
      </c>
      <c r="BS112" s="21" t="e">
        <f t="shared" ca="1" si="369"/>
        <v>#N/A</v>
      </c>
      <c r="BT112" s="21" t="e">
        <f t="shared" ca="1" si="369"/>
        <v>#N/A</v>
      </c>
      <c r="BU112" s="21" t="e">
        <f t="shared" ca="1" si="369"/>
        <v>#N/A</v>
      </c>
      <c r="BV112" s="21" t="e">
        <f t="shared" ca="1" si="369"/>
        <v>#N/A</v>
      </c>
      <c r="BW112" s="21" t="e">
        <f t="shared" ca="1" si="369"/>
        <v>#N/A</v>
      </c>
      <c r="BX112" s="21" t="e">
        <f t="shared" ref="BX112:DC112" ca="1" si="370">SUM(BX113:BX117)</f>
        <v>#N/A</v>
      </c>
      <c r="BY112" s="21" t="e">
        <f t="shared" ca="1" si="370"/>
        <v>#N/A</v>
      </c>
      <c r="BZ112" s="21" t="e">
        <f t="shared" ca="1" si="370"/>
        <v>#N/A</v>
      </c>
      <c r="CA112" s="21" t="e">
        <f t="shared" ca="1" si="370"/>
        <v>#N/A</v>
      </c>
      <c r="CB112" s="21" t="e">
        <f t="shared" ca="1" si="370"/>
        <v>#N/A</v>
      </c>
      <c r="CC112" s="21" t="e">
        <f t="shared" ca="1" si="370"/>
        <v>#N/A</v>
      </c>
      <c r="CD112" s="21" t="e">
        <f t="shared" ca="1" si="370"/>
        <v>#N/A</v>
      </c>
      <c r="CE112" s="21" t="e">
        <f t="shared" ca="1" si="370"/>
        <v>#N/A</v>
      </c>
      <c r="CF112" s="21" t="e">
        <f t="shared" ca="1" si="370"/>
        <v>#N/A</v>
      </c>
      <c r="CG112" s="21" t="e">
        <f t="shared" ca="1" si="370"/>
        <v>#N/A</v>
      </c>
      <c r="CH112" s="21" t="e">
        <f t="shared" ca="1" si="370"/>
        <v>#N/A</v>
      </c>
      <c r="CI112" s="21" t="e">
        <f t="shared" ca="1" si="370"/>
        <v>#N/A</v>
      </c>
      <c r="CJ112" s="21" t="e">
        <f t="shared" ca="1" si="370"/>
        <v>#N/A</v>
      </c>
      <c r="CK112" s="21" t="e">
        <f t="shared" ca="1" si="370"/>
        <v>#N/A</v>
      </c>
      <c r="CL112" s="21" t="e">
        <f t="shared" ca="1" si="370"/>
        <v>#N/A</v>
      </c>
      <c r="CM112" s="21" t="e">
        <f t="shared" ca="1" si="370"/>
        <v>#N/A</v>
      </c>
      <c r="CN112" s="21" t="e">
        <f t="shared" ca="1" si="370"/>
        <v>#N/A</v>
      </c>
      <c r="CO112" s="21" t="e">
        <f t="shared" ca="1" si="370"/>
        <v>#N/A</v>
      </c>
      <c r="CP112" s="21" t="e">
        <f t="shared" ca="1" si="370"/>
        <v>#N/A</v>
      </c>
      <c r="CQ112" s="21" t="e">
        <f t="shared" ca="1" si="370"/>
        <v>#N/A</v>
      </c>
      <c r="CR112" s="21" t="e">
        <f t="shared" ca="1" si="370"/>
        <v>#N/A</v>
      </c>
      <c r="CS112" s="21" t="e">
        <f t="shared" ca="1" si="370"/>
        <v>#N/A</v>
      </c>
      <c r="CT112" s="21" t="e">
        <f t="shared" ca="1" si="370"/>
        <v>#N/A</v>
      </c>
      <c r="CU112" s="21" t="e">
        <f t="shared" ca="1" si="370"/>
        <v>#N/A</v>
      </c>
      <c r="CV112" s="21" t="e">
        <f t="shared" ca="1" si="370"/>
        <v>#N/A</v>
      </c>
      <c r="CW112" s="21" t="e">
        <f t="shared" ca="1" si="370"/>
        <v>#N/A</v>
      </c>
      <c r="CX112" s="21" t="e">
        <f t="shared" ca="1" si="370"/>
        <v>#N/A</v>
      </c>
      <c r="CY112" s="21" t="e">
        <f t="shared" ca="1" si="370"/>
        <v>#N/A</v>
      </c>
      <c r="CZ112" s="21" t="e">
        <f t="shared" ca="1" si="370"/>
        <v>#N/A</v>
      </c>
      <c r="DA112" s="21" t="e">
        <f t="shared" ca="1" si="370"/>
        <v>#N/A</v>
      </c>
      <c r="DB112" s="21" t="e">
        <f t="shared" ca="1" si="370"/>
        <v>#N/A</v>
      </c>
      <c r="DC112" s="21" t="e">
        <f t="shared" ca="1" si="370"/>
        <v>#N/A</v>
      </c>
      <c r="DD112" s="21" t="e">
        <f t="shared" ref="DD112:DF112" ca="1" si="371">SUM(DD113:DD117)</f>
        <v>#N/A</v>
      </c>
      <c r="DE112" s="21" t="e">
        <f t="shared" ca="1" si="371"/>
        <v>#N/A</v>
      </c>
      <c r="DF112" s="21" t="e">
        <f t="shared" ca="1" si="371"/>
        <v>#N/A</v>
      </c>
      <c r="DH112" s="21" t="e">
        <f t="shared" ref="DH112:DS112" ca="1" si="372">SUM(DH113:DH117)</f>
        <v>#N/A</v>
      </c>
      <c r="DI112" s="21" t="e">
        <f t="shared" ca="1" si="372"/>
        <v>#N/A</v>
      </c>
      <c r="DJ112" s="21" t="e">
        <f t="shared" ca="1" si="372"/>
        <v>#N/A</v>
      </c>
      <c r="DK112" s="21" t="e">
        <f t="shared" ca="1" si="372"/>
        <v>#N/A</v>
      </c>
      <c r="DL112" s="21" t="e">
        <f t="shared" ca="1" si="372"/>
        <v>#N/A</v>
      </c>
      <c r="DM112" s="21" t="e">
        <f t="shared" ca="1" si="372"/>
        <v>#N/A</v>
      </c>
      <c r="DN112" s="21" t="e">
        <f t="shared" ca="1" si="372"/>
        <v>#N/A</v>
      </c>
      <c r="DO112" s="21" t="e">
        <f t="shared" ca="1" si="372"/>
        <v>#N/A</v>
      </c>
      <c r="DP112" s="21" t="e">
        <f t="shared" ca="1" si="372"/>
        <v>#N/A</v>
      </c>
      <c r="DQ112" s="21" t="e">
        <f t="shared" ca="1" si="372"/>
        <v>#N/A</v>
      </c>
      <c r="DR112" s="21" t="e">
        <f t="shared" ca="1" si="372"/>
        <v>#N/A</v>
      </c>
      <c r="DS112" s="21" t="e">
        <f t="shared" ca="1" si="372"/>
        <v>#N/A</v>
      </c>
      <c r="DT112" s="21" t="e">
        <f t="shared" ref="DT112:ED112" ca="1" si="373">SUM(DT113:DT117)</f>
        <v>#N/A</v>
      </c>
      <c r="DU112" s="21" t="e">
        <f t="shared" ca="1" si="373"/>
        <v>#N/A</v>
      </c>
      <c r="DV112" s="21" t="e">
        <f t="shared" ref="DV112" ca="1" si="374">SUM(DV113:DV117)</f>
        <v>#N/A</v>
      </c>
      <c r="DW112" s="21" t="e">
        <f t="shared" ca="1" si="373"/>
        <v>#N/A</v>
      </c>
      <c r="DX112" s="21" t="e">
        <f t="shared" ca="1" si="373"/>
        <v>#N/A</v>
      </c>
      <c r="DY112" s="21" t="e">
        <f t="shared" ca="1" si="373"/>
        <v>#N/A</v>
      </c>
      <c r="DZ112" s="21" t="e">
        <f t="shared" ca="1" si="373"/>
        <v>#N/A</v>
      </c>
      <c r="EA112" s="21" t="e">
        <f t="shared" ca="1" si="373"/>
        <v>#N/A</v>
      </c>
      <c r="EB112" s="21" t="e">
        <f t="shared" ca="1" si="373"/>
        <v>#N/A</v>
      </c>
      <c r="EC112" s="21" t="e">
        <f t="shared" ca="1" si="373"/>
        <v>#N/A</v>
      </c>
      <c r="ED112" s="21" t="e">
        <f t="shared" ca="1" si="373"/>
        <v>#N/A</v>
      </c>
    </row>
    <row r="113" spans="1:134" x14ac:dyDescent="0.3">
      <c r="A113" s="21" t="str">
        <f>A91</f>
        <v>Vehicle and battery manufacturing, assembly and disposal - Including fluids</v>
      </c>
      <c r="D113" s="45">
        <f ca="1">'1_Manufacturing'!D142</f>
        <v>163256.22384037051</v>
      </c>
      <c r="E113" s="45">
        <f ca="1">'1_Manufacturing'!E142</f>
        <v>196393.96415527308</v>
      </c>
      <c r="F113" s="45">
        <f ca="1">'1_Manufacturing'!F142</f>
        <v>96718.812446304757</v>
      </c>
      <c r="G113" s="45">
        <f ca="1">'1_Manufacturing'!G142</f>
        <v>163256.22384037051</v>
      </c>
      <c r="H113" s="45">
        <f ca="1">'1_Manufacturing'!H142</f>
        <v>163256.22384037051</v>
      </c>
      <c r="I113" s="45">
        <f ca="1">'1_Manufacturing'!I142</f>
        <v>163256.22384037051</v>
      </c>
      <c r="J113" s="45">
        <f ca="1">'1_Manufacturing'!J142</f>
        <v>163256.22384037051</v>
      </c>
      <c r="K113" s="45">
        <f ca="1">'1_Manufacturing'!K142</f>
        <v>163256.22384037051</v>
      </c>
      <c r="L113" s="45">
        <f ca="1">'1_Manufacturing'!L142</f>
        <v>163256.22384037051</v>
      </c>
      <c r="M113" s="45">
        <f ca="1">'1_Manufacturing'!M142</f>
        <v>163256.22384037051</v>
      </c>
      <c r="N113" s="45">
        <f ca="1">'1_Manufacturing'!N142</f>
        <v>163256.22384037051</v>
      </c>
      <c r="O113" s="45">
        <f ca="1">'1_Manufacturing'!O142</f>
        <v>163256.22384037051</v>
      </c>
      <c r="P113" s="45">
        <f ca="1">'1_Manufacturing'!P142</f>
        <v>163256.22384037051</v>
      </c>
      <c r="Q113" s="45">
        <f ca="1">'1_Manufacturing'!Q142</f>
        <v>155579.90819518047</v>
      </c>
      <c r="R113" s="45">
        <f ca="1">'1_Manufacturing'!R142</f>
        <v>170932.53948556053</v>
      </c>
      <c r="S113" s="45">
        <f ca="1">'1_Manufacturing'!S142</f>
        <v>196393.96415527308</v>
      </c>
      <c r="T113" s="45">
        <f ca="1">'1_Manufacturing'!T142</f>
        <v>96718.812446304757</v>
      </c>
      <c r="U113" s="45">
        <f ca="1">'1_Manufacturing'!U142</f>
        <v>163256.22384037051</v>
      </c>
      <c r="V113" s="45">
        <f ca="1">'1_Manufacturing'!V142</f>
        <v>163256.22384037051</v>
      </c>
      <c r="W113" s="45">
        <f ca="1">'1_Manufacturing'!W142</f>
        <v>163256.22384037051</v>
      </c>
      <c r="X113" s="45">
        <f ca="1">'1_Manufacturing'!X142</f>
        <v>217391.71915038512</v>
      </c>
      <c r="Y113" s="45">
        <f ca="1">'1_Manufacturing'!Y142</f>
        <v>355806.59130980022</v>
      </c>
      <c r="Z113" s="45">
        <f ca="1">'1_Manufacturing'!Z142</f>
        <v>355806.59130980022</v>
      </c>
      <c r="AA113" s="45">
        <f ca="1">'1_Manufacturing'!AA142</f>
        <v>355806.59130980022</v>
      </c>
      <c r="AB113" s="45">
        <f ca="1">'1_Manufacturing'!AB142</f>
        <v>217391.71915038512</v>
      </c>
      <c r="AC113" s="45">
        <f ca="1">'1_Manufacturing'!AC142</f>
        <v>355806.59130980022</v>
      </c>
      <c r="AD113" s="45">
        <f ca="1">'1_Manufacturing'!AD142</f>
        <v>355806.59130980022</v>
      </c>
      <c r="AE113" s="45">
        <f ca="1">'1_Manufacturing'!AE142</f>
        <v>355806.59130980022</v>
      </c>
      <c r="AF113" s="311">
        <v>200000</v>
      </c>
      <c r="AG113" s="45">
        <f ca="1">'1_Manufacturing'!AG142</f>
        <v>89889.101509083455</v>
      </c>
      <c r="AH113" s="45">
        <f ca="1">'1_Manufacturing'!AH142</f>
        <v>154448.42515801446</v>
      </c>
      <c r="AI113" s="45">
        <f ca="1">'1_Manufacturing'!AI142</f>
        <v>114392.86220454889</v>
      </c>
      <c r="AJ113" s="45">
        <f ca="1">'1_Manufacturing'!AJ142</f>
        <v>187975.7437384825</v>
      </c>
      <c r="AK113" s="45">
        <f ca="1">'1_Manufacturing'!AK142</f>
        <v>349113.78511884331</v>
      </c>
      <c r="AL113" s="45">
        <f ca="1">'1_Manufacturing'!AL142</f>
        <v>438890.97314650269</v>
      </c>
      <c r="AM113" s="45">
        <f ca="1">'1_Manufacturing'!AM142</f>
        <v>349113.78511884331</v>
      </c>
      <c r="AN113" s="45">
        <f ca="1">'1_Manufacturing'!AN142</f>
        <v>632427.17365553591</v>
      </c>
      <c r="AO113" s="45">
        <f ca="1">'1_Manufacturing'!AO142</f>
        <v>6357213.322665086</v>
      </c>
      <c r="AP113" s="45">
        <f ca="1">'1_Manufacturing'!AP142</f>
        <v>6923267.6453085067</v>
      </c>
      <c r="AQ113" s="45">
        <f ca="1">'1_Manufacturing'!AQ142</f>
        <v>8481513.564122295</v>
      </c>
      <c r="AR113" s="45">
        <f ca="1">'1_Manufacturing'!AR142</f>
        <v>11169577.152688658</v>
      </c>
      <c r="AS113" s="45">
        <f ca="1">'1_Manufacturing'!AS142</f>
        <v>11169577.152688658</v>
      </c>
      <c r="AT113" s="45">
        <f ca="1">'1_Manufacturing'!AT142</f>
        <v>11169577.152688658</v>
      </c>
      <c r="AU113" s="45">
        <f ca="1">'1_Manufacturing'!AU142</f>
        <v>9695533.3761453982</v>
      </c>
      <c r="AV113" s="45">
        <f ca="1">'1_Manufacturing'!AV142</f>
        <v>9773883.3990177475</v>
      </c>
      <c r="AW113" s="45">
        <f ca="1">'1_Manufacturing'!AW142</f>
        <v>12565270.906359572</v>
      </c>
      <c r="AX113" s="45">
        <f ca="1">'1_Manufacturing'!AX142</f>
        <v>11169577.152688658</v>
      </c>
      <c r="AY113" s="45">
        <f ca="1">'1_Manufacturing'!AY142</f>
        <v>10117797.896224903</v>
      </c>
      <c r="AZ113" s="45">
        <f ca="1">'1_Manufacturing'!AZ142</f>
        <v>10117797.896224903</v>
      </c>
      <c r="BA113" s="45">
        <f ca="1">'1_Manufacturing'!BA142</f>
        <v>10117797.896224903</v>
      </c>
      <c r="BB113" s="45">
        <f ca="1">'1_Manufacturing'!BB142</f>
        <v>10117797.896224903</v>
      </c>
      <c r="BC113" s="45">
        <f ca="1">'1_Manufacturing'!BC142</f>
        <v>7071050.6262190072</v>
      </c>
      <c r="BD113" s="45">
        <f ca="1">'1_Manufacturing'!BD142</f>
        <v>7071050.6262190072</v>
      </c>
      <c r="BE113" s="45">
        <f ca="1">'1_Manufacturing'!BE142</f>
        <v>7071050.6262190072</v>
      </c>
      <c r="BF113" s="45">
        <f ca="1">'1_Manufacturing'!BF142</f>
        <v>7071050.6262190072</v>
      </c>
      <c r="BG113" s="45">
        <f ca="1">'1_Manufacturing'!BG142</f>
        <v>7071050.6262190072</v>
      </c>
      <c r="BH113" s="45">
        <f ca="1">'1_Manufacturing'!BH142</f>
        <v>7071050.6262190072</v>
      </c>
      <c r="BI113" s="45">
        <f ca="1">'1_Manufacturing'!BI142</f>
        <v>7071050.6262190072</v>
      </c>
      <c r="BJ113" s="45">
        <f ca="1">'1_Manufacturing'!BJ142</f>
        <v>7678847.8466492258</v>
      </c>
      <c r="BK113" s="45">
        <f ca="1">'1_Manufacturing'!BK142</f>
        <v>9275315.3238007668</v>
      </c>
      <c r="BL113" s="45">
        <f ca="1">'1_Manufacturing'!BL142</f>
        <v>12277571.224780103</v>
      </c>
      <c r="BM113" s="45">
        <f ca="1">'1_Manufacturing'!BM142</f>
        <v>12277571.224780103</v>
      </c>
      <c r="BN113" s="45">
        <f ca="1">'1_Manufacturing'!BN142</f>
        <v>12277571.224780103</v>
      </c>
      <c r="BO113" s="45">
        <f ca="1">'1_Manufacturing'!BO142</f>
        <v>12277571.224780103</v>
      </c>
      <c r="BP113" s="45">
        <f ca="1">'1_Manufacturing'!BP142</f>
        <v>12277571.224780103</v>
      </c>
      <c r="BQ113" s="45">
        <f ca="1">'1_Manufacturing'!BQ142</f>
        <v>10621108.860415278</v>
      </c>
      <c r="BR113" s="45">
        <f ca="1">'1_Manufacturing'!BR142</f>
        <v>10649261.845497372</v>
      </c>
      <c r="BS113" s="45">
        <f ca="1">'1_Manufacturing'!BS142</f>
        <v>13905880.604062835</v>
      </c>
      <c r="BT113" s="45">
        <f ca="1">'1_Manufacturing'!BT142</f>
        <v>12277571.224780103</v>
      </c>
      <c r="BU113" s="45">
        <f ca="1">'1_Manufacturing'!BU142</f>
        <v>19943064.609775629</v>
      </c>
      <c r="BV113" s="45">
        <f ca="1">'1_Manufacturing'!BV142</f>
        <v>19943064.609775629</v>
      </c>
      <c r="BW113" s="45">
        <f ca="1">'1_Manufacturing'!BW142</f>
        <v>19943064.609775629</v>
      </c>
      <c r="BX113" s="45">
        <f ca="1">'1_Manufacturing'!BX142</f>
        <v>19943064.609775629</v>
      </c>
      <c r="BY113" s="45">
        <f ca="1">'1_Manufacturing'!BY142</f>
        <v>19943064.609775629</v>
      </c>
      <c r="BZ113" s="45">
        <f ca="1">'1_Manufacturing'!BZ142</f>
        <v>17009672.130659848</v>
      </c>
      <c r="CA113" s="45">
        <f ca="1">'1_Manufacturing'!CA142</f>
        <v>16686445.851210164</v>
      </c>
      <c r="CB113" s="45">
        <f ca="1">'1_Manufacturing'!CB142</f>
        <v>23199683.368341088</v>
      </c>
      <c r="CC113" s="45">
        <f ca="1">'1_Manufacturing'!CC142</f>
        <v>19943064.609775629</v>
      </c>
      <c r="CD113" s="45">
        <f ca="1">'1_Manufacturing'!CD142</f>
        <v>10117797.896224903</v>
      </c>
      <c r="CE113" s="45">
        <f ca="1">'1_Manufacturing'!CE142</f>
        <v>10117797.896224903</v>
      </c>
      <c r="CF113" s="45">
        <f ca="1">'1_Manufacturing'!CF142</f>
        <v>10117797.896224903</v>
      </c>
      <c r="CG113" s="45">
        <f ca="1">'1_Manufacturing'!CG142</f>
        <v>10331789.11116975</v>
      </c>
      <c r="CH113" s="45">
        <f ca="1">'1_Manufacturing'!CH142</f>
        <v>7071050.6262190072</v>
      </c>
      <c r="CI113" s="45">
        <f ca="1">'1_Manufacturing'!CI142</f>
        <v>7475158.1918985453</v>
      </c>
      <c r="CJ113" s="45">
        <f ca="1">'1_Manufacturing'!CJ142</f>
        <v>8989506.4372594096</v>
      </c>
      <c r="CK113" s="45">
        <f ca="1">'1_Manufacturing'!CK142</f>
        <v>12355904.976559525</v>
      </c>
      <c r="CL113" s="45">
        <f ca="1">'1_Manufacturing'!CL142</f>
        <v>18869142.493690453</v>
      </c>
      <c r="CM113" s="45">
        <f ca="1">'1_Manufacturing'!CM142</f>
        <v>10331789.11116975</v>
      </c>
      <c r="CN113" s="45">
        <f ca="1">'1_Manufacturing'!CN142</f>
        <v>7947375.6259564003</v>
      </c>
      <c r="CO113" s="45">
        <f ca="1">'1_Manufacturing'!CO142</f>
        <v>8685248.6089339238</v>
      </c>
      <c r="CP113" s="45">
        <f ca="1">'1_Manufacturing'!CP142</f>
        <v>10185761.082077665</v>
      </c>
      <c r="CQ113" s="45">
        <f ca="1">'1_Manufacturing'!CQ142</f>
        <v>12578733.269123247</v>
      </c>
      <c r="CR113" s="45">
        <f ca="1">'1_Manufacturing'!CR142</f>
        <v>12734413.82234459</v>
      </c>
      <c r="CS113" s="45">
        <f ca="1">'1_Manufacturing'!CS142</f>
        <v>8854283.3154224157</v>
      </c>
      <c r="CT113" s="45">
        <f ca="1">'1_Manufacturing'!CT142</f>
        <v>9641909.98389774</v>
      </c>
      <c r="CU113" s="45">
        <f ca="1">'1_Manufacturing'!CU142</f>
        <v>11187810.557567563</v>
      </c>
      <c r="CV113" s="45">
        <f ca="1">'1_Manufacturing'!CV142</f>
        <v>13735783.689119691</v>
      </c>
      <c r="CW113" s="45">
        <f ca="1">'1_Manufacturing'!CW142</f>
        <v>20347897.025804363</v>
      </c>
      <c r="CX113" s="45">
        <f ca="1">'1_Manufacturing'!CX142</f>
        <v>13007022.480990069</v>
      </c>
      <c r="CY113" s="45">
        <f ca="1">'1_Manufacturing'!CY142</f>
        <v>9032605.1288411915</v>
      </c>
      <c r="CZ113" s="45">
        <f ca="1">'1_Manufacturing'!CZ142</f>
        <v>9739426.5716491695</v>
      </c>
      <c r="DA113" s="45">
        <f ca="1">'1_Manufacturing'!DA142</f>
        <v>10303313.59353389</v>
      </c>
      <c r="DB113" s="45">
        <f ca="1">'1_Manufacturing'!DB142</f>
        <v>13834659.508673437</v>
      </c>
      <c r="DC113" s="45">
        <f ca="1">'1_Manufacturing'!DC142</f>
        <v>20347897.025804363</v>
      </c>
      <c r="DD113" s="45">
        <f ca="1">'1_Manufacturing'!DD142</f>
        <v>13007022.480990069</v>
      </c>
      <c r="DE113" s="45">
        <f ca="1">'1_Manufacturing'!DE142</f>
        <v>16015468.242508112</v>
      </c>
      <c r="DF113" s="45">
        <f ca="1">'1_Manufacturing'!DF142</f>
        <v>15830920.410328723</v>
      </c>
      <c r="DG113" s="45"/>
      <c r="DH113" s="45">
        <f ca="1">'1_Manufacturing'!DH142</f>
        <v>30045814.64014091</v>
      </c>
      <c r="DI113" s="45">
        <f ca="1">'1_Manufacturing'!DI142</f>
        <v>44002752.176850028</v>
      </c>
      <c r="DJ113" s="45">
        <f ca="1">'1_Manufacturing'!DJ142</f>
        <v>24509571.416598633</v>
      </c>
      <c r="DK113" s="45">
        <f ca="1">'1_Manufacturing'!DK142</f>
        <v>52764198.931320675</v>
      </c>
      <c r="DL113" s="45">
        <f ca="1">'1_Manufacturing'!DL142</f>
        <v>54137554.085622862</v>
      </c>
      <c r="DM113" s="45">
        <f ca="1">'1_Manufacturing'!DM142</f>
        <v>53450876.508471772</v>
      </c>
      <c r="DN113" s="45">
        <f ca="1">'1_Manufacturing'!DN142</f>
        <v>53450876.508471772</v>
      </c>
      <c r="DO113" s="45">
        <f ca="1">'1_Manufacturing'!DO142</f>
        <v>53450876.508471772</v>
      </c>
      <c r="DP113" s="45">
        <f ca="1">'1_Manufacturing'!DP142</f>
        <v>53450876.508471772</v>
      </c>
      <c r="DQ113" s="45">
        <f ca="1">'1_Manufacturing'!DQ142</f>
        <v>52976723.040590286</v>
      </c>
      <c r="DR113" s="45">
        <f ca="1">'1_Manufacturing'!DR142</f>
        <v>52836917.590268105</v>
      </c>
      <c r="DS113" s="45">
        <f ca="1">'1_Manufacturing'!DS142</f>
        <v>113245997.98375572</v>
      </c>
      <c r="DT113" s="45">
        <f ca="1">'1_Manufacturing'!DT142</f>
        <v>113245997.98375572</v>
      </c>
      <c r="DU113" s="45">
        <f ca="1">'1_Manufacturing'!DU142</f>
        <v>91084672.054584071</v>
      </c>
      <c r="DV113" s="45">
        <f ca="1">'1_Manufacturing'!DV142</f>
        <v>73277431.47998637</v>
      </c>
      <c r="DW113" s="45">
        <f ca="1">'1_Manufacturing'!DW142</f>
        <v>73073535.419575289</v>
      </c>
      <c r="DX113" s="45">
        <f ca="1">'1_Manufacturing'!DX142</f>
        <v>1003085191.5948452</v>
      </c>
      <c r="DY113" s="45">
        <f ca="1">'1_Manufacturing'!DY142</f>
        <v>1003085191.5948452</v>
      </c>
      <c r="DZ113" s="45">
        <f ca="1">'1_Manufacturing'!DZ142</f>
        <v>1003085191.5948452</v>
      </c>
      <c r="EA113" s="45">
        <f ca="1">'1_Manufacturing'!EA142</f>
        <v>1003085191.5948452</v>
      </c>
      <c r="EB113" s="45">
        <f ca="1">'1_Manufacturing'!EB142</f>
        <v>1003085191.5948452</v>
      </c>
      <c r="EC113" s="45">
        <f ca="1">'1_Manufacturing'!EC142</f>
        <v>1003085191.5948452</v>
      </c>
      <c r="ED113" s="45">
        <f ca="1">'1_Manufacturing'!ED142</f>
        <v>1003085191.5948452</v>
      </c>
    </row>
    <row r="114" spans="1:134" x14ac:dyDescent="0.3">
      <c r="A114" s="21" t="str">
        <f>A92</f>
        <v>Vehicle delivery at point of purchase</v>
      </c>
      <c r="D114" s="45">
        <f>'2_Transport'!D108</f>
        <v>9428.3035414691476</v>
      </c>
      <c r="E114" s="45">
        <f>'2_Transport'!E108</f>
        <v>9428.3035414691476</v>
      </c>
      <c r="F114" s="45">
        <f>'2_Transport'!F108</f>
        <v>9428.3035414691476</v>
      </c>
      <c r="G114" s="45">
        <f>'2_Transport'!G108</f>
        <v>9428.3035414691476</v>
      </c>
      <c r="H114" s="45">
        <f>'2_Transport'!H108</f>
        <v>9428.3035414691476</v>
      </c>
      <c r="I114" s="45">
        <f>'2_Transport'!I108</f>
        <v>9428.3035414691476</v>
      </c>
      <c r="J114" s="45">
        <f>'2_Transport'!J108</f>
        <v>9428.3035414691476</v>
      </c>
      <c r="K114" s="45">
        <f>'2_Transport'!K108</f>
        <v>9428.3035414691476</v>
      </c>
      <c r="L114" s="45">
        <f>'2_Transport'!L108</f>
        <v>9428.3035414691476</v>
      </c>
      <c r="M114" s="45">
        <f>'2_Transport'!M108</f>
        <v>9428.3035414691476</v>
      </c>
      <c r="N114" s="45">
        <f>'2_Transport'!N108</f>
        <v>9428.3035414691476</v>
      </c>
      <c r="O114" s="45">
        <f>'2_Transport'!O108</f>
        <v>9428.3035414691476</v>
      </c>
      <c r="P114" s="45">
        <f>'2_Transport'!P108</f>
        <v>9428.3035414691476</v>
      </c>
      <c r="Q114" s="45">
        <f>'2_Transport'!Q108</f>
        <v>9428.3035414691476</v>
      </c>
      <c r="R114" s="45">
        <f>'2_Transport'!R108</f>
        <v>9428.3035414691476</v>
      </c>
      <c r="S114" s="45">
        <f>'2_Transport'!S108</f>
        <v>9428.3035414691476</v>
      </c>
      <c r="T114" s="45">
        <f>'2_Transport'!T108</f>
        <v>9428.3035414691476</v>
      </c>
      <c r="U114" s="45">
        <f>'2_Transport'!U108</f>
        <v>9428.3035414691476</v>
      </c>
      <c r="V114" s="45">
        <f>'2_Transport'!V108</f>
        <v>9428.3035414691476</v>
      </c>
      <c r="W114" s="45">
        <f>'2_Transport'!W108</f>
        <v>9428.3035414691476</v>
      </c>
      <c r="X114" s="45">
        <f>'2_Transport'!X108</f>
        <v>18194.520500384468</v>
      </c>
      <c r="Y114" s="45">
        <f>'2_Transport'!Y108</f>
        <v>18194.520500384468</v>
      </c>
      <c r="Z114" s="45">
        <f>'2_Transport'!Z108</f>
        <v>18194.520500384468</v>
      </c>
      <c r="AA114" s="45">
        <f>'2_Transport'!AA108</f>
        <v>18194.520500384468</v>
      </c>
      <c r="AB114" s="45">
        <f>'2_Transport'!AB108</f>
        <v>18194.520500384468</v>
      </c>
      <c r="AC114" s="45">
        <f>'2_Transport'!AC108</f>
        <v>18194.520500384468</v>
      </c>
      <c r="AD114" s="45">
        <f>'2_Transport'!AD108</f>
        <v>18194.520500384468</v>
      </c>
      <c r="AE114" s="45">
        <f>'2_Transport'!AE108</f>
        <v>18194.520500384468</v>
      </c>
      <c r="AF114" s="45">
        <f>'2_Transport'!AF108</f>
        <v>9428.3035414691476</v>
      </c>
      <c r="AG114" s="45">
        <f>'2_Transport'!AG108</f>
        <v>10468.595956123949</v>
      </c>
      <c r="AH114" s="45">
        <f>'2_Transport'!AH108</f>
        <v>14061.255465963193</v>
      </c>
      <c r="AI114" s="45">
        <f>'2_Transport'!AI108</f>
        <v>14061.255465963193</v>
      </c>
      <c r="AJ114" s="45">
        <f>'2_Transport'!AJ108</f>
        <v>16618.923796152561</v>
      </c>
      <c r="AK114" s="45">
        <f>'2_Transport'!AK108</f>
        <v>42158.37953736206</v>
      </c>
      <c r="AL114" s="45">
        <f>'2_Transport'!AL108</f>
        <v>41253.833478804823</v>
      </c>
      <c r="AM114" s="45">
        <f>'2_Transport'!AM108</f>
        <v>42158.37953736206</v>
      </c>
      <c r="AN114" s="45">
        <f>'2_Transport'!AN108</f>
        <v>45341.822613523444</v>
      </c>
      <c r="AO114" s="45">
        <f>'2_Transport'!AO108</f>
        <v>139611.59015591425</v>
      </c>
      <c r="AP114" s="45">
        <f>'2_Transport'!AP108</f>
        <v>149178.4086552462</v>
      </c>
      <c r="AQ114" s="45">
        <f>'2_Transport'!AQ108</f>
        <v>165257.56804025947</v>
      </c>
      <c r="AR114" s="45">
        <f>'2_Transport'!AR108</f>
        <v>169437.72451142629</v>
      </c>
      <c r="AS114" s="45">
        <f>'2_Transport'!AS108</f>
        <v>169437.72451142629</v>
      </c>
      <c r="AT114" s="45">
        <f>'2_Transport'!AT108</f>
        <v>169437.72451142629</v>
      </c>
      <c r="AU114" s="45">
        <f>'2_Transport'!AU108</f>
        <v>169437.72451142629</v>
      </c>
      <c r="AV114" s="45">
        <f>'2_Transport'!AV108</f>
        <v>159610.22362705198</v>
      </c>
      <c r="AW114" s="45">
        <f>'2_Transport'!AW108</f>
        <v>179265.22539580055</v>
      </c>
      <c r="AX114" s="45">
        <f>'2_Transport'!AX108</f>
        <v>169437.72451142629</v>
      </c>
      <c r="AY114" s="45">
        <f>'2_Transport'!AY108</f>
        <v>158254.82543595519</v>
      </c>
      <c r="AZ114" s="45">
        <f>'2_Transport'!AZ108</f>
        <v>158254.82543595519</v>
      </c>
      <c r="BA114" s="45">
        <f>'2_Transport'!BA108</f>
        <v>158254.82543595519</v>
      </c>
      <c r="BB114" s="45">
        <f>'2_Transport'!BB108</f>
        <v>158254.82543595519</v>
      </c>
      <c r="BC114" s="45">
        <f>'2_Transport'!BC108</f>
        <v>139611.59015591425</v>
      </c>
      <c r="BD114" s="45">
        <f>'2_Transport'!BD108</f>
        <v>139611.59015591425</v>
      </c>
      <c r="BE114" s="45">
        <f>'2_Transport'!BE108</f>
        <v>139611.59015591425</v>
      </c>
      <c r="BF114" s="45">
        <f>'2_Transport'!BF108</f>
        <v>139611.59015591425</v>
      </c>
      <c r="BG114" s="45">
        <f>'2_Transport'!BG108</f>
        <v>139611.59015591425</v>
      </c>
      <c r="BH114" s="45">
        <f>'2_Transport'!BH108</f>
        <v>139611.59015591425</v>
      </c>
      <c r="BI114" s="45">
        <f>'2_Transport'!BI108</f>
        <v>139611.59015591425</v>
      </c>
      <c r="BJ114" s="45">
        <f>'2_Transport'!BJ108</f>
        <v>149178.4086552462</v>
      </c>
      <c r="BK114" s="45">
        <f>'2_Transport'!BK108</f>
        <v>165257.56804025947</v>
      </c>
      <c r="BL114" s="45">
        <f>'2_Transport'!BL108</f>
        <v>175989.39176767581</v>
      </c>
      <c r="BM114" s="45">
        <f>'2_Transport'!BM108</f>
        <v>175989.39176767581</v>
      </c>
      <c r="BN114" s="45">
        <f>'2_Transport'!BN108</f>
        <v>175989.39176767581</v>
      </c>
      <c r="BO114" s="45">
        <f>'2_Transport'!BO108</f>
        <v>175989.39176767581</v>
      </c>
      <c r="BP114" s="45">
        <f>'2_Transport'!BP108</f>
        <v>175989.39176767581</v>
      </c>
      <c r="BQ114" s="45">
        <f>'2_Transport'!BQ108</f>
        <v>175989.39176767581</v>
      </c>
      <c r="BR114" s="45">
        <f>'2_Transport'!BR108</f>
        <v>164523.97406923916</v>
      </c>
      <c r="BS114" s="45">
        <f>'2_Transport'!BS108</f>
        <v>187454.80946611252</v>
      </c>
      <c r="BT114" s="45">
        <f>'2_Transport'!BT108</f>
        <v>175989.39176767581</v>
      </c>
      <c r="BU114" s="45">
        <f>'2_Transport'!BU108</f>
        <v>221851.06256142259</v>
      </c>
      <c r="BV114" s="45">
        <f>'2_Transport'!BV108</f>
        <v>221851.06256142259</v>
      </c>
      <c r="BW114" s="45">
        <f>'2_Transport'!BW108</f>
        <v>221851.06256142259</v>
      </c>
      <c r="BX114" s="45">
        <f>'2_Transport'!BX108</f>
        <v>221851.06256142259</v>
      </c>
      <c r="BY114" s="45">
        <f>'2_Transport'!BY108</f>
        <v>221851.06256142259</v>
      </c>
      <c r="BZ114" s="45">
        <f>'2_Transport'!BZ108</f>
        <v>221851.06256142259</v>
      </c>
      <c r="CA114" s="45">
        <f>'2_Transport'!CA108</f>
        <v>198920.2271645492</v>
      </c>
      <c r="CB114" s="45">
        <f>'2_Transport'!CB108</f>
        <v>244781.89795829589</v>
      </c>
      <c r="CC114" s="45">
        <f>'2_Transport'!CC108</f>
        <v>221851.06256142259</v>
      </c>
      <c r="CD114" s="45">
        <f>'2_Transport'!CD108</f>
        <v>158254.82543595519</v>
      </c>
      <c r="CE114" s="45">
        <f>'2_Transport'!CE108</f>
        <v>158254.82543595519</v>
      </c>
      <c r="CF114" s="45">
        <f>'2_Transport'!CF108</f>
        <v>158254.82543595519</v>
      </c>
      <c r="CG114" s="45">
        <f>'2_Transport'!CG108</f>
        <v>158254.82543595519</v>
      </c>
      <c r="CH114" s="45">
        <f>'2_Transport'!CH108</f>
        <v>139611.59015591425</v>
      </c>
      <c r="CI114" s="45">
        <f>'2_Transport'!CI108</f>
        <v>149178.4086552462</v>
      </c>
      <c r="CJ114" s="45">
        <f>'2_Transport'!CJ108</f>
        <v>165257.56804025947</v>
      </c>
      <c r="CK114" s="45">
        <f>'2_Transport'!CK108</f>
        <v>175989.39176767581</v>
      </c>
      <c r="CL114" s="45">
        <f>'2_Transport'!CL108</f>
        <v>221851.06256142259</v>
      </c>
      <c r="CM114" s="45">
        <f>'2_Transport'!CM108</f>
        <v>158254.82543595519</v>
      </c>
      <c r="CN114" s="45">
        <f>'2_Transport'!CN108</f>
        <v>177372.10428848426</v>
      </c>
      <c r="CO114" s="45">
        <f>'2_Transport'!CO108</f>
        <v>189077.16929706966</v>
      </c>
      <c r="CP114" s="45">
        <f>'2_Transport'!CP108</f>
        <v>206499.11620372877</v>
      </c>
      <c r="CQ114" s="45">
        <f>'2_Transport'!CQ108</f>
        <v>205395.22077519743</v>
      </c>
      <c r="CR114" s="45">
        <f>'2_Transport'!CR108</f>
        <v>201791.95229480322</v>
      </c>
      <c r="CS114" s="45">
        <f>'2_Transport'!CS108</f>
        <v>177372.10428848426</v>
      </c>
      <c r="CT114" s="45">
        <f>'2_Transport'!CT108</f>
        <v>189077.16929706966</v>
      </c>
      <c r="CU114" s="45">
        <f>'2_Transport'!CU108</f>
        <v>206499.11620372877</v>
      </c>
      <c r="CV114" s="45">
        <f>'2_Transport'!CV108</f>
        <v>211946.88803144693</v>
      </c>
      <c r="CW114" s="45">
        <f>'2_Transport'!CW108</f>
        <v>257808.55882519373</v>
      </c>
      <c r="CX114" s="45">
        <f>'2_Transport'!CX108</f>
        <v>201791.95229480322</v>
      </c>
      <c r="CY114" s="45">
        <f>'2_Transport'!CY108</f>
        <v>177372.10428848426</v>
      </c>
      <c r="CZ114" s="45">
        <f>'2_Transport'!CZ108</f>
        <v>189077.16929706966</v>
      </c>
      <c r="DA114" s="45">
        <f>'2_Transport'!DA108</f>
        <v>206499.11620372877</v>
      </c>
      <c r="DB114" s="45">
        <f>'2_Transport'!DB108</f>
        <v>211946.88803144693</v>
      </c>
      <c r="DC114" s="45">
        <f>'2_Transport'!DC108</f>
        <v>257808.55882519373</v>
      </c>
      <c r="DD114" s="45">
        <f>'2_Transport'!DD108</f>
        <v>201791.95229480322</v>
      </c>
      <c r="DE114" s="45">
        <f>'2_Transport'!DE108</f>
        <v>332109.19530860003</v>
      </c>
      <c r="DF114" s="45">
        <f>'2_Transport'!DF108</f>
        <v>341116.59808736137</v>
      </c>
      <c r="DG114" s="45"/>
      <c r="DH114" s="45">
        <f>'2_Transport'!DH108</f>
        <v>443297.06661644066</v>
      </c>
      <c r="DI114" s="45">
        <f>'2_Transport'!DI108</f>
        <v>541572.07546018367</v>
      </c>
      <c r="DJ114" s="45">
        <f>'2_Transport'!DJ108</f>
        <v>385656.78881969326</v>
      </c>
      <c r="DK114" s="45">
        <f>'2_Transport'!DK108</f>
        <v>971608.53422013647</v>
      </c>
      <c r="DL114" s="45">
        <f>'2_Transport'!DL108</f>
        <v>971608.53422013647</v>
      </c>
      <c r="DM114" s="45">
        <f>'2_Transport'!DM108</f>
        <v>971608.53422013647</v>
      </c>
      <c r="DN114" s="45">
        <f>'2_Transport'!DN108</f>
        <v>971608.53422013647</v>
      </c>
      <c r="DO114" s="45">
        <f>'2_Transport'!DO108</f>
        <v>971608.53422013647</v>
      </c>
      <c r="DP114" s="45">
        <f>'2_Transport'!DP108</f>
        <v>971608.53422013647</v>
      </c>
      <c r="DQ114" s="45">
        <f>'2_Transport'!DQ108</f>
        <v>971608.53422013647</v>
      </c>
      <c r="DR114" s="45">
        <f>'2_Transport'!DR108</f>
        <v>972033.00652657403</v>
      </c>
      <c r="DS114" s="45">
        <f>'2_Transport'!DS108</f>
        <v>1608522.3613128401</v>
      </c>
      <c r="DT114" s="45">
        <f>'2_Transport'!DT108</f>
        <v>1608522.3613128401</v>
      </c>
      <c r="DU114" s="45">
        <f>'2_Transport'!DU108</f>
        <v>1346528.3891202114</v>
      </c>
      <c r="DV114" s="45">
        <f>'2_Transport'!DV108</f>
        <v>1148101.6308923126</v>
      </c>
      <c r="DW114" s="45">
        <f>'2_Transport'!DW108</f>
        <v>1148101.6308923126</v>
      </c>
      <c r="DX114" s="45">
        <f>'2_Transport'!DX108</f>
        <v>14290416.681102049</v>
      </c>
      <c r="DY114" s="45">
        <f>'2_Transport'!DY108</f>
        <v>14290416.681102049</v>
      </c>
      <c r="DZ114" s="45">
        <f>'2_Transport'!DZ108</f>
        <v>14290416.681102049</v>
      </c>
      <c r="EA114" s="45">
        <f>'2_Transport'!EA108</f>
        <v>14290416.681102049</v>
      </c>
      <c r="EB114" s="45">
        <f>'2_Transport'!EB108</f>
        <v>14290416.681102049</v>
      </c>
      <c r="EC114" s="45">
        <f>'2_Transport'!EC108</f>
        <v>14290416.681102049</v>
      </c>
      <c r="ED114" s="45">
        <f>'2_Transport'!ED108</f>
        <v>14290416.681102049</v>
      </c>
    </row>
    <row r="115" spans="1:134" x14ac:dyDescent="0.3">
      <c r="A115" s="21" t="str">
        <f>A93</f>
        <v>Vehicle use (including fuel production)</v>
      </c>
      <c r="D115" s="21">
        <f>'3_Use'!D45</f>
        <v>9397.8566215863921</v>
      </c>
      <c r="E115" s="21">
        <f>'3_Use'!E45</f>
        <v>4763.1518352258545</v>
      </c>
      <c r="F115" s="21">
        <f>'3_Use'!F45</f>
        <v>0</v>
      </c>
      <c r="G115" s="21">
        <f>'3_Use'!G45</f>
        <v>967.81904128553072</v>
      </c>
      <c r="H115" s="21">
        <f>'3_Use'!H45</f>
        <v>2903.4571238565918</v>
      </c>
      <c r="I115" s="21">
        <f>'3_Use'!I45</f>
        <v>2580.8507767614146</v>
      </c>
      <c r="J115" s="21">
        <f>'3_Use'!J45</f>
        <v>2580.8507767614146</v>
      </c>
      <c r="K115" s="21">
        <f>'3_Use'!K45</f>
        <v>1935.6380825710614</v>
      </c>
      <c r="L115" s="21">
        <f>'3_Use'!L45</f>
        <v>2580.8507767614146</v>
      </c>
      <c r="M115" s="21">
        <f>'3_Use'!M45</f>
        <v>2580.8507767614146</v>
      </c>
      <c r="N115" s="21">
        <f>'3_Use'!N45</f>
        <v>2580.8507767614146</v>
      </c>
      <c r="O115" s="21">
        <f>'3_Use'!O45</f>
        <v>4645.5313981705458</v>
      </c>
      <c r="P115" s="21">
        <f>'3_Use'!P45</f>
        <v>1548.5104660568486</v>
      </c>
      <c r="Q115" s="21">
        <f>'3_Use'!Q45</f>
        <v>3441.1343690152198</v>
      </c>
      <c r="R115" s="21">
        <f>'3_Use'!R45</f>
        <v>3441.1343690152198</v>
      </c>
      <c r="S115" s="21">
        <f>'3_Use'!S45</f>
        <v>3441.1343690152198</v>
      </c>
      <c r="T115" s="21">
        <f>'3_Use'!T45</f>
        <v>3441.1343690152198</v>
      </c>
      <c r="U115" s="21">
        <f>'3_Use'!U45</f>
        <v>28226.084949486551</v>
      </c>
      <c r="V115" s="21">
        <f>'3_Use'!V45</f>
        <v>0</v>
      </c>
      <c r="W115" s="21">
        <f>'3_Use'!W45</f>
        <v>3441.1343690152198</v>
      </c>
      <c r="X115" s="21">
        <f>'3_Use'!X45</f>
        <v>0</v>
      </c>
      <c r="Y115" s="21">
        <f>'3_Use'!Y45</f>
        <v>0</v>
      </c>
      <c r="Z115" s="21">
        <f>'3_Use'!Z45</f>
        <v>8785.5288744930367</v>
      </c>
      <c r="AA115" s="21">
        <f>'3_Use'!AA45</f>
        <v>13178.293311739555</v>
      </c>
      <c r="AB115" s="21">
        <f>'3_Use'!AB45</f>
        <v>8785.5288744930367</v>
      </c>
      <c r="AC115" s="21">
        <f>'3_Use'!AC45</f>
        <v>8785.5288744930367</v>
      </c>
      <c r="AD115" s="21">
        <f>'3_Use'!AD45</f>
        <v>8785.5288744930367</v>
      </c>
      <c r="AE115" s="21">
        <f>'3_Use'!AE45</f>
        <v>8785.5288744930367</v>
      </c>
      <c r="AF115" s="21">
        <f>'3_Use'!AF45</f>
        <v>18388.36503802584</v>
      </c>
      <c r="AG115" s="21">
        <f>'3_Use'!AG45</f>
        <v>0</v>
      </c>
      <c r="AH115" s="21">
        <f>'3_Use'!AH45</f>
        <v>36535.138469373873</v>
      </c>
      <c r="AI115" s="21">
        <f>'3_Use'!AI45</f>
        <v>0</v>
      </c>
      <c r="AJ115" s="21">
        <f>'3_Use'!AJ45</f>
        <v>14978.319417131701</v>
      </c>
      <c r="AK115" s="21">
        <f>'3_Use'!AK45</f>
        <v>2633111.242018851</v>
      </c>
      <c r="AL115" s="21">
        <f>'3_Use'!AL45</f>
        <v>222090.54566758755</v>
      </c>
      <c r="AM115" s="21">
        <f>'3_Use'!AM45</f>
        <v>1053781.8664487689</v>
      </c>
      <c r="AN115" s="21">
        <f>'3_Use'!AN45</f>
        <v>88881.542868191667</v>
      </c>
      <c r="AO115" s="21">
        <f>'3_Use'!AO45</f>
        <v>34203346.58664</v>
      </c>
      <c r="AP115" s="21">
        <f>'3_Use'!AP45</f>
        <v>25478003.069640003</v>
      </c>
      <c r="AQ115" s="21">
        <f>'3_Use'!AQ45</f>
        <v>11614118.170585904</v>
      </c>
      <c r="AR115" s="21">
        <f>'3_Use'!AR45</f>
        <v>4472116.8589519747</v>
      </c>
      <c r="AS115" s="21">
        <f>'3_Use'!AS45</f>
        <v>36682772.838345699</v>
      </c>
      <c r="AT115" s="21">
        <f>'3_Use'!AT45</f>
        <v>0</v>
      </c>
      <c r="AU115" s="21">
        <f>'3_Use'!AU45</f>
        <v>4472116.8589519747</v>
      </c>
      <c r="AV115" s="21">
        <f>'3_Use'!AV45</f>
        <v>4472116.8589519747</v>
      </c>
      <c r="AW115" s="21">
        <f>'3_Use'!AW45</f>
        <v>4472116.8589519747</v>
      </c>
      <c r="AX115" s="21">
        <f>'3_Use'!AX45</f>
        <v>4472116.8589519747</v>
      </c>
      <c r="AY115" s="21">
        <f>'3_Use'!AY45</f>
        <v>44319926.425192103</v>
      </c>
      <c r="AZ115" s="21">
        <f>'3_Use'!AZ45</f>
        <v>227797.41712640791</v>
      </c>
      <c r="BA115" s="21">
        <f>'3_Use'!BA45</f>
        <v>11396607.364584183</v>
      </c>
      <c r="BB115" s="21">
        <f>'3_Use'!BB45</f>
        <v>22509549.717012212</v>
      </c>
      <c r="BC115" s="21">
        <f>'3_Use'!BC45</f>
        <v>63984086.750684053</v>
      </c>
      <c r="BD115" s="21">
        <f>'3_Use'!BD45</f>
        <v>63984086.750684053</v>
      </c>
      <c r="BE115" s="21">
        <f>'3_Use'!BE45</f>
        <v>63984086.750684053</v>
      </c>
      <c r="BF115" s="21">
        <f>'3_Use'!BF45</f>
        <v>63984086.750684053</v>
      </c>
      <c r="BG115" s="21">
        <f>'3_Use'!BG45</f>
        <v>63984086.750684053</v>
      </c>
      <c r="BH115" s="21">
        <f>'3_Use'!BH45</f>
        <v>63984086.750684053</v>
      </c>
      <c r="BI115" s="21">
        <f>'3_Use'!BI45</f>
        <v>63984086.750684053</v>
      </c>
      <c r="BJ115" s="21">
        <f>'3_Use'!BJ45</f>
        <v>47661615.640815683</v>
      </c>
      <c r="BK115" s="21">
        <f>'3_Use'!BK45</f>
        <v>33548855.61386057</v>
      </c>
      <c r="BL115" s="21">
        <f>'3_Use'!BL45</f>
        <v>8365974.1404997259</v>
      </c>
      <c r="BM115" s="21">
        <f>'3_Use'!BM45</f>
        <v>8365974.1404997259</v>
      </c>
      <c r="BN115" s="21">
        <f>'3_Use'!BN45</f>
        <v>8365974.1404997259</v>
      </c>
      <c r="BO115" s="21">
        <f>'3_Use'!BO45</f>
        <v>68622341.196903303</v>
      </c>
      <c r="BP115" s="21">
        <f>'3_Use'!BP45</f>
        <v>0</v>
      </c>
      <c r="BQ115" s="21">
        <f>'3_Use'!BQ45</f>
        <v>8365974.1404997259</v>
      </c>
      <c r="BR115" s="21">
        <f>'3_Use'!BR45</f>
        <v>8365974.1404997259</v>
      </c>
      <c r="BS115" s="21">
        <f>'3_Use'!BS45</f>
        <v>8365974.1404997259</v>
      </c>
      <c r="BT115" s="21">
        <f>'3_Use'!BT45</f>
        <v>8365974.1404997259</v>
      </c>
      <c r="BU115" s="21">
        <f>'3_Use'!BU45</f>
        <v>8365974.1404997259</v>
      </c>
      <c r="BV115" s="21">
        <f>'3_Use'!BV45</f>
        <v>8365974.1404997259</v>
      </c>
      <c r="BW115" s="21">
        <f>'3_Use'!BW45</f>
        <v>8365974.1404997259</v>
      </c>
      <c r="BX115" s="21">
        <f>'3_Use'!BX45</f>
        <v>68622341.196903303</v>
      </c>
      <c r="BY115" s="21">
        <f>'3_Use'!BY45</f>
        <v>0</v>
      </c>
      <c r="BZ115" s="21">
        <f>'3_Use'!BZ45</f>
        <v>8365974.1404997259</v>
      </c>
      <c r="CA115" s="21">
        <f>'3_Use'!CA45</f>
        <v>8365974.1404997259</v>
      </c>
      <c r="CB115" s="21">
        <f>'3_Use'!CB45</f>
        <v>8365974.1404997259</v>
      </c>
      <c r="CC115" s="21">
        <f>'3_Use'!CC45</f>
        <v>8365974.1404997259</v>
      </c>
      <c r="CD115" s="21">
        <f>'3_Use'!CD45</f>
        <v>82909139.022118151</v>
      </c>
      <c r="CE115" s="21">
        <f>'3_Use'!CE45</f>
        <v>426139.87090640637</v>
      </c>
      <c r="CF115" s="21">
        <f>'3_Use'!CF45</f>
        <v>21319595.508933883</v>
      </c>
      <c r="CG115" s="21">
        <f>'3_Use'!CG45</f>
        <v>42108539.822670892</v>
      </c>
      <c r="CH115" s="21">
        <f>'3_Use'!CH45</f>
        <v>63984086.750684053</v>
      </c>
      <c r="CI115" s="21">
        <f>'3_Use'!CI45</f>
        <v>47661615.640815683</v>
      </c>
      <c r="CJ115" s="21">
        <f>'3_Use'!CJ45</f>
        <v>33548855.61386057</v>
      </c>
      <c r="CK115" s="21">
        <f>'3_Use'!CK45</f>
        <v>8365974.1404997259</v>
      </c>
      <c r="CL115" s="21">
        <f>'3_Use'!CL45</f>
        <v>8365974.1404997259</v>
      </c>
      <c r="CM115" s="21">
        <f>'3_Use'!CM45</f>
        <v>42108539.822670892</v>
      </c>
      <c r="CN115" s="21">
        <f>'3_Use'!CN45</f>
        <v>44514649.601729989</v>
      </c>
      <c r="CO115" s="21">
        <f>'3_Use'!CO45</f>
        <v>32769099.04162829</v>
      </c>
      <c r="CP115" s="21">
        <f>'3_Use'!CP45</f>
        <v>14244309.485944908</v>
      </c>
      <c r="CQ115" s="21">
        <f>'3_Use'!CQ45</f>
        <v>4701236.0784716522</v>
      </c>
      <c r="CR115" s="21">
        <f>'3_Use'!CR45</f>
        <v>25722702.855057091</v>
      </c>
      <c r="CS115" s="21">
        <f>'3_Use'!CS45</f>
        <v>83273407.021110848</v>
      </c>
      <c r="CT115" s="21">
        <f>'3_Use'!CT45</f>
        <v>61301044.636383153</v>
      </c>
      <c r="CU115" s="21">
        <f>'3_Use'!CU45</f>
        <v>42443710.530338965</v>
      </c>
      <c r="CV115" s="21">
        <f>'3_Use'!CV45</f>
        <v>8794586.7027488928</v>
      </c>
      <c r="CW115" s="21">
        <f>'3_Use'!CW45</f>
        <v>8794586.7027488928</v>
      </c>
      <c r="CX115" s="21">
        <f>'3_Use'!CX45</f>
        <v>48119374.715891577</v>
      </c>
      <c r="CY115" s="21">
        <f>'3_Use'!CY45</f>
        <v>83273407.021110848</v>
      </c>
      <c r="CZ115" s="21">
        <f>'3_Use'!CZ45</f>
        <v>61301044.636383153</v>
      </c>
      <c r="DA115" s="21">
        <f>'3_Use'!DA45</f>
        <v>40235460.48401016</v>
      </c>
      <c r="DB115" s="21">
        <f>'3_Use'!DB45</f>
        <v>8794586.7027488928</v>
      </c>
      <c r="DC115" s="21">
        <f>'3_Use'!DC45</f>
        <v>8794586.7027488928</v>
      </c>
      <c r="DD115" s="21">
        <f>'3_Use'!DD45</f>
        <v>48119374.715891577</v>
      </c>
      <c r="DE115" s="21">
        <f>'3_Use'!DE45</f>
        <v>142086588.60836649</v>
      </c>
      <c r="DF115" s="21">
        <f>'3_Use'!DF45</f>
        <v>104595892.27932967</v>
      </c>
      <c r="DH115" s="21">
        <f>'3_Use'!DH45</f>
        <v>18846496.482622024</v>
      </c>
      <c r="DI115" s="21">
        <f>'3_Use'!DI45</f>
        <v>18846496.482622024</v>
      </c>
      <c r="DJ115" s="21">
        <f>'3_Use'!DJ45</f>
        <v>88127034.563659295</v>
      </c>
      <c r="DK115" s="21">
        <f>'3_Use'!DK45</f>
        <v>362698070.59418124</v>
      </c>
      <c r="DL115" s="21">
        <f>'3_Use'!DL45</f>
        <v>604496784.32363534</v>
      </c>
      <c r="DM115" s="21">
        <f>'3_Use'!DM45</f>
        <v>435237684.71301746</v>
      </c>
      <c r="DN115" s="21">
        <f>'3_Use'!DN45</f>
        <v>483597427.45890832</v>
      </c>
      <c r="DO115" s="21">
        <f>'3_Use'!DO45</f>
        <v>483597427.45890832</v>
      </c>
      <c r="DP115" s="21">
        <f>'3_Use'!DP45</f>
        <v>483597427.45890832</v>
      </c>
      <c r="DQ115" s="21">
        <f>'3_Use'!DQ45</f>
        <v>483597427.45890832</v>
      </c>
      <c r="DR115" s="21">
        <f>'3_Use'!DR45</f>
        <v>355996332.40877515</v>
      </c>
      <c r="DS115" s="21">
        <f>'3_Use'!DS45</f>
        <v>0</v>
      </c>
      <c r="DT115" s="21">
        <f>'3_Use'!DT45</f>
        <v>70432663.62578018</v>
      </c>
      <c r="DU115" s="21">
        <f>'3_Use'!DU45</f>
        <v>70432663.62578018</v>
      </c>
      <c r="DV115" s="21">
        <f>'3_Use'!DV45</f>
        <v>2991753.1448420528</v>
      </c>
      <c r="DW115" s="21">
        <f>'3_Use'!DW45</f>
        <v>295626776.65252131</v>
      </c>
      <c r="DX115" s="21">
        <f>'3_Use'!DX45</f>
        <v>6056016778.0881367</v>
      </c>
      <c r="DY115" s="21">
        <f>'3_Use'!DY45</f>
        <v>6056016778.0881367</v>
      </c>
      <c r="DZ115" s="21">
        <f>'3_Use'!DZ45</f>
        <v>6056016778.0881367</v>
      </c>
      <c r="EA115" s="21">
        <f>'3_Use'!EA45</f>
        <v>6056016778.0881367</v>
      </c>
      <c r="EB115" s="21">
        <f>'3_Use'!EB45</f>
        <v>6056016778.0881367</v>
      </c>
      <c r="EC115" s="21">
        <f>'3_Use'!EC45</f>
        <v>6056016778.0881367</v>
      </c>
      <c r="ED115" s="21">
        <f>'3_Use'!ED45</f>
        <v>6056016778.0881367</v>
      </c>
    </row>
    <row r="116" spans="1:134" x14ac:dyDescent="0.3">
      <c r="A116" s="21" t="str">
        <f>A94</f>
        <v>Operational services</v>
      </c>
      <c r="D116" s="21">
        <f>'4_Operational_Services'!D17</f>
        <v>0</v>
      </c>
      <c r="E116" s="21">
        <f>'4_Operational_Services'!E17</f>
        <v>151064.69415463123</v>
      </c>
      <c r="F116" s="21">
        <f>'4_Operational_Services'!F17</f>
        <v>5318.0304813289868</v>
      </c>
      <c r="G116" s="21">
        <f>'4_Operational_Services'!G17</f>
        <v>83924.830085906258</v>
      </c>
      <c r="H116" s="21">
        <f>'4_Operational_Services'!H17</f>
        <v>83924.830085906244</v>
      </c>
      <c r="I116" s="21">
        <f>'4_Operational_Services'!I17</f>
        <v>0</v>
      </c>
      <c r="J116" s="21">
        <f>'4_Operational_Services'!J17</f>
        <v>8863.3841355483128</v>
      </c>
      <c r="K116" s="21">
        <f>'4_Operational_Services'!K17</f>
        <v>55949.88672393751</v>
      </c>
      <c r="L116" s="21">
        <f>'4_Operational_Services'!L17</f>
        <v>167849.66017181252</v>
      </c>
      <c r="M116" s="21">
        <f>'4_Operational_Services'!M17</f>
        <v>41962.415042953129</v>
      </c>
      <c r="N116" s="21">
        <f>'4_Operational_Services'!N17</f>
        <v>125887.24512885937</v>
      </c>
      <c r="O116" s="21">
        <f>'4_Operational_Services'!O17</f>
        <v>151064.69415463123</v>
      </c>
      <c r="P116" s="21">
        <f>'4_Operational_Services'!P17</f>
        <v>50354.898051543751</v>
      </c>
      <c r="Q116" s="21">
        <f>'4_Operational_Services'!Q17</f>
        <v>83924.830085906258</v>
      </c>
      <c r="R116" s="21">
        <f>'4_Operational_Services'!R17</f>
        <v>83924.830085906258</v>
      </c>
      <c r="S116" s="21">
        <f>'4_Operational_Services'!S17</f>
        <v>83924.830085906258</v>
      </c>
      <c r="T116" s="21">
        <f>'4_Operational_Services'!T17</f>
        <v>83924.830085906258</v>
      </c>
      <c r="U116" s="21">
        <f>'4_Operational_Services'!U17</f>
        <v>83924.830085906258</v>
      </c>
      <c r="V116" s="21">
        <f>'4_Operational_Services'!V17</f>
        <v>83924.830085906258</v>
      </c>
      <c r="W116" s="21">
        <f>'4_Operational_Services'!W17</f>
        <v>83924.830085906258</v>
      </c>
      <c r="X116" s="21">
        <f>'4_Operational_Services'!X17</f>
        <v>0</v>
      </c>
      <c r="Y116" s="21">
        <f>'4_Operational_Services'!Y17</f>
        <v>140886.25892310994</v>
      </c>
      <c r="Z116" s="21">
        <f>'4_Operational_Services'!Z17</f>
        <v>70443.12946155497</v>
      </c>
      <c r="AA116" s="21">
        <f>'4_Operational_Services'!AA17</f>
        <v>140886.25892310991</v>
      </c>
      <c r="AB116" s="21">
        <f>'4_Operational_Services'!AB17</f>
        <v>140886.25892310994</v>
      </c>
      <c r="AC116" s="21">
        <f>'4_Operational_Services'!AC17</f>
        <v>0</v>
      </c>
      <c r="AD116" s="21">
        <f>'4_Operational_Services'!AD17</f>
        <v>93924.172615406642</v>
      </c>
      <c r="AE116" s="21">
        <f>'4_Operational_Services'!AE17</f>
        <v>140886.25892310994</v>
      </c>
      <c r="AF116" s="21">
        <f>'4_Operational_Services'!AF17</f>
        <v>171441.13800771147</v>
      </c>
      <c r="AG116" s="21">
        <f>'4_Operational_Services'!AG17</f>
        <v>0</v>
      </c>
      <c r="AH116" s="21">
        <f>'4_Operational_Services'!AH17</f>
        <v>0</v>
      </c>
      <c r="AI116" s="21">
        <f>'4_Operational_Services'!AI17</f>
        <v>136110.45353588587</v>
      </c>
      <c r="AJ116" s="21">
        <f>'4_Operational_Services'!AJ17</f>
        <v>136110.45353588587</v>
      </c>
      <c r="AK116" s="21">
        <f>'4_Operational_Services'!AK17</f>
        <v>0</v>
      </c>
      <c r="AL116" s="21">
        <f>'4_Operational_Services'!AL17</f>
        <v>0</v>
      </c>
      <c r="AM116" s="21">
        <f>'4_Operational_Services'!AM17</f>
        <v>0</v>
      </c>
      <c r="AN116" s="21">
        <f>'4_Operational_Services'!AN17</f>
        <v>265057.19899093563</v>
      </c>
      <c r="AO116" s="21">
        <f>'4_Operational_Services'!AO17</f>
        <v>0</v>
      </c>
      <c r="AP116" s="21">
        <f>'4_Operational_Services'!AP17</f>
        <v>0</v>
      </c>
      <c r="AQ116" s="21">
        <f>'4_Operational_Services'!AQ17</f>
        <v>0</v>
      </c>
      <c r="AR116" s="21">
        <f>'4_Operational_Services'!AR17</f>
        <v>0</v>
      </c>
      <c r="AS116" s="21">
        <f>'4_Operational_Services'!AS17</f>
        <v>0</v>
      </c>
      <c r="AT116" s="21">
        <f>'4_Operational_Services'!AT17</f>
        <v>0</v>
      </c>
      <c r="AU116" s="21">
        <f>'4_Operational_Services'!AU17</f>
        <v>0</v>
      </c>
      <c r="AV116" s="21">
        <f>'4_Operational_Services'!AV17</f>
        <v>0</v>
      </c>
      <c r="AW116" s="21">
        <f>'4_Operational_Services'!AW17</f>
        <v>0</v>
      </c>
      <c r="AX116" s="21">
        <f>'4_Operational_Services'!AX17</f>
        <v>0</v>
      </c>
      <c r="AY116" s="21">
        <f>'4_Operational_Services'!AY17</f>
        <v>0</v>
      </c>
      <c r="AZ116" s="21">
        <f>'4_Operational_Services'!AZ17</f>
        <v>0</v>
      </c>
      <c r="BA116" s="21">
        <f>'4_Operational_Services'!BA17</f>
        <v>0</v>
      </c>
      <c r="BB116" s="21">
        <f>'4_Operational_Services'!BB17</f>
        <v>0</v>
      </c>
      <c r="BC116" s="21">
        <f>'4_Operational_Services'!BC17</f>
        <v>11395189.473315945</v>
      </c>
      <c r="BD116" s="21">
        <f>'4_Operational_Services'!BD17</f>
        <v>11395189.473315945</v>
      </c>
      <c r="BE116" s="21">
        <f>'4_Operational_Services'!BE17</f>
        <v>11395189.473315945</v>
      </c>
      <c r="BF116" s="21">
        <f>'4_Operational_Services'!BF17</f>
        <v>11395189.473315945</v>
      </c>
      <c r="BG116" s="21">
        <f>'4_Operational_Services'!BG17</f>
        <v>11395189.473315945</v>
      </c>
      <c r="BH116" s="21">
        <f>'4_Operational_Services'!BH17</f>
        <v>11395189.473315945</v>
      </c>
      <c r="BI116" s="21">
        <f>'4_Operational_Services'!BI17</f>
        <v>11395189.473315945</v>
      </c>
      <c r="BJ116" s="21">
        <f>'4_Operational_Services'!BJ17</f>
        <v>8488253.3831843287</v>
      </c>
      <c r="BK116" s="21">
        <f>'4_Operational_Services'!BK17</f>
        <v>5974853.8386190748</v>
      </c>
      <c r="BL116" s="21">
        <f>'4_Operational_Services'!BL17</f>
        <v>1489930.7828104103</v>
      </c>
      <c r="BM116" s="21">
        <f>'4_Operational_Services'!BM17</f>
        <v>1489930.7828104103</v>
      </c>
      <c r="BN116" s="21">
        <f>'4_Operational_Services'!BN17</f>
        <v>1489930.7828104103</v>
      </c>
      <c r="BO116" s="21">
        <f>'4_Operational_Services'!BO17</f>
        <v>12221235.30633791</v>
      </c>
      <c r="BP116" s="21">
        <f>'4_Operational_Services'!BP17</f>
        <v>0</v>
      </c>
      <c r="BQ116" s="21">
        <f>'4_Operational_Services'!BQ17</f>
        <v>1489930.7828104103</v>
      </c>
      <c r="BR116" s="21">
        <f>'4_Operational_Services'!BR17</f>
        <v>1489930.7828104103</v>
      </c>
      <c r="BS116" s="21">
        <f>'4_Operational_Services'!BS17</f>
        <v>1489930.7828104103</v>
      </c>
      <c r="BT116" s="21">
        <f>'4_Operational_Services'!BT17</f>
        <v>1489930.7828104103</v>
      </c>
      <c r="BU116" s="21">
        <f>'4_Operational_Services'!BU17</f>
        <v>1489930.7828104103</v>
      </c>
      <c r="BV116" s="21">
        <f>'4_Operational_Services'!BV17</f>
        <v>1489930.7828104103</v>
      </c>
      <c r="BW116" s="21">
        <f>'4_Operational_Services'!BW17</f>
        <v>1489930.7828104103</v>
      </c>
      <c r="BX116" s="21">
        <f>'4_Operational_Services'!BX17</f>
        <v>12221235.30633791</v>
      </c>
      <c r="BY116" s="21">
        <f>'4_Operational_Services'!BY17</f>
        <v>0</v>
      </c>
      <c r="BZ116" s="21">
        <f>'4_Operational_Services'!BZ17</f>
        <v>1489930.7828104103</v>
      </c>
      <c r="CA116" s="21">
        <f>'4_Operational_Services'!CA17</f>
        <v>1489930.7828104103</v>
      </c>
      <c r="CB116" s="21">
        <f>'4_Operational_Services'!CB17</f>
        <v>1489930.7828104103</v>
      </c>
      <c r="CC116" s="21">
        <f>'4_Operational_Services'!CC17</f>
        <v>1489930.7828104103</v>
      </c>
      <c r="CD116" s="21">
        <f>'4_Operational_Services'!CD17</f>
        <v>14765629.959021468</v>
      </c>
      <c r="CE116" s="21">
        <f>'4_Operational_Services'!CE17</f>
        <v>75893.004303308</v>
      </c>
      <c r="CF116" s="21">
        <f>'4_Operational_Services'!CF17</f>
        <v>3796894.5507557783</v>
      </c>
      <c r="CG116" s="21">
        <f>'4_Operational_Services'!CG17</f>
        <v>7499283.245124612</v>
      </c>
      <c r="CH116" s="21">
        <f>'4_Operational_Services'!CH17</f>
        <v>11395189.473315945</v>
      </c>
      <c r="CI116" s="21">
        <f>'4_Operational_Services'!CI17</f>
        <v>8488253.3831843287</v>
      </c>
      <c r="CJ116" s="21">
        <f>'4_Operational_Services'!CJ17</f>
        <v>5974853.8386190748</v>
      </c>
      <c r="CK116" s="21">
        <f>'4_Operational_Services'!CK17</f>
        <v>1489930.7828104103</v>
      </c>
      <c r="CL116" s="21">
        <f>'4_Operational_Services'!CL17</f>
        <v>1489930.7828104103</v>
      </c>
      <c r="CM116" s="21">
        <f>'4_Operational_Services'!CM17</f>
        <v>7499283.245124612</v>
      </c>
      <c r="CN116" s="21">
        <f>'4_Operational_Services'!CN17</f>
        <v>0</v>
      </c>
      <c r="CO116" s="21">
        <f>'4_Operational_Services'!CO17</f>
        <v>0</v>
      </c>
      <c r="CP116" s="21">
        <f>'4_Operational_Services'!CP17</f>
        <v>0</v>
      </c>
      <c r="CQ116" s="21">
        <f>'4_Operational_Services'!CQ17</f>
        <v>0</v>
      </c>
      <c r="CR116" s="21">
        <f>'4_Operational_Services'!CR17</f>
        <v>0</v>
      </c>
      <c r="CS116" s="21">
        <f>'4_Operational_Services'!CS17</f>
        <v>14830503.946889132</v>
      </c>
      <c r="CT116" s="21">
        <f>'4_Operational_Services'!CT17</f>
        <v>10917355.455359627</v>
      </c>
      <c r="CU116" s="21">
        <f>'4_Operational_Services'!CU17</f>
        <v>7558975.1765678981</v>
      </c>
      <c r="CV116" s="21">
        <f>'4_Operational_Services'!CV17</f>
        <v>1566264.1588966206</v>
      </c>
      <c r="CW116" s="21">
        <f>'4_Operational_Services'!CW17</f>
        <v>1566264.1588966206</v>
      </c>
      <c r="CX116" s="21">
        <f>'4_Operational_Services'!CX17</f>
        <v>8569777.5817549042</v>
      </c>
      <c r="CY116" s="21">
        <f>'4_Operational_Services'!CY17</f>
        <v>8481550.7151131406</v>
      </c>
      <c r="CZ116" s="21">
        <f>'4_Operational_Services'!CZ17</f>
        <v>6243624.9166686544</v>
      </c>
      <c r="DA116" s="21">
        <f>'4_Operational_Services'!DA17</f>
        <v>4098056.1604084419</v>
      </c>
      <c r="DB116" s="21">
        <f>'4_Operational_Services'!DB17</f>
        <v>895744.94194664643</v>
      </c>
      <c r="DC116" s="21">
        <f>'4_Operational_Services'!DC17</f>
        <v>895744.94194664643</v>
      </c>
      <c r="DD116" s="21">
        <f>'4_Operational_Services'!DD17</f>
        <v>4901047.4247667342</v>
      </c>
      <c r="DE116" s="21">
        <f>'4_Operational_Services'!DE17</f>
        <v>14471782.173074365</v>
      </c>
      <c r="DF116" s="21">
        <f>'4_Operational_Services'!DF17</f>
        <v>10653285.32474654</v>
      </c>
      <c r="DH116" s="21">
        <f>'4_Operational_Services'!DH17</f>
        <v>0</v>
      </c>
      <c r="DI116" s="21">
        <f>'4_Operational_Services'!DI17</f>
        <v>0</v>
      </c>
      <c r="DJ116" s="21">
        <f>'4_Operational_Services'!DJ17</f>
        <v>0</v>
      </c>
      <c r="DK116" s="21">
        <f>'4_Operational_Services'!DK17</f>
        <v>40299785.621575698</v>
      </c>
      <c r="DL116" s="21">
        <f>'4_Operational_Services'!DL17</f>
        <v>67166309.369292825</v>
      </c>
      <c r="DM116" s="21">
        <f>'4_Operational_Services'!DM17</f>
        <v>48359742.745890833</v>
      </c>
      <c r="DN116" s="21">
        <f>'4_Operational_Services'!DN17</f>
        <v>107466094.99086852</v>
      </c>
      <c r="DO116" s="21">
        <f>'4_Operational_Services'!DO17</f>
        <v>53733047.495434262</v>
      </c>
      <c r="DP116" s="21">
        <f>'4_Operational_Services'!DP17</f>
        <v>53733047.495434262</v>
      </c>
      <c r="DQ116" s="21">
        <f>'4_Operational_Services'!DQ17</f>
        <v>53733047.495434262</v>
      </c>
      <c r="DR116" s="21">
        <f>'4_Operational_Services'!DR17</f>
        <v>39555148.045419462</v>
      </c>
      <c r="DS116" s="21">
        <f>'4_Operational_Services'!DS17</f>
        <v>0</v>
      </c>
      <c r="DT116" s="21">
        <f>'4_Operational_Services'!DT17</f>
        <v>7825851.5139755765</v>
      </c>
      <c r="DU116" s="21">
        <f>'4_Operational_Services'!DU17</f>
        <v>7825851.5139755765</v>
      </c>
      <c r="DV116" s="21">
        <f>'4_Operational_Services'!DV17</f>
        <v>332417.01609356143</v>
      </c>
      <c r="DW116" s="21">
        <f>'4_Operational_Services'!DW17</f>
        <v>32847419.628057927</v>
      </c>
      <c r="DX116" s="21">
        <f>'4_Operational_Services'!DX17</f>
        <v>0</v>
      </c>
      <c r="DY116" s="21">
        <f>'4_Operational_Services'!DY17</f>
        <v>0</v>
      </c>
      <c r="DZ116" s="21">
        <f>'4_Operational_Services'!DZ17</f>
        <v>0</v>
      </c>
      <c r="EA116" s="21">
        <f>'4_Operational_Services'!EA17</f>
        <v>0</v>
      </c>
      <c r="EB116" s="21">
        <f>'4_Operational_Services'!EB17</f>
        <v>0</v>
      </c>
      <c r="EC116" s="21">
        <f>'4_Operational_Services'!EC17</f>
        <v>0</v>
      </c>
      <c r="ED116" s="21">
        <f>'4_Operational_Services'!ED17</f>
        <v>0</v>
      </c>
    </row>
    <row r="117" spans="1:134" x14ac:dyDescent="0.3">
      <c r="A117" s="21" t="str">
        <f>A95</f>
        <v>Infrastructure network (from the vehicleperspective)</v>
      </c>
      <c r="D117" s="278" t="e">
        <f>NA()</f>
        <v>#N/A</v>
      </c>
      <c r="E117" s="278" t="e">
        <f>NA()</f>
        <v>#N/A</v>
      </c>
      <c r="F117" s="278" t="e">
        <f>NA()</f>
        <v>#N/A</v>
      </c>
      <c r="G117" s="278" t="e">
        <f>NA()</f>
        <v>#N/A</v>
      </c>
      <c r="H117" s="278" t="e">
        <f>NA()</f>
        <v>#N/A</v>
      </c>
      <c r="I117" s="278" t="e">
        <f>NA()</f>
        <v>#N/A</v>
      </c>
      <c r="J117" s="278" t="e">
        <f>NA()</f>
        <v>#N/A</v>
      </c>
      <c r="K117" s="278" t="e">
        <f>NA()</f>
        <v>#N/A</v>
      </c>
      <c r="L117" s="278" t="e">
        <f>NA()</f>
        <v>#N/A</v>
      </c>
      <c r="M117" s="278" t="e">
        <f>NA()</f>
        <v>#N/A</v>
      </c>
      <c r="N117" s="278" t="e">
        <f>NA()</f>
        <v>#N/A</v>
      </c>
      <c r="O117" s="278" t="e">
        <f>NA()</f>
        <v>#N/A</v>
      </c>
      <c r="P117" s="278" t="e">
        <f>NA()</f>
        <v>#N/A</v>
      </c>
      <c r="Q117" s="278" t="e">
        <f>NA()</f>
        <v>#N/A</v>
      </c>
      <c r="R117" s="278" t="e">
        <f>NA()</f>
        <v>#N/A</v>
      </c>
      <c r="S117" s="278" t="e">
        <f>NA()</f>
        <v>#N/A</v>
      </c>
      <c r="T117" s="278" t="e">
        <f>NA()</f>
        <v>#N/A</v>
      </c>
      <c r="U117" s="278" t="e">
        <f>NA()</f>
        <v>#N/A</v>
      </c>
      <c r="V117" s="278" t="e">
        <f>NA()</f>
        <v>#N/A</v>
      </c>
      <c r="W117" s="278" t="e">
        <f>NA()</f>
        <v>#N/A</v>
      </c>
      <c r="X117" s="278" t="e">
        <f>NA()</f>
        <v>#N/A</v>
      </c>
      <c r="Y117" s="278" t="e">
        <f>NA()</f>
        <v>#N/A</v>
      </c>
      <c r="Z117" s="278" t="e">
        <f>NA()</f>
        <v>#N/A</v>
      </c>
      <c r="AA117" s="278" t="e">
        <f>NA()</f>
        <v>#N/A</v>
      </c>
      <c r="AB117" s="278" t="e">
        <f>NA()</f>
        <v>#N/A</v>
      </c>
      <c r="AC117" s="278" t="e">
        <f>NA()</f>
        <v>#N/A</v>
      </c>
      <c r="AD117" s="278" t="e">
        <f>NA()</f>
        <v>#N/A</v>
      </c>
      <c r="AE117" s="278" t="e">
        <f>NA()</f>
        <v>#N/A</v>
      </c>
      <c r="AF117" s="278" t="e">
        <f>NA()</f>
        <v>#N/A</v>
      </c>
      <c r="AG117" s="278" t="e">
        <f>NA()</f>
        <v>#N/A</v>
      </c>
      <c r="AH117" s="278" t="e">
        <f>NA()</f>
        <v>#N/A</v>
      </c>
      <c r="AI117" s="278" t="e">
        <f>NA()</f>
        <v>#N/A</v>
      </c>
      <c r="AJ117" s="278" t="e">
        <f>NA()</f>
        <v>#N/A</v>
      </c>
      <c r="AK117" s="278" t="e">
        <f>NA()</f>
        <v>#N/A</v>
      </c>
      <c r="AL117" s="278" t="e">
        <f>NA()</f>
        <v>#N/A</v>
      </c>
      <c r="AM117" s="278" t="e">
        <f>NA()</f>
        <v>#N/A</v>
      </c>
      <c r="AN117" s="278" t="e">
        <f>NA()</f>
        <v>#N/A</v>
      </c>
      <c r="AO117" s="278" t="e">
        <f>NA()</f>
        <v>#N/A</v>
      </c>
      <c r="AP117" s="278" t="e">
        <f>NA()</f>
        <v>#N/A</v>
      </c>
      <c r="AQ117" s="278" t="e">
        <f>NA()</f>
        <v>#N/A</v>
      </c>
      <c r="AR117" s="278" t="e">
        <f>NA()</f>
        <v>#N/A</v>
      </c>
      <c r="AS117" s="278" t="e">
        <f>NA()</f>
        <v>#N/A</v>
      </c>
      <c r="AT117" s="278" t="e">
        <f>NA()</f>
        <v>#N/A</v>
      </c>
      <c r="AU117" s="278" t="e">
        <f>NA()</f>
        <v>#N/A</v>
      </c>
      <c r="AV117" s="278" t="e">
        <f>NA()</f>
        <v>#N/A</v>
      </c>
      <c r="AW117" s="278" t="e">
        <f>NA()</f>
        <v>#N/A</v>
      </c>
      <c r="AX117" s="278" t="e">
        <f>NA()</f>
        <v>#N/A</v>
      </c>
      <c r="AY117" s="278" t="e">
        <f>NA()</f>
        <v>#N/A</v>
      </c>
      <c r="AZ117" s="278" t="e">
        <f>NA()</f>
        <v>#N/A</v>
      </c>
      <c r="BA117" s="278" t="e">
        <f>NA()</f>
        <v>#N/A</v>
      </c>
      <c r="BB117" s="278" t="e">
        <f>NA()</f>
        <v>#N/A</v>
      </c>
      <c r="BC117" s="278" t="e">
        <f>NA()</f>
        <v>#N/A</v>
      </c>
      <c r="BD117" s="278" t="e">
        <f>NA()</f>
        <v>#N/A</v>
      </c>
      <c r="BE117" s="278" t="e">
        <f>NA()</f>
        <v>#N/A</v>
      </c>
      <c r="BF117" s="278" t="e">
        <f>NA()</f>
        <v>#N/A</v>
      </c>
      <c r="BG117" s="278" t="e">
        <f>NA()</f>
        <v>#N/A</v>
      </c>
      <c r="BH117" s="278" t="e">
        <f>NA()</f>
        <v>#N/A</v>
      </c>
      <c r="BI117" s="278" t="e">
        <f>NA()</f>
        <v>#N/A</v>
      </c>
      <c r="BJ117" s="278" t="e">
        <f>NA()</f>
        <v>#N/A</v>
      </c>
      <c r="BK117" s="278" t="e">
        <f>NA()</f>
        <v>#N/A</v>
      </c>
      <c r="BL117" s="278" t="e">
        <f>NA()</f>
        <v>#N/A</v>
      </c>
      <c r="BM117" s="278" t="e">
        <f>NA()</f>
        <v>#N/A</v>
      </c>
      <c r="BN117" s="278" t="e">
        <f>NA()</f>
        <v>#N/A</v>
      </c>
      <c r="BO117" s="278" t="e">
        <f>NA()</f>
        <v>#N/A</v>
      </c>
      <c r="BP117" s="278" t="e">
        <f>NA()</f>
        <v>#N/A</v>
      </c>
      <c r="BQ117" s="278" t="e">
        <f>NA()</f>
        <v>#N/A</v>
      </c>
      <c r="BR117" s="278" t="e">
        <f>NA()</f>
        <v>#N/A</v>
      </c>
      <c r="BS117" s="278" t="e">
        <f>NA()</f>
        <v>#N/A</v>
      </c>
      <c r="BT117" s="278" t="e">
        <f>NA()</f>
        <v>#N/A</v>
      </c>
      <c r="BU117" s="278" t="e">
        <f>NA()</f>
        <v>#N/A</v>
      </c>
      <c r="BV117" s="278" t="e">
        <f>NA()</f>
        <v>#N/A</v>
      </c>
      <c r="BW117" s="278" t="e">
        <f>NA()</f>
        <v>#N/A</v>
      </c>
      <c r="BX117" s="278" t="e">
        <f>NA()</f>
        <v>#N/A</v>
      </c>
      <c r="BY117" s="278" t="e">
        <f>NA()</f>
        <v>#N/A</v>
      </c>
      <c r="BZ117" s="278" t="e">
        <f>NA()</f>
        <v>#N/A</v>
      </c>
      <c r="CA117" s="278" t="e">
        <f>NA()</f>
        <v>#N/A</v>
      </c>
      <c r="CB117" s="278" t="e">
        <f>NA()</f>
        <v>#N/A</v>
      </c>
      <c r="CC117" s="278" t="e">
        <f>NA()</f>
        <v>#N/A</v>
      </c>
      <c r="CD117" s="278" t="e">
        <f>NA()</f>
        <v>#N/A</v>
      </c>
      <c r="CE117" s="278" t="e">
        <f>NA()</f>
        <v>#N/A</v>
      </c>
      <c r="CF117" s="278" t="e">
        <f>NA()</f>
        <v>#N/A</v>
      </c>
      <c r="CG117" s="278" t="e">
        <f>NA()</f>
        <v>#N/A</v>
      </c>
      <c r="CH117" s="278" t="e">
        <f>NA()</f>
        <v>#N/A</v>
      </c>
      <c r="CI117" s="278" t="e">
        <f>NA()</f>
        <v>#N/A</v>
      </c>
      <c r="CJ117" s="278" t="e">
        <f>NA()</f>
        <v>#N/A</v>
      </c>
      <c r="CK117" s="278" t="e">
        <f>NA()</f>
        <v>#N/A</v>
      </c>
      <c r="CL117" s="278" t="e">
        <f>NA()</f>
        <v>#N/A</v>
      </c>
      <c r="CM117" s="278" t="e">
        <f>NA()</f>
        <v>#N/A</v>
      </c>
      <c r="CN117" s="278" t="e">
        <f>NA()</f>
        <v>#N/A</v>
      </c>
      <c r="CO117" s="278" t="e">
        <f>NA()</f>
        <v>#N/A</v>
      </c>
      <c r="CP117" s="278" t="e">
        <f>NA()</f>
        <v>#N/A</v>
      </c>
      <c r="CQ117" s="278" t="e">
        <f>NA()</f>
        <v>#N/A</v>
      </c>
      <c r="CR117" s="278" t="e">
        <f>NA()</f>
        <v>#N/A</v>
      </c>
      <c r="CS117" s="278" t="e">
        <f>NA()</f>
        <v>#N/A</v>
      </c>
      <c r="CT117" s="278" t="e">
        <f>NA()</f>
        <v>#N/A</v>
      </c>
      <c r="CU117" s="278" t="e">
        <f>NA()</f>
        <v>#N/A</v>
      </c>
      <c r="CV117" s="278" t="e">
        <f>NA()</f>
        <v>#N/A</v>
      </c>
      <c r="CW117" s="278" t="e">
        <f>NA()</f>
        <v>#N/A</v>
      </c>
      <c r="CX117" s="278" t="e">
        <f>NA()</f>
        <v>#N/A</v>
      </c>
      <c r="CY117" s="278" t="e">
        <f>NA()</f>
        <v>#N/A</v>
      </c>
      <c r="CZ117" s="278" t="e">
        <f>NA()</f>
        <v>#N/A</v>
      </c>
      <c r="DA117" s="278" t="e">
        <f>NA()</f>
        <v>#N/A</v>
      </c>
      <c r="DB117" s="278" t="e">
        <f>NA()</f>
        <v>#N/A</v>
      </c>
      <c r="DC117" s="278" t="e">
        <f>NA()</f>
        <v>#N/A</v>
      </c>
      <c r="DD117" s="278" t="e">
        <f>NA()</f>
        <v>#N/A</v>
      </c>
      <c r="DE117" s="278" t="e">
        <f>NA()</f>
        <v>#N/A</v>
      </c>
      <c r="DF117" s="278" t="e">
        <f>NA()</f>
        <v>#N/A</v>
      </c>
      <c r="DG117" s="278"/>
      <c r="DH117" s="278" t="e">
        <f>NA()</f>
        <v>#N/A</v>
      </c>
      <c r="DI117" s="278" t="e">
        <f>NA()</f>
        <v>#N/A</v>
      </c>
      <c r="DJ117" s="278" t="e">
        <f>NA()</f>
        <v>#N/A</v>
      </c>
      <c r="DK117" s="278" t="e">
        <f>NA()</f>
        <v>#N/A</v>
      </c>
      <c r="DL117" s="278" t="e">
        <f>NA()</f>
        <v>#N/A</v>
      </c>
      <c r="DM117" s="278" t="e">
        <f>NA()</f>
        <v>#N/A</v>
      </c>
      <c r="DN117" s="278" t="e">
        <f>NA()</f>
        <v>#N/A</v>
      </c>
      <c r="DO117" s="278" t="e">
        <f>NA()</f>
        <v>#N/A</v>
      </c>
      <c r="DP117" s="278" t="e">
        <f>NA()</f>
        <v>#N/A</v>
      </c>
      <c r="DQ117" s="278" t="e">
        <f>NA()</f>
        <v>#N/A</v>
      </c>
      <c r="DR117" s="278" t="e">
        <f>NA()</f>
        <v>#N/A</v>
      </c>
      <c r="DS117" s="278" t="e">
        <f>NA()</f>
        <v>#N/A</v>
      </c>
      <c r="DT117" s="278" t="e">
        <f>NA()</f>
        <v>#N/A</v>
      </c>
      <c r="DU117" s="278" t="e">
        <f>NA()</f>
        <v>#N/A</v>
      </c>
      <c r="DV117" s="278" t="e">
        <f>NA()</f>
        <v>#N/A</v>
      </c>
      <c r="DW117" s="278" t="e">
        <f>NA()</f>
        <v>#N/A</v>
      </c>
      <c r="DX117" s="278" t="e">
        <f>NA()</f>
        <v>#N/A</v>
      </c>
      <c r="DY117" s="278" t="e">
        <f>NA()</f>
        <v>#N/A</v>
      </c>
      <c r="DZ117" s="278" t="e">
        <f>NA()</f>
        <v>#N/A</v>
      </c>
      <c r="EA117" s="278" t="e">
        <f>NA()</f>
        <v>#N/A</v>
      </c>
      <c r="EB117" s="278" t="e">
        <f>NA()</f>
        <v>#N/A</v>
      </c>
      <c r="EC117" s="278" t="e">
        <f>NA()</f>
        <v>#N/A</v>
      </c>
      <c r="ED117" s="278" t="e">
        <f>NA()</f>
        <v>#N/A</v>
      </c>
    </row>
    <row r="125" spans="1:134" x14ac:dyDescent="0.3">
      <c r="W125" s="177"/>
      <c r="X125" s="177"/>
      <c r="Y125" s="177"/>
      <c r="Z125" s="177"/>
      <c r="AA125" s="177"/>
      <c r="AB125" s="177"/>
      <c r="AC125" s="177"/>
      <c r="AD125" s="177"/>
      <c r="AE125" s="177"/>
    </row>
    <row r="126" spans="1:134" x14ac:dyDescent="0.3">
      <c r="W126" s="177"/>
      <c r="X126" s="177"/>
      <c r="Y126" s="177"/>
      <c r="Z126" s="177"/>
      <c r="AA126" s="177"/>
      <c r="AB126" s="177"/>
      <c r="AC126" s="177"/>
      <c r="AD126" s="177"/>
      <c r="AE126" s="177"/>
    </row>
  </sheetData>
  <dataValidations count="3">
    <dataValidation type="list" allowBlank="1" showInputMessage="1" showErrorMessage="1" sqref="BT13 D13:AQ13 AX13 BB13:BK13" xr:uid="{00000000-0002-0000-0100-000000000000}">
      <formula1>$EO$28:$EW$28</formula1>
    </dataValidation>
    <dataValidation type="list" allowBlank="1" showInputMessage="1" showErrorMessage="1" sqref="AF12:ED12" xr:uid="{00000000-0002-0000-0100-000001000000}">
      <formula1>$EJ$37:$EK$37</formula1>
    </dataValidation>
    <dataValidation type="list" allowBlank="1" showInputMessage="1" showErrorMessage="1" sqref="AF19:AN19" xr:uid="{00000000-0002-0000-0100-000002000000}">
      <formula1>$EJ$3:$EW$3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3000000}">
          <x14:formula1>
            <xm:f>'1_Manufacturing'!$EI$26:$EQ$26</xm:f>
          </x14:formula1>
          <xm:sqref>CC13:ED13</xm:sqref>
        </x14:dataValidation>
        <x14:dataValidation type="list" allowBlank="1" showInputMessage="1" showErrorMessage="1" xr:uid="{00000000-0002-0000-0100-000004000000}">
          <x14:formula1>
            <xm:f>'1_Manufacturing'!$EI$37:$EJ$37</xm:f>
          </x14:formula1>
          <xm:sqref>D12:AE12</xm:sqref>
        </x14:dataValidation>
        <x14:dataValidation type="list" allowBlank="1" showInputMessage="1" showErrorMessage="1" xr:uid="{00000000-0002-0000-0100-000005000000}">
          <x14:formula1>
            <xm:f>'4_Operational_Services'!$EI$3:$EV$3</xm:f>
          </x14:formula1>
          <xm:sqref>D19:AE19</xm:sqref>
        </x14:dataValidation>
        <x14:dataValidation type="list" allowBlank="1" showInputMessage="1" showErrorMessage="1" xr:uid="{00000000-0002-0000-0100-000006000000}">
          <x14:formula1>
            <xm:f>Power_Gen_Mix!$B$3:$S$3</xm:f>
          </x14:formula1>
          <xm:sqref>D8:ED8</xm:sqref>
        </x14:dataValidation>
        <x14:dataValidation type="list" allowBlank="1" showInputMessage="1" showErrorMessage="1" xr:uid="{00000000-0002-0000-0100-000007000000}">
          <x14:formula1>
            <xm:f>WTW_Fuel_properties!$C$57:$C$64</xm:f>
          </x14:formula1>
          <xm:sqref>AY14:BB14 CM14 CR14 DJ14 CX14 CD14:CG14 DD14 DV14:DW14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BC143"/>
  </sheetPr>
  <dimension ref="B2:K38"/>
  <sheetViews>
    <sheetView topLeftCell="A4" zoomScale="90" zoomScaleNormal="90" workbookViewId="0">
      <selection activeCell="J35" sqref="J35"/>
    </sheetView>
  </sheetViews>
  <sheetFormatPr defaultRowHeight="13.2" x14ac:dyDescent="0.25"/>
  <cols>
    <col min="2" max="2" width="37.21875" customWidth="1"/>
    <col min="5" max="5" width="20.109375" customWidth="1"/>
    <col min="7" max="7" width="28.5546875" customWidth="1"/>
    <col min="8" max="8" width="7.77734375" customWidth="1"/>
    <col min="9" max="9" width="19" customWidth="1"/>
    <col min="10" max="10" width="10.44140625" customWidth="1"/>
    <col min="11" max="11" width="17.88671875" customWidth="1"/>
  </cols>
  <sheetData>
    <row r="2" spans="2:7" x14ac:dyDescent="0.25">
      <c r="B2" t="s">
        <v>1144</v>
      </c>
    </row>
    <row r="3" spans="2:7" ht="13.8" thickBot="1" x14ac:dyDescent="0.3"/>
    <row r="4" spans="2:7" ht="41.4" x14ac:dyDescent="0.25">
      <c r="B4" s="622"/>
      <c r="C4" s="418" t="str">
        <f>'0_Total'!A10</f>
        <v>Vehicle weight</v>
      </c>
      <c r="D4" s="418" t="str">
        <f>'0_Total'!A11</f>
        <v>Battery capacity</v>
      </c>
      <c r="E4" s="418" t="str">
        <f>LEFT(Figure_2_GHG_per_pkm_General!E104,37)</f>
        <v xml:space="preserve">Final energy consumption (use phase) </v>
      </c>
    </row>
    <row r="5" spans="2:7" ht="14.4" thickBot="1" x14ac:dyDescent="0.3">
      <c r="B5" s="623"/>
      <c r="C5" s="419" t="str">
        <f>'0_Total'!B10</f>
        <v>[kg]</v>
      </c>
      <c r="D5" s="419" t="str">
        <f>'0_Total'!B11</f>
        <v>[kWh]</v>
      </c>
      <c r="E5" s="419" t="str">
        <f>MID(Figure_2_GHG_per_pkm_General!E104,38,LEN(Figure_2_GHG_per_pkm_General!E104)-37)</f>
        <v>[MJ/km]</v>
      </c>
    </row>
    <row r="6" spans="2:7" ht="14.4" thickBot="1" x14ac:dyDescent="0.3">
      <c r="B6" s="420" t="s">
        <v>1365</v>
      </c>
      <c r="C6" s="421">
        <f>Figure_2_GHG_per_pkm_General!C105</f>
        <v>13.195271607932639</v>
      </c>
      <c r="D6" s="427">
        <f>Figure_2_GHG_per_pkm_General!D105</f>
        <v>0.33</v>
      </c>
      <c r="E6" s="427">
        <f>Figure_2_GHG_per_pkm_General!E105</f>
        <v>3.9600000000000003E-2</v>
      </c>
    </row>
    <row r="7" spans="2:7" ht="14.4" thickBot="1" x14ac:dyDescent="0.3">
      <c r="B7" s="422" t="str">
        <f>G32</f>
        <v>Shared e-scooter (new generation)</v>
      </c>
      <c r="C7" s="423">
        <f>Figure_2_GHG_per_pkm_General!C106</f>
        <v>28.5</v>
      </c>
      <c r="D7" s="426">
        <f>Figure_2_GHG_per_pkm_General!D106</f>
        <v>0.55100000000000005</v>
      </c>
      <c r="E7" s="426">
        <f>Figure_2_GHG_per_pkm_General!E106</f>
        <v>4.2839999999999996E-2</v>
      </c>
      <c r="G7" t="s">
        <v>1362</v>
      </c>
    </row>
    <row r="8" spans="2:7" ht="14.4" thickBot="1" x14ac:dyDescent="0.3">
      <c r="B8" s="420" t="str">
        <f>Figure_2_GHG_per_pkm_General!B107</f>
        <v>E-bike</v>
      </c>
      <c r="C8" s="421">
        <f>Figure_2_GHG_per_pkm_General!C107</f>
        <v>26.684846596332886</v>
      </c>
      <c r="D8" s="427">
        <f>Figure_2_GHG_per_pkm_General!D107</f>
        <v>0.48328767123287675</v>
      </c>
      <c r="E8" s="427">
        <f>Figure_2_GHG_per_pkm_General!E107</f>
        <v>7.5600000000000001E-2</v>
      </c>
    </row>
    <row r="9" spans="2:7" ht="14.4" thickBot="1" x14ac:dyDescent="0.3">
      <c r="B9" s="422" t="str">
        <f>Figure_2_GHG_per_pkm_General!B108</f>
        <v>Shared e-bike</v>
      </c>
      <c r="C9" s="423">
        <f>Figure_2_GHG_per_pkm_General!C108</f>
        <v>34.222166719460297</v>
      </c>
      <c r="D9" s="426">
        <f>Figure_2_GHG_per_pkm_General!D108</f>
        <v>0.48328767123287675</v>
      </c>
      <c r="E9" s="426">
        <f>Figure_2_GHG_per_pkm_General!E108</f>
        <v>7.5600000000000001E-2</v>
      </c>
    </row>
    <row r="10" spans="2:7" ht="14.4" thickBot="1" x14ac:dyDescent="0.3">
      <c r="B10" s="420" t="str">
        <f>Figure_2_GHG_per_pkm_General!B109</f>
        <v>Moped</v>
      </c>
      <c r="C10" s="421">
        <f>Figure_2_GHG_per_pkm_General!C109</f>
        <v>100</v>
      </c>
      <c r="D10" s="421">
        <f>Figure_2_GHG_per_pkm_General!D109</f>
        <v>0</v>
      </c>
      <c r="E10" s="424">
        <f>Figure_2_GHG_per_pkm_General!E109</f>
        <v>0.64935064935064946</v>
      </c>
    </row>
    <row r="11" spans="2:7" ht="14.4" thickBot="1" x14ac:dyDescent="0.3">
      <c r="B11" s="422" t="str">
        <f>Figure_2_GHG_per_pkm_General!B110</f>
        <v>E-moped</v>
      </c>
      <c r="C11" s="423">
        <f>Figure_2_GHG_per_pkm_General!C110</f>
        <v>90</v>
      </c>
      <c r="D11" s="426">
        <f>Figure_2_GHG_per_pkm_General!D110</f>
        <v>1.3</v>
      </c>
      <c r="E11" s="426">
        <f>Figure_2_GHG_per_pkm_General!E110</f>
        <v>0.12605042016806728</v>
      </c>
    </row>
    <row r="12" spans="2:7" ht="14.4" thickBot="1" x14ac:dyDescent="0.3">
      <c r="B12" s="420" t="str">
        <f>Figure_2_GHG_per_pkm_General!B111</f>
        <v>Shared e-moped</v>
      </c>
      <c r="C12" s="421">
        <f>Figure_2_GHG_per_pkm_General!C111</f>
        <v>90</v>
      </c>
      <c r="D12" s="424">
        <f>Figure_2_GHG_per_pkm_General!D111</f>
        <v>2.6</v>
      </c>
      <c r="E12" s="427">
        <f>Figure_2_GHG_per_pkm_General!E111</f>
        <v>0.12605042016806728</v>
      </c>
    </row>
    <row r="13" spans="2:7" ht="14.4" thickBot="1" x14ac:dyDescent="0.3">
      <c r="B13" s="422" t="str">
        <f>Figure_2_GHG_per_pkm_General!B112</f>
        <v>Car - ICE</v>
      </c>
      <c r="C13" s="423">
        <f>Figure_2_GHG_per_pkm_General!C112</f>
        <v>1510</v>
      </c>
      <c r="D13" s="423"/>
      <c r="E13" s="425">
        <f>Figure_2_GHG_per_pkm_General!E112</f>
        <v>2.2771840000000001</v>
      </c>
    </row>
    <row r="14" spans="2:7" ht="14.4" thickBot="1" x14ac:dyDescent="0.3">
      <c r="B14" s="420" t="str">
        <f>Figure_2_GHG_per_pkm_General!B113</f>
        <v>Car - HEV</v>
      </c>
      <c r="C14" s="421">
        <f>Figure_2_GHG_per_pkm_General!C113</f>
        <v>1600</v>
      </c>
      <c r="D14" s="424">
        <f>Figure_2_GHG_per_pkm_General!D113</f>
        <v>2.1411100330896784</v>
      </c>
      <c r="E14" s="424">
        <f>Figure_2_GHG_per_pkm_General!E113</f>
        <v>1.6962697142857144</v>
      </c>
    </row>
    <row r="15" spans="2:7" ht="14.4" thickBot="1" x14ac:dyDescent="0.3">
      <c r="B15" s="422" t="str">
        <f>Figure_2_GHG_per_pkm_General!B114</f>
        <v>Car - PHEV</v>
      </c>
      <c r="C15" s="423">
        <f>Figure_2_GHG_per_pkm_General!C114</f>
        <v>1770</v>
      </c>
      <c r="D15" s="423">
        <f>Figure_2_GHG_per_pkm_General!D114</f>
        <v>15.273378000000001</v>
      </c>
      <c r="E15" s="425">
        <f>Figure_2_GHG_per_pkm_General!E114</f>
        <v>1.0289943872</v>
      </c>
    </row>
    <row r="16" spans="2:7" ht="14.4" thickBot="1" x14ac:dyDescent="0.3">
      <c r="B16" s="420" t="str">
        <f>Figure_2_GHG_per_pkm_General!B115</f>
        <v>Private car - EV</v>
      </c>
      <c r="C16" s="421">
        <f>Figure_2_GHG_per_pkm_General!C115</f>
        <v>1810</v>
      </c>
      <c r="D16" s="421">
        <f>Figure_2_GHG_per_pkm_General!D115</f>
        <v>60</v>
      </c>
      <c r="E16" s="424">
        <f>Figure_2_GHG_per_pkm_General!E115</f>
        <v>0.68524649142857141</v>
      </c>
    </row>
    <row r="17" spans="2:11" ht="14.4" thickBot="1" x14ac:dyDescent="0.3">
      <c r="B17" s="422" t="str">
        <f>"Taxi and r"&amp;MID(Figure_2_GHG_per_pkm_General!B116,2,LEN(Figure_2_GHG_per_pkm_General!B116))</f>
        <v>Taxi and ridesourcing car - EV</v>
      </c>
      <c r="C17" s="423">
        <f>Figure_2_GHG_per_pkm_General!C116</f>
        <v>1880</v>
      </c>
      <c r="D17" s="423">
        <f>Figure_2_GHG_per_pkm_General!D116</f>
        <v>70</v>
      </c>
      <c r="E17" s="426">
        <f>Figure_2_GHG_per_pkm_General!E116</f>
        <v>0.68524649142857141</v>
      </c>
    </row>
    <row r="18" spans="2:11" ht="14.4" thickBot="1" x14ac:dyDescent="0.3">
      <c r="B18" s="420" t="str">
        <f>Figure_2_GHG_per_pkm_General!B117</f>
        <v>Car - FCEV</v>
      </c>
      <c r="C18" s="421">
        <f>Figure_2_GHG_per_pkm_General!C117</f>
        <v>1690</v>
      </c>
      <c r="D18" s="424">
        <f>Figure_2_GHG_per_pkm_General!D117</f>
        <v>2.1411100330896784</v>
      </c>
      <c r="E18" s="427">
        <f>Figure_2_GHG_per_pkm_General!E117</f>
        <v>1.0840386835946307</v>
      </c>
    </row>
    <row r="19" spans="2:11" ht="14.4" thickBot="1" x14ac:dyDescent="0.3">
      <c r="B19" s="422" t="str">
        <f>Figure_2_GHG_per_pkm_General!B118</f>
        <v>Bus - ICE</v>
      </c>
      <c r="C19" s="423">
        <f>Figure_2_GHG_per_pkm_General!C118</f>
        <v>10200</v>
      </c>
      <c r="D19" s="423"/>
      <c r="E19" s="425">
        <f>Figure_2_GHG_per_pkm_General!E118</f>
        <v>10.090625068736141</v>
      </c>
    </row>
    <row r="20" spans="2:11" ht="14.4" thickBot="1" x14ac:dyDescent="0.3">
      <c r="B20" s="420" t="str">
        <f>Figure_2_GHG_per_pkm_General!B119</f>
        <v>Bus - BEV</v>
      </c>
      <c r="C20" s="421">
        <f>Figure_2_GHG_per_pkm_General!C119</f>
        <v>14400</v>
      </c>
      <c r="D20" s="421">
        <f>Figure_2_GHG_per_pkm_General!D119</f>
        <v>325</v>
      </c>
      <c r="E20" s="424">
        <f>Figure_2_GHG_per_pkm_General!E119</f>
        <v>4.9463999999999997</v>
      </c>
    </row>
    <row r="21" spans="2:11" ht="14.4" thickBot="1" x14ac:dyDescent="0.3">
      <c r="B21" s="422" t="str">
        <f>Figure_2_GHG_per_pkm_General!B120</f>
        <v>Bus - FCEV</v>
      </c>
      <c r="C21" s="423">
        <f>Figure_2_GHG_per_pkm_General!C120</f>
        <v>12300</v>
      </c>
      <c r="D21" s="423">
        <f>Figure_2_GHG_per_pkm_General!D120</f>
        <v>20</v>
      </c>
      <c r="E21" s="425">
        <f>Figure_2_GHG_per_pkm_General!E120</f>
        <v>6.5253405852426249</v>
      </c>
    </row>
    <row r="22" spans="2:11" ht="14.4" thickBot="1" x14ac:dyDescent="0.3">
      <c r="B22" s="420" t="str">
        <f>Figure_2_GHG_per_pkm_General!B121</f>
        <v>Metro/urban train</v>
      </c>
      <c r="C22" s="421">
        <f>Figure_2_GHG_per_pkm_General!C121</f>
        <v>186000</v>
      </c>
      <c r="D22" s="421"/>
      <c r="E22" s="424">
        <f>Figure_2_GHG_per_pkm_General!E121</f>
        <v>63.795999999999999</v>
      </c>
    </row>
    <row r="24" spans="2:11" x14ac:dyDescent="0.25">
      <c r="G24" t="s">
        <v>1145</v>
      </c>
    </row>
    <row r="25" spans="2:11" ht="13.8" thickBot="1" x14ac:dyDescent="0.3"/>
    <row r="26" spans="2:11" ht="55.2" x14ac:dyDescent="0.25">
      <c r="G26" s="622"/>
      <c r="H26" s="418" t="str">
        <f>'0_Total'!A4</f>
        <v>Lifetime (vehicle)</v>
      </c>
      <c r="I26" s="418" t="str">
        <f>'0_Total'!A5</f>
        <v>Annual mileage (active km, including cruising and overheading)</v>
      </c>
      <c r="J26" s="418" t="str">
        <f>'0_Total'!A16</f>
        <v>Average number of passengers</v>
      </c>
      <c r="K26" s="418" t="str">
        <f>'0_Total'!A19</f>
        <v>Vehicle required to provide operational services</v>
      </c>
    </row>
    <row r="27" spans="2:11" ht="14.4" thickBot="1" x14ac:dyDescent="0.3">
      <c r="G27" s="623"/>
      <c r="H27" s="419" t="str">
        <f>'0_Total'!B4</f>
        <v>[years]</v>
      </c>
      <c r="I27" s="419" t="str">
        <f>'0_Total'!B5</f>
        <v>[km/year]</v>
      </c>
      <c r="J27" s="419" t="str">
        <f>'0_Total'!B16</f>
        <v>[pkm/vkm]</v>
      </c>
      <c r="K27" s="419" t="str">
        <f>'0_Total'!B19</f>
        <v>[type]</v>
      </c>
    </row>
    <row r="28" spans="2:11" ht="14.4" thickBot="1" x14ac:dyDescent="0.3">
      <c r="G28" s="420" t="str">
        <f>Figure_2_GHG_per_pkm_General!B92</f>
        <v>Private e-scooter</v>
      </c>
      <c r="H28" s="421">
        <f>Figure_2_GHG_per_pkm_General!C92</f>
        <v>3</v>
      </c>
      <c r="I28" s="421">
        <f>Figure_2_GHG_per_pkm_General!D92</f>
        <v>2200</v>
      </c>
      <c r="J28" s="421">
        <f>Figure_2_GHG_per_pkm_General!E92</f>
        <v>1</v>
      </c>
      <c r="K28" s="421" t="str">
        <f>Figure_2_GHG_per_pkm_General!F92</f>
        <v>None</v>
      </c>
    </row>
    <row r="29" spans="2:11" ht="14.4" thickBot="1" x14ac:dyDescent="0.3">
      <c r="G29" s="422" t="str">
        <f>Figure_2_GHG_per_pkm_General!B93</f>
        <v>Private bike and e-bike</v>
      </c>
      <c r="H29" s="423">
        <f>Figure_2_GHG_per_pkm_General!C93</f>
        <v>5.6</v>
      </c>
      <c r="I29" s="423">
        <f>Figure_2_GHG_per_pkm_General!D93</f>
        <v>2400</v>
      </c>
      <c r="J29" s="423">
        <f>Figure_2_GHG_per_pkm_General!E93</f>
        <v>1</v>
      </c>
      <c r="K29" s="423" t="str">
        <f>Figure_2_GHG_per_pkm_General!F93</f>
        <v>None</v>
      </c>
    </row>
    <row r="30" spans="2:11" ht="14.4" thickBot="1" x14ac:dyDescent="0.3">
      <c r="G30" s="420" t="str">
        <f>Figure_2_GHG_per_pkm_General!B94</f>
        <v>Private moped</v>
      </c>
      <c r="H30" s="421">
        <f>Figure_2_GHG_per_pkm_General!C94</f>
        <v>10</v>
      </c>
      <c r="I30" s="421">
        <f>Figure_2_GHG_per_pkm_General!D94</f>
        <v>4900</v>
      </c>
      <c r="J30" s="421">
        <f>Figure_2_GHG_per_pkm_General!E94</f>
        <v>1</v>
      </c>
      <c r="K30" s="421" t="str">
        <f>Figure_2_GHG_per_pkm_General!F94</f>
        <v>None</v>
      </c>
    </row>
    <row r="31" spans="2:11" ht="14.4" thickBot="1" x14ac:dyDescent="0.3">
      <c r="G31" s="422" t="str">
        <f>Figure_2_GHG_per_pkm_General!B95</f>
        <v>Shared e-scooter (first generation)</v>
      </c>
      <c r="H31" s="425">
        <f>Figure_2_GHG_per_pkm_General!C95</f>
        <v>0.83333333333333337</v>
      </c>
      <c r="I31" s="423">
        <f>Figure_2_GHG_per_pkm_General!D95</f>
        <v>2900</v>
      </c>
      <c r="J31" s="423">
        <f>Figure_2_GHG_per_pkm_General!E95</f>
        <v>1</v>
      </c>
      <c r="K31" s="423" t="str">
        <f>Figure_2_GHG_per_pkm_General!F95</f>
        <v>Van - ICE</v>
      </c>
    </row>
    <row r="32" spans="2:11" ht="14.4" thickBot="1" x14ac:dyDescent="0.3">
      <c r="G32" s="420" t="str">
        <f>Figure_2_GHG_per_pkm_General!B96</f>
        <v>Shared e-scooter (new generation)</v>
      </c>
      <c r="H32" s="424">
        <f>Figure_2_GHG_per_pkm_General!C96</f>
        <v>1.9666666666666668</v>
      </c>
      <c r="I32" s="421">
        <f>Figure_2_GHG_per_pkm_General!D96</f>
        <v>2900</v>
      </c>
      <c r="J32" s="421">
        <f>Figure_2_GHG_per_pkm_General!E96</f>
        <v>1</v>
      </c>
      <c r="K32" s="421" t="str">
        <f>Figure_2_GHG_per_pkm_General!F96</f>
        <v>Van - ICE</v>
      </c>
    </row>
    <row r="33" spans="7:11" ht="14.4" thickBot="1" x14ac:dyDescent="0.3">
      <c r="G33" s="422" t="str">
        <f>Figure_2_GHG_per_pkm_General!B97</f>
        <v>Shared bike and e-bike</v>
      </c>
      <c r="H33" s="425">
        <f>Figure_2_GHG_per_pkm_General!C97</f>
        <v>1.9</v>
      </c>
      <c r="I33" s="423">
        <f>Figure_2_GHG_per_pkm_General!D97</f>
        <v>2900</v>
      </c>
      <c r="J33" s="423">
        <f>Figure_2_GHG_per_pkm_General!E97</f>
        <v>1</v>
      </c>
      <c r="K33" s="423" t="str">
        <f>Figure_2_GHG_per_pkm_General!F97</f>
        <v>Van - ICE</v>
      </c>
    </row>
    <row r="34" spans="7:11" ht="14.4" thickBot="1" x14ac:dyDescent="0.3">
      <c r="G34" s="420" t="str">
        <f>Figure_2_GHG_per_pkm_General!B98</f>
        <v>Shared moped</v>
      </c>
      <c r="H34" s="424">
        <f>Figure_2_GHG_per_pkm_General!C98</f>
        <v>3.7</v>
      </c>
      <c r="I34" s="421">
        <f>Figure_2_GHG_per_pkm_General!D98</f>
        <v>5300</v>
      </c>
      <c r="J34" s="424">
        <f>Figure_2_GHG_per_pkm_General!E98</f>
        <v>1</v>
      </c>
      <c r="K34" s="421" t="str">
        <f>Figure_2_GHG_per_pkm_General!F98</f>
        <v>Van - ICE</v>
      </c>
    </row>
    <row r="35" spans="7:11" ht="14.4" thickBot="1" x14ac:dyDescent="0.3">
      <c r="G35" s="422" t="str">
        <f>Figure_2_GHG_per_pkm_General!B99</f>
        <v>Private car</v>
      </c>
      <c r="H35" s="423">
        <f>Figure_2_GHG_per_pkm_General!C99</f>
        <v>15</v>
      </c>
      <c r="I35" s="423">
        <f>Figure_2_GHG_per_pkm_General!D99</f>
        <v>12100</v>
      </c>
      <c r="J35" s="425">
        <f>Figure_2_GHG_per_pkm_General!E99</f>
        <v>1.5</v>
      </c>
      <c r="K35" s="423" t="str">
        <f>Figure_2_GHG_per_pkm_General!F99</f>
        <v>None</v>
      </c>
    </row>
    <row r="36" spans="7:11" ht="14.4" thickBot="1" x14ac:dyDescent="0.3">
      <c r="G36" s="420" t="str">
        <f>Figure_2_GHG_per_pkm_General!B100</f>
        <v>Ridesourcing car</v>
      </c>
      <c r="H36" s="421">
        <f>Figure_2_GHG_per_pkm_General!C100</f>
        <v>7.0735718042434765</v>
      </c>
      <c r="I36" s="421">
        <f>Figure_2_GHG_per_pkm_General!D100</f>
        <v>48000</v>
      </c>
      <c r="J36" s="427">
        <f>Figure_2_GHG_per_pkm_General!E100</f>
        <v>0.95188235294117651</v>
      </c>
      <c r="K36" s="421" t="str">
        <f>Figure_2_GHG_per_pkm_General!F100</f>
        <v>Ridesourcing car</v>
      </c>
    </row>
    <row r="37" spans="7:11" ht="14.4" thickBot="1" x14ac:dyDescent="0.3">
      <c r="G37" s="422" t="str">
        <f>Figure_2_GHG_per_pkm_General!B101</f>
        <v>Bus</v>
      </c>
      <c r="H37" s="423">
        <f>Figure_2_GHG_per_pkm_General!C101</f>
        <v>9</v>
      </c>
      <c r="I37" s="423">
        <f>Figure_2_GHG_per_pkm_General!D101</f>
        <v>44000</v>
      </c>
      <c r="J37" s="423">
        <f>Figure_2_GHG_per_pkm_General!E101</f>
        <v>17</v>
      </c>
      <c r="K37" s="423" t="str">
        <f>Figure_2_GHG_per_pkm_General!F101</f>
        <v>Bus</v>
      </c>
    </row>
    <row r="38" spans="7:11" ht="14.4" thickBot="1" x14ac:dyDescent="0.3">
      <c r="G38" s="420" t="str">
        <f>Figure_2_GHG_per_pkm_General!B102</f>
        <v>Metro</v>
      </c>
      <c r="H38" s="421">
        <f>Figure_2_GHG_per_pkm_General!C102</f>
        <v>40</v>
      </c>
      <c r="I38" s="421">
        <f>Figure_2_GHG_per_pkm_General!D102</f>
        <v>66000</v>
      </c>
      <c r="J38" s="421">
        <f>Figure_2_GHG_per_pkm_General!E102</f>
        <v>190</v>
      </c>
      <c r="K38" s="421" t="str">
        <f>Figure_2_GHG_per_pkm_General!F102</f>
        <v>None</v>
      </c>
    </row>
  </sheetData>
  <mergeCells count="2">
    <mergeCell ref="G26:G27"/>
    <mergeCell ref="B4:B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BC143"/>
  </sheetPr>
  <dimension ref="B1:CD127"/>
  <sheetViews>
    <sheetView tabSelected="1" topLeftCell="A3" zoomScale="70" zoomScaleNormal="70" zoomScalePageLayoutView="200" workbookViewId="0">
      <selection activeCell="AH45" sqref="AH45"/>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'0_Total'!A98&amp;" "&amp;'0_Total'!B98</f>
        <v>GHG emissions per pkm [g CO₂/pkm]</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82"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82"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82"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82"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82"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82"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82"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2"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2"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2"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2"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2" s="401" customFormat="1" ht="72" x14ac:dyDescent="0.3">
      <c r="B44" s="399"/>
      <c r="C44" s="399" t="str">
        <f>'0_Total'!D2</f>
        <v>Private e-scooter</v>
      </c>
      <c r="D44" s="587" t="str">
        <f>F68</f>
        <v>Shared e-scooter (first generation)</v>
      </c>
      <c r="E44" s="587" t="str">
        <f>G68</f>
        <v>Shared e-scooter (new generation)</v>
      </c>
      <c r="F44" s="399" t="str">
        <f>'0_Total'!AG2</f>
        <v>Private bike</v>
      </c>
      <c r="G44" s="399" t="str">
        <f>'0_Total'!AI2</f>
        <v>Shared bike</v>
      </c>
      <c r="H44" s="399" t="str">
        <f>'0_Total'!AH2</f>
        <v>Private e-bike</v>
      </c>
      <c r="I44" s="399" t="str">
        <f>'0_Total'!AJ2</f>
        <v>Shared e-bike</v>
      </c>
      <c r="J44" s="399" t="str">
        <f>'0_Total'!AK2</f>
        <v>Private moped - ICE</v>
      </c>
      <c r="K44" s="399" t="str">
        <f>'0_Total'!AL2</f>
        <v>Private moped - BEV</v>
      </c>
      <c r="L44" s="399" t="str">
        <f>'0_Total'!AM2</f>
        <v>Shared moped - ICE</v>
      </c>
      <c r="M44" s="399" t="str">
        <f>'0_Total'!AN2</f>
        <v>Shared moped - BEV</v>
      </c>
      <c r="N44" s="399" t="str">
        <f>'0_Total'!AO2</f>
        <v>Private car - ICE</v>
      </c>
      <c r="O44" s="399" t="str">
        <f>'0_Total'!AP2</f>
        <v>Private car - HEV</v>
      </c>
      <c r="P44" s="399" t="str">
        <f>'0_Total'!AQ2</f>
        <v>Private car - PHEV</v>
      </c>
      <c r="Q44" s="399" t="str">
        <f>'0_Total'!AX2</f>
        <v>Private car - BEV</v>
      </c>
      <c r="R44" s="399" t="str">
        <f>'0_Total'!BB2</f>
        <v>Private car - FCEV</v>
      </c>
      <c r="S44" s="399" t="str">
        <f>'0_Total'!CI2</f>
        <v>Taxi  HEV</v>
      </c>
      <c r="T44" s="399" t="str">
        <f>'0_Total'!CK2</f>
        <v>Taxi  BEV</v>
      </c>
      <c r="U44" s="399" t="str">
        <f>'0_Total'!CL2</f>
        <v>Taxi  BEV (two packs)</v>
      </c>
      <c r="V44" s="399" t="str">
        <f>'0_Total'!CM2</f>
        <v>Taxi - FCEV</v>
      </c>
      <c r="W44" s="399" t="str">
        <f>'0_Total'!BI2</f>
        <v>Ridesourcing - car - ICE</v>
      </c>
      <c r="X44" s="399" t="str">
        <f>'0_Total'!BJ2</f>
        <v>Ridesourcing - car - HEV</v>
      </c>
      <c r="Y44" s="399" t="str">
        <f>'0_Total'!BK2</f>
        <v>Ridesourcing - car - PHEV</v>
      </c>
      <c r="Z44" s="399" t="str">
        <f>'0_Total'!BT2</f>
        <v>Ridesourcing - car - BEV</v>
      </c>
      <c r="AA44" s="399" t="str">
        <f>'0_Total'!CC2</f>
        <v>Ridesourcing - car - BEV (two packs)</v>
      </c>
      <c r="AB44" s="399" t="str">
        <f>'0_Total'!CG2</f>
        <v>Ridesourcing - car - FCEV</v>
      </c>
      <c r="AC44" s="399" t="str">
        <f>'0_Total'!DQ2</f>
        <v>Bus - ICE</v>
      </c>
      <c r="AD44" s="399" t="str">
        <f>'0_Total'!DR2</f>
        <v>Bus - HEV</v>
      </c>
      <c r="AE44" s="399" t="str">
        <f>'0_Total'!DU2</f>
        <v>Bus - BEV</v>
      </c>
      <c r="AF44" s="399" t="str">
        <f>'0_Total'!DT2</f>
        <v>Bus - BEV (two packs)</v>
      </c>
      <c r="AG44" s="399" t="str">
        <f>'0_Total'!DW2</f>
        <v>Bus - FCEV</v>
      </c>
      <c r="AH44" s="399" t="str">
        <f>'0_Total'!ED2</f>
        <v>Metro/urban train</v>
      </c>
      <c r="AJ44" s="400"/>
      <c r="AM44" s="399"/>
      <c r="AN44" s="399"/>
      <c r="AO44" s="399"/>
      <c r="AP44" s="399"/>
      <c r="AQ44" s="399"/>
      <c r="AR44" s="399"/>
      <c r="AS44" s="399"/>
      <c r="BL44" s="399"/>
      <c r="BM44" s="399"/>
      <c r="BN44" s="399"/>
      <c r="BO44" s="399"/>
      <c r="BP44" s="399"/>
      <c r="BQ44" s="399"/>
      <c r="BR44" s="399"/>
      <c r="BS44" s="399"/>
      <c r="BT44" s="399"/>
      <c r="BU44" s="399"/>
      <c r="BY44" s="399"/>
      <c r="CA44" s="399"/>
      <c r="CB44" s="399"/>
      <c r="CC44" s="399"/>
      <c r="CD44" s="399"/>
    </row>
    <row r="45" spans="2:82" x14ac:dyDescent="0.3">
      <c r="B45" s="358" t="s">
        <v>1129</v>
      </c>
      <c r="C45" s="357">
        <f ca="1">'0_Total'!D100+'0_Total'!D99</f>
        <v>26.164322330581768</v>
      </c>
      <c r="D45" s="357">
        <f ca="1">'0_Total'!W100+'0_Total'!W99</f>
        <v>71.455666502830198</v>
      </c>
      <c r="E45" s="357">
        <f ca="1">'0_Total'!AE100+'0_Total'!AE99</f>
        <v>65.575881673322854</v>
      </c>
      <c r="F45" s="357">
        <f ca="1">'0_Total'!AG100+'0_Total'!AG99</f>
        <v>7.4670905852088847</v>
      </c>
      <c r="G45" s="357">
        <f ca="1">'0_Total'!AI100+'0_Total'!AI99</f>
        <v>23.312907018241759</v>
      </c>
      <c r="H45" s="357">
        <f ca="1">'0_Total'!AH100+'0_Total'!AH99</f>
        <v>12.537922665474529</v>
      </c>
      <c r="I45" s="357">
        <f ca="1">'0_Total'!AJ100+'0_Total'!AJ99</f>
        <v>37.131518608826688</v>
      </c>
      <c r="J45" s="357">
        <f ca="1">'0_Total'!AK100+'0_Total'!AK99</f>
        <v>7.985146217473579</v>
      </c>
      <c r="K45" s="357">
        <f ca="1">'0_Total'!AL100+'0_Total'!AL99</f>
        <v>9.7988736045981124</v>
      </c>
      <c r="L45" s="357">
        <f ca="1">'0_Total'!AM100+'0_Total'!AM99</f>
        <v>19.952685602050249</v>
      </c>
      <c r="M45" s="357">
        <f ca="1">'0_Total'!AN100+'0_Total'!AN99</f>
        <v>34.562416943858203</v>
      </c>
      <c r="N45" s="357">
        <f ca="1">'0_Total'!AO100+'0_Total'!AO99</f>
        <v>23.86345238869054</v>
      </c>
      <c r="O45" s="357">
        <f ca="1">'0_Total'!AP100+'0_Total'!AP99</f>
        <v>25.97776328361342</v>
      </c>
      <c r="P45" s="357">
        <f ca="1">'0_Total'!AQ100+'0_Total'!AQ99</f>
        <v>31.760408198944184</v>
      </c>
      <c r="Q45" s="357">
        <f ca="1">'0_Total'!AX100+'0_Total'!AX99</f>
        <v>41.64927411276431</v>
      </c>
      <c r="R45" s="357">
        <f ca="1">'0_Total'!BB100+'0_Total'!BB99</f>
        <v>37.744913578184971</v>
      </c>
      <c r="S45" s="357">
        <f ca="1">'0_Total'!CI100+'0_Total'!CI99</f>
        <v>30.645353280741684</v>
      </c>
      <c r="T45" s="357">
        <f ca="1">'0_Total'!CK100+'0_Total'!CK99</f>
        <v>50.370851959294306</v>
      </c>
      <c r="U45" s="357">
        <f ca="1">'0_Total'!CL100+'0_Total'!CL99</f>
        <v>76.734576745891161</v>
      </c>
      <c r="V45" s="357">
        <f ca="1">'0_Total'!CM100+'0_Total'!CM99</f>
        <v>42.163812959731359</v>
      </c>
      <c r="W45" s="357">
        <f ca="1">'0_Total'!BI100+'0_Total'!BI99</f>
        <v>22.31063196833988</v>
      </c>
      <c r="X45" s="357">
        <f ca="1">'0_Total'!BJ100+'0_Total'!BJ99</f>
        <v>24.220828487012707</v>
      </c>
      <c r="Y45" s="357">
        <f ca="1">'0_Total'!BK100+'0_Total'!BK99</f>
        <v>29.210236319465356</v>
      </c>
      <c r="Z45" s="357">
        <f ca="1">'0_Total'!BT100+'0_Total'!BT99</f>
        <v>38.532772618337084</v>
      </c>
      <c r="AA45" s="357">
        <f ca="1">'0_Total'!CC100+'0_Total'!CC99</f>
        <v>62.392606772849085</v>
      </c>
      <c r="AB45" s="357">
        <f ca="1">'0_Total'!CG100+'0_Total'!CG99</f>
        <v>32.45742243615814</v>
      </c>
      <c r="AC45" s="357">
        <f ca="1">'0_Total'!DQ100+'0_Total'!DQ99</f>
        <v>8.013715326026503</v>
      </c>
      <c r="AD45" s="357">
        <f ca="1">'0_Total'!DR100+'0_Total'!DR99</f>
        <v>7.9930110809261254</v>
      </c>
      <c r="AE45" s="357">
        <f ca="1">'0_Total'!DU100+'0_Total'!DU99</f>
        <v>13.730124843093328</v>
      </c>
      <c r="AF45" s="357">
        <f ca="1">'0_Total'!DT100+'0_Total'!DT99</f>
        <v>17.060980443414817</v>
      </c>
      <c r="AG45" s="357">
        <f ca="1">'0_Total'!DW100+'0_Total'!DW99</f>
        <v>11.025198611180571</v>
      </c>
      <c r="AH45" s="357">
        <f ca="1">'0_Total'!ED100+'0_Total'!ED99</f>
        <v>2.0282607820493368</v>
      </c>
      <c r="AJ45" s="356"/>
      <c r="AM45" s="357"/>
      <c r="AN45" s="357"/>
      <c r="AO45" s="357"/>
      <c r="AP45" s="357"/>
      <c r="AQ45" s="357"/>
      <c r="AR45" s="357"/>
      <c r="AS45" s="357"/>
      <c r="BE45" s="350"/>
      <c r="BL45" s="357"/>
      <c r="BM45" s="357"/>
      <c r="BN45" s="357"/>
      <c r="BO45" s="357"/>
      <c r="BP45" s="357"/>
      <c r="BQ45" s="357"/>
      <c r="BR45" s="357"/>
      <c r="BS45" s="357"/>
      <c r="BT45" s="357"/>
      <c r="BU45" s="357"/>
      <c r="BY45" s="357"/>
      <c r="CA45" s="357"/>
      <c r="CB45" s="357"/>
      <c r="CC45" s="357"/>
      <c r="CD45" s="357"/>
    </row>
    <row r="46" spans="2:82" x14ac:dyDescent="0.3">
      <c r="B46" s="358" t="s">
        <v>1130</v>
      </c>
      <c r="C46" s="508">
        <f>C57*(1-C60)</f>
        <v>1.4239176699373322</v>
      </c>
      <c r="D46" s="508">
        <f t="shared" ref="D46:AH46" si="0">D57*(1-D60)</f>
        <v>1.4239176699373322</v>
      </c>
      <c r="E46" s="508">
        <f t="shared" ref="E46" si="1">E57*(1-E60)</f>
        <v>1.5404200247503861</v>
      </c>
      <c r="F46" s="508">
        <f t="shared" si="0"/>
        <v>0</v>
      </c>
      <c r="G46" s="508">
        <f t="shared" si="0"/>
        <v>0</v>
      </c>
      <c r="H46" s="508">
        <f t="shared" si="0"/>
        <v>2.7183882789712701</v>
      </c>
      <c r="I46" s="508">
        <f t="shared" si="0"/>
        <v>2.7183882789712706</v>
      </c>
      <c r="J46" s="508">
        <f t="shared" si="0"/>
        <v>53.73696412283369</v>
      </c>
      <c r="K46" s="508">
        <f t="shared" si="0"/>
        <v>4.5324601156650521</v>
      </c>
      <c r="L46" s="508">
        <f t="shared" si="0"/>
        <v>53.736964122833704</v>
      </c>
      <c r="M46" s="508">
        <f t="shared" si="0"/>
        <v>4.5324601156650521</v>
      </c>
      <c r="N46" s="508">
        <f t="shared" si="0"/>
        <v>125.63212704</v>
      </c>
      <c r="O46" s="508">
        <f t="shared" si="0"/>
        <v>93.58311504000001</v>
      </c>
      <c r="P46" s="508">
        <f t="shared" si="0"/>
        <v>42.659754529241155</v>
      </c>
      <c r="Q46" s="508">
        <f t="shared" si="0"/>
        <v>16.426508205516896</v>
      </c>
      <c r="R46" s="508">
        <f t="shared" si="0"/>
        <v>82.679705112992522</v>
      </c>
      <c r="S46" s="508">
        <f>S57*(1-S60)</f>
        <v>117.64755563047052</v>
      </c>
      <c r="T46" s="508">
        <f>T57*(1-T60)</f>
        <v>20.650504496424475</v>
      </c>
      <c r="U46" s="508">
        <f>U57*(1-U60)</f>
        <v>20.650504496424475</v>
      </c>
      <c r="V46" s="508">
        <f>V57*(1-V60)</f>
        <v>103.94038713750945</v>
      </c>
      <c r="W46" s="508">
        <f t="shared" si="0"/>
        <v>121.57947778064515</v>
      </c>
      <c r="X46" s="508">
        <f t="shared" si="0"/>
        <v>90.564304877419374</v>
      </c>
      <c r="Y46" s="508">
        <f t="shared" si="0"/>
        <v>63.747918471741364</v>
      </c>
      <c r="Z46" s="508">
        <f t="shared" si="0"/>
        <v>15.896620844048607</v>
      </c>
      <c r="AA46" s="508">
        <f t="shared" si="0"/>
        <v>15.896620844048607</v>
      </c>
      <c r="AB46" s="508">
        <f t="shared" si="0"/>
        <v>80.012617851283068</v>
      </c>
      <c r="AC46" s="508">
        <f t="shared" si="0"/>
        <v>71.835624993896062</v>
      </c>
      <c r="AD46" s="508">
        <f t="shared" si="0"/>
        <v>52.881213964464521</v>
      </c>
      <c r="AE46" s="508">
        <f>AE57*(1-AE60)</f>
        <v>10.462368334191947</v>
      </c>
      <c r="AF46" s="508">
        <f t="shared" si="0"/>
        <v>10.462368334191947</v>
      </c>
      <c r="AG46" s="508">
        <f>AG57*(1-AG60)</f>
        <v>43.913662604355508</v>
      </c>
      <c r="AH46" s="508">
        <f t="shared" si="0"/>
        <v>12.073398680398997</v>
      </c>
      <c r="AJ46" s="356"/>
      <c r="AM46" s="357"/>
      <c r="AN46" s="357"/>
      <c r="AO46" s="357"/>
      <c r="AP46" s="357"/>
      <c r="AQ46" s="357"/>
      <c r="AR46" s="357"/>
      <c r="AS46" s="357"/>
      <c r="BE46" s="350"/>
      <c r="BL46" s="357"/>
      <c r="BM46" s="357"/>
      <c r="BN46" s="357"/>
      <c r="BO46" s="357"/>
      <c r="BP46" s="357"/>
      <c r="BQ46" s="357"/>
      <c r="BR46" s="357"/>
      <c r="BS46" s="357"/>
      <c r="BT46" s="357"/>
      <c r="BU46" s="357"/>
      <c r="BY46" s="357"/>
      <c r="CA46" s="357"/>
      <c r="CB46" s="357"/>
      <c r="CC46" s="357"/>
      <c r="CD46" s="357"/>
    </row>
    <row r="47" spans="2:82" x14ac:dyDescent="0.3">
      <c r="B47" s="358" t="s">
        <v>1131</v>
      </c>
      <c r="C47" s="357">
        <f>'0_Total'!D103</f>
        <v>9.4409392749428456</v>
      </c>
      <c r="D47" s="357">
        <f>'0_Total'!W103</f>
        <v>9.4409392749428456</v>
      </c>
      <c r="E47" s="357">
        <f>'0_Total'!AE103</f>
        <v>9.4835085147745115</v>
      </c>
      <c r="F47" s="357">
        <f>'0_Total'!AG103</f>
        <v>9.471154571397097</v>
      </c>
      <c r="G47" s="357">
        <f>'0_Total'!AI103</f>
        <v>9.4896885706026097</v>
      </c>
      <c r="H47" s="357">
        <f>'0_Total'!AH103</f>
        <v>9.4793603097639458</v>
      </c>
      <c r="I47" s="357">
        <f>'0_Total'!AJ103</f>
        <v>9.5026866330964577</v>
      </c>
      <c r="J47" s="357">
        <f>'0_Total'!AK103</f>
        <v>11.394557604754132</v>
      </c>
      <c r="K47" s="357">
        <f>'0_Total'!AL103</f>
        <v>11.354081196149926</v>
      </c>
      <c r="L47" s="357">
        <f>'0_Total'!AM103</f>
        <v>11.394557604754132</v>
      </c>
      <c r="M47" s="357">
        <f>'0_Total'!AN103</f>
        <v>11.354081196149926</v>
      </c>
      <c r="N47" s="357">
        <f>'0_Total'!AO103</f>
        <v>12.476457294127272</v>
      </c>
      <c r="O47" s="357">
        <f>'0_Total'!AP103</f>
        <v>12.716888018619265</v>
      </c>
      <c r="P47" s="357">
        <f>'0_Total'!AQ103</f>
        <v>12.937036533686294</v>
      </c>
      <c r="Q47" s="357">
        <f>'0_Total'!AX103</f>
        <v>12.197157451329351</v>
      </c>
      <c r="R47" s="357">
        <f>'0_Total'!BB103</f>
        <v>12.984188392693992</v>
      </c>
      <c r="S47" s="357">
        <f>'0_Total'!CI103</f>
        <v>27.01554027394284</v>
      </c>
      <c r="T47" s="357">
        <f>'0_Total'!CK103</f>
        <v>25.911433510427884</v>
      </c>
      <c r="U47" s="357">
        <f>'0_Total'!CL103</f>
        <v>25.911433510427884</v>
      </c>
      <c r="V47" s="357">
        <f>'0_Total'!CM103</f>
        <v>27.58338863515219</v>
      </c>
      <c r="W47" s="357">
        <f>'0_Total'!BI103</f>
        <v>20.403198013580084</v>
      </c>
      <c r="X47" s="357">
        <f>'0_Total'!BJ103</f>
        <v>20.796382999086166</v>
      </c>
      <c r="Y47" s="357">
        <f>'0_Total'!BK103</f>
        <v>21.156399760208132</v>
      </c>
      <c r="Z47" s="357">
        <f>'0_Total'!BT103</f>
        <v>19.94644896507814</v>
      </c>
      <c r="AA47" s="357">
        <f>'0_Total'!CC103</f>
        <v>19.94644896507814</v>
      </c>
      <c r="AB47" s="357">
        <f>'0_Total'!CG103</f>
        <v>21.233508886089187</v>
      </c>
      <c r="AC47" s="357">
        <f>'0_Total'!DQ103</f>
        <v>3.6024452385780199</v>
      </c>
      <c r="AD47" s="357">
        <f>'0_Total'!DR103</f>
        <v>3.5574070420397113</v>
      </c>
      <c r="AE47" s="357">
        <f>'0_Total'!DU103</f>
        <v>3.9264293380027726</v>
      </c>
      <c r="AF47" s="357">
        <f>'0_Total'!DT103</f>
        <v>3.9264293380027726</v>
      </c>
      <c r="AG47" s="357">
        <f>'0_Total'!DW103</f>
        <v>4.0625475229856942</v>
      </c>
      <c r="AH47" s="357">
        <f>'0_Total'!ED103</f>
        <v>11.003404253622561</v>
      </c>
      <c r="AJ47" s="356"/>
      <c r="AM47" s="357"/>
      <c r="AN47" s="357"/>
      <c r="AO47" s="357"/>
      <c r="AP47" s="357"/>
      <c r="AQ47" s="357"/>
      <c r="AR47" s="357"/>
      <c r="AS47" s="357"/>
      <c r="BE47" s="350"/>
      <c r="BL47" s="357"/>
      <c r="BM47" s="357"/>
      <c r="BN47" s="357"/>
      <c r="BO47" s="357"/>
      <c r="BP47" s="357"/>
      <c r="BQ47" s="357"/>
      <c r="BR47" s="357"/>
      <c r="BS47" s="357"/>
      <c r="BT47" s="357"/>
      <c r="BU47" s="357"/>
      <c r="BY47" s="357"/>
      <c r="CA47" s="357"/>
      <c r="CB47" s="357"/>
      <c r="CC47" s="357"/>
      <c r="CD47" s="357"/>
    </row>
    <row r="48" spans="2:82" x14ac:dyDescent="0.3">
      <c r="B48" s="358" t="s">
        <v>850</v>
      </c>
      <c r="C48" s="508">
        <f>C58+C57*C60</f>
        <v>0</v>
      </c>
      <c r="D48" s="508">
        <f t="shared" ref="D48:AH48" si="2">D58+D57*D60</f>
        <v>34.727515897616378</v>
      </c>
      <c r="E48" s="508">
        <f t="shared" ref="E48" si="3">E58+E57*E60</f>
        <v>24.702441658055509</v>
      </c>
      <c r="F48" s="508">
        <f t="shared" si="2"/>
        <v>0</v>
      </c>
      <c r="G48" s="508">
        <f t="shared" si="2"/>
        <v>24.702441658055513</v>
      </c>
      <c r="H48" s="508">
        <f t="shared" si="2"/>
        <v>0</v>
      </c>
      <c r="I48" s="508">
        <f t="shared" si="2"/>
        <v>24.702441658055513</v>
      </c>
      <c r="J48" s="508">
        <f t="shared" si="2"/>
        <v>0</v>
      </c>
      <c r="K48" s="508">
        <f t="shared" si="2"/>
        <v>0</v>
      </c>
      <c r="L48" s="508">
        <f t="shared" si="2"/>
        <v>0</v>
      </c>
      <c r="M48" s="508">
        <f t="shared" si="2"/>
        <v>13.516430341200186</v>
      </c>
      <c r="N48" s="508">
        <f t="shared" si="2"/>
        <v>0</v>
      </c>
      <c r="O48" s="508">
        <f t="shared" si="2"/>
        <v>0</v>
      </c>
      <c r="P48" s="508">
        <f t="shared" si="2"/>
        <v>0</v>
      </c>
      <c r="Q48" s="508">
        <f t="shared" si="2"/>
        <v>0</v>
      </c>
      <c r="R48" s="508">
        <f t="shared" si="2"/>
        <v>0</v>
      </c>
      <c r="S48" s="508">
        <f>S58+S57*S60</f>
        <v>108.04192570523938</v>
      </c>
      <c r="T48" s="508">
        <f>T58+T57*T60</f>
        <v>18.964442232750891</v>
      </c>
      <c r="U48" s="508">
        <f>U58+U57*U60</f>
        <v>18.964442232750891</v>
      </c>
      <c r="V48" s="508">
        <f>V58+V57*V60</f>
        <v>95.453913383102048</v>
      </c>
      <c r="W48" s="508">
        <f t="shared" si="2"/>
        <v>111.65281620399554</v>
      </c>
      <c r="X48" s="508">
        <f t="shared" si="2"/>
        <v>83.169954927466094</v>
      </c>
      <c r="Y48" s="508">
        <f t="shared" si="2"/>
        <v>58.543059687707611</v>
      </c>
      <c r="Z48" s="508">
        <f t="shared" si="2"/>
        <v>14.598701341417666</v>
      </c>
      <c r="AA48" s="508">
        <f t="shared" si="2"/>
        <v>14.598701341417666</v>
      </c>
      <c r="AB48" s="508">
        <f t="shared" si="2"/>
        <v>73.479786868866043</v>
      </c>
      <c r="AC48" s="508">
        <f t="shared" si="2"/>
        <v>7.9817361104328963</v>
      </c>
      <c r="AD48" s="508">
        <f t="shared" si="2"/>
        <v>5.8756904404960579</v>
      </c>
      <c r="AE48" s="508">
        <f t="shared" si="2"/>
        <v>1.1624853704657718</v>
      </c>
      <c r="AF48" s="508">
        <f t="shared" si="2"/>
        <v>1.1624853704657718</v>
      </c>
      <c r="AG48" s="508">
        <f>AG58+AG57*AG60</f>
        <v>4.8792958449283903</v>
      </c>
      <c r="AH48" s="508">
        <f t="shared" si="2"/>
        <v>0</v>
      </c>
      <c r="AJ48" s="356"/>
      <c r="AM48" s="357"/>
      <c r="AN48" s="357"/>
      <c r="AO48" s="357"/>
      <c r="AP48" s="357"/>
      <c r="AQ48" s="357"/>
      <c r="AR48" s="357"/>
      <c r="AS48" s="357"/>
      <c r="BE48" s="350"/>
      <c r="BL48" s="357"/>
      <c r="BM48" s="357"/>
      <c r="BN48" s="357"/>
      <c r="BO48" s="357"/>
      <c r="BP48" s="357"/>
      <c r="BQ48" s="357"/>
      <c r="BR48" s="357"/>
      <c r="BS48" s="357"/>
      <c r="BT48" s="357"/>
      <c r="BU48" s="357"/>
      <c r="BY48" s="357"/>
      <c r="CA48" s="357"/>
      <c r="CB48" s="357"/>
      <c r="CC48" s="357"/>
      <c r="CD48" s="357"/>
    </row>
    <row r="49" spans="2:82" hidden="1" x14ac:dyDescent="0.3">
      <c r="B49" s="358" t="s">
        <v>1063</v>
      </c>
      <c r="C49" s="357">
        <v>225.8831960379388</v>
      </c>
      <c r="D49" s="357">
        <v>92.000625319612908</v>
      </c>
      <c r="E49" s="357">
        <v>92.000625319612908</v>
      </c>
      <c r="F49" s="357">
        <v>109.2715625573851</v>
      </c>
      <c r="G49" s="357">
        <v>109.74665673023698</v>
      </c>
      <c r="H49" s="357">
        <v>134.5247173832434</v>
      </c>
      <c r="I49" s="357">
        <v>146.93726718801878</v>
      </c>
      <c r="J49" s="357">
        <v>170.94671713201515</v>
      </c>
      <c r="K49" s="357">
        <v>198.6553751289735</v>
      </c>
      <c r="N49" s="349"/>
      <c r="O49" s="355"/>
      <c r="P49" s="354"/>
      <c r="Q49" s="354"/>
      <c r="R49" s="354"/>
      <c r="S49" s="354"/>
      <c r="T49" s="354"/>
      <c r="U49" s="354"/>
      <c r="V49" s="354"/>
      <c r="W49" s="354"/>
      <c r="X49" s="354"/>
      <c r="Y49" s="354"/>
      <c r="Z49" s="354"/>
      <c r="AA49" s="354"/>
      <c r="AB49" s="354"/>
      <c r="AC49" s="354"/>
      <c r="AD49" s="354"/>
      <c r="AE49" s="354"/>
      <c r="AF49" s="354"/>
      <c r="AG49" s="354"/>
      <c r="AJ49" s="355"/>
      <c r="AK49" s="354"/>
      <c r="AL49" s="354"/>
      <c r="AM49" s="354"/>
      <c r="AN49" s="354"/>
      <c r="AO49" s="354"/>
      <c r="AP49" s="354"/>
      <c r="AQ49" s="354"/>
      <c r="AR49" s="354"/>
      <c r="AS49" s="354"/>
      <c r="AT49" s="354"/>
      <c r="AU49" s="354"/>
      <c r="AW49" s="350"/>
    </row>
    <row r="50" spans="2:82" hidden="1" x14ac:dyDescent="0.3">
      <c r="B50" s="358" t="s">
        <v>1062</v>
      </c>
      <c r="C50" s="357">
        <v>235.34686736744837</v>
      </c>
      <c r="D50" s="357">
        <v>20.138098699878793</v>
      </c>
      <c r="E50" s="357">
        <v>20.138098699878793</v>
      </c>
      <c r="F50" s="357">
        <v>29.082532108575009</v>
      </c>
      <c r="G50" s="357">
        <v>47.360170627588715</v>
      </c>
      <c r="H50" s="357">
        <v>92.462424726943624</v>
      </c>
      <c r="I50" s="357">
        <v>123.41082373994841</v>
      </c>
      <c r="J50" s="357">
        <v>147.75164600715308</v>
      </c>
      <c r="K50" s="357">
        <v>190.45060506651421</v>
      </c>
      <c r="N50" s="349"/>
      <c r="O50" s="355"/>
      <c r="P50" s="354"/>
      <c r="Q50" s="354"/>
      <c r="R50" s="354"/>
      <c r="S50" s="354"/>
      <c r="T50" s="354"/>
      <c r="U50" s="354"/>
      <c r="V50" s="354"/>
      <c r="W50" s="354"/>
      <c r="X50" s="354"/>
      <c r="Y50" s="354"/>
      <c r="Z50" s="354"/>
      <c r="AA50" s="354"/>
      <c r="AB50" s="354"/>
      <c r="AC50" s="354"/>
      <c r="AD50" s="354"/>
      <c r="AE50" s="354"/>
      <c r="AF50" s="354"/>
      <c r="AG50" s="354"/>
      <c r="AJ50" s="355"/>
      <c r="AK50" s="354"/>
      <c r="AL50" s="354"/>
      <c r="AM50" s="354"/>
      <c r="AN50" s="354"/>
      <c r="AO50" s="354"/>
      <c r="AP50" s="354"/>
      <c r="AQ50" s="354"/>
      <c r="AR50" s="354"/>
      <c r="AS50" s="354"/>
      <c r="AT50" s="354"/>
      <c r="AU50" s="354"/>
      <c r="AW50" s="350"/>
    </row>
    <row r="51" spans="2:82" hidden="1" x14ac:dyDescent="0.3">
      <c r="B51" s="358" t="s">
        <v>1061</v>
      </c>
      <c r="C51" s="357">
        <v>169.63000923799299</v>
      </c>
      <c r="D51" s="357">
        <v>57.028326808897397</v>
      </c>
      <c r="E51" s="357">
        <v>57.028326808897397</v>
      </c>
      <c r="F51" s="357">
        <v>66.108608232937002</v>
      </c>
      <c r="G51" s="357">
        <v>73.1615339584623</v>
      </c>
      <c r="H51" s="357">
        <v>87.042263228114194</v>
      </c>
      <c r="I51" s="357">
        <v>82.788852695901895</v>
      </c>
      <c r="J51" s="357">
        <v>106.35742590613199</v>
      </c>
      <c r="K51" s="357">
        <v>130.467437832401</v>
      </c>
      <c r="N51" s="349"/>
      <c r="O51" s="355"/>
      <c r="P51" s="354"/>
      <c r="Q51" s="354"/>
      <c r="R51" s="354"/>
      <c r="S51" s="354"/>
      <c r="T51" s="354"/>
      <c r="U51" s="354"/>
      <c r="V51" s="354"/>
      <c r="W51" s="354"/>
      <c r="X51" s="354"/>
      <c r="Y51" s="354"/>
      <c r="Z51" s="354"/>
      <c r="AA51" s="354"/>
      <c r="AB51" s="354"/>
      <c r="AC51" s="354"/>
      <c r="AD51" s="354"/>
      <c r="AE51" s="354"/>
      <c r="AF51" s="354"/>
      <c r="AG51" s="354"/>
      <c r="AJ51" s="355"/>
      <c r="AK51" s="354"/>
      <c r="AL51" s="354"/>
      <c r="AM51" s="354"/>
      <c r="AN51" s="354"/>
      <c r="AO51" s="354"/>
      <c r="AP51" s="354"/>
      <c r="AQ51" s="354"/>
      <c r="AR51" s="354"/>
      <c r="AS51" s="354"/>
      <c r="AT51" s="354"/>
      <c r="AU51" s="354"/>
      <c r="AW51" s="350"/>
    </row>
    <row r="52" spans="2:82" hidden="1" x14ac:dyDescent="0.3">
      <c r="B52" s="358" t="s">
        <v>1060</v>
      </c>
      <c r="C52" s="357">
        <v>129.54562060471599</v>
      </c>
      <c r="D52" s="357">
        <v>64.575287204428093</v>
      </c>
      <c r="E52" s="357">
        <v>64.575287204428093</v>
      </c>
      <c r="F52" s="357">
        <v>72.039757217874197</v>
      </c>
      <c r="G52" s="357">
        <v>74.833619113601898</v>
      </c>
      <c r="H52" s="357">
        <v>76.416043285393002</v>
      </c>
      <c r="I52" s="357">
        <v>56.436216180368902</v>
      </c>
      <c r="J52" s="357">
        <v>77.511185806366001</v>
      </c>
      <c r="K52" s="357">
        <v>94.288071043957402</v>
      </c>
      <c r="N52" s="349"/>
      <c r="O52" s="355"/>
      <c r="P52" s="354"/>
      <c r="Q52" s="354"/>
      <c r="R52" s="354"/>
      <c r="S52" s="354"/>
      <c r="T52" s="354"/>
      <c r="U52" s="354"/>
      <c r="V52" s="354"/>
      <c r="W52" s="354"/>
      <c r="X52" s="354"/>
      <c r="Y52" s="354"/>
      <c r="Z52" s="354"/>
      <c r="AA52" s="354"/>
      <c r="AB52" s="354"/>
      <c r="AC52" s="354"/>
      <c r="AD52" s="354"/>
      <c r="AE52" s="354"/>
      <c r="AF52" s="354"/>
      <c r="AG52" s="354"/>
      <c r="AJ52" s="355"/>
      <c r="AK52" s="354"/>
      <c r="AL52" s="354"/>
      <c r="AM52" s="354"/>
      <c r="AN52" s="354"/>
      <c r="AO52" s="354"/>
      <c r="AP52" s="354"/>
      <c r="AQ52" s="354"/>
      <c r="AR52" s="354"/>
      <c r="AS52" s="354"/>
      <c r="AT52" s="354"/>
      <c r="AU52" s="354"/>
      <c r="AW52" s="350"/>
    </row>
    <row r="53" spans="2:82" hidden="1" x14ac:dyDescent="0.3">
      <c r="B53" s="358" t="s">
        <v>1059</v>
      </c>
      <c r="C53" s="357">
        <v>89.461231971439403</v>
      </c>
      <c r="D53" s="357">
        <v>72.122247599958797</v>
      </c>
      <c r="E53" s="357">
        <v>72.122247599958797</v>
      </c>
      <c r="F53" s="357">
        <v>77.970906202811506</v>
      </c>
      <c r="G53" s="357">
        <v>76.505704268741596</v>
      </c>
      <c r="H53" s="357">
        <v>65.789823342671895</v>
      </c>
      <c r="I53" s="357">
        <v>30.0835796648349</v>
      </c>
      <c r="J53" s="357">
        <v>48.664945706598999</v>
      </c>
      <c r="K53" s="357">
        <v>58.108704255513402</v>
      </c>
      <c r="N53" s="349"/>
      <c r="O53" s="355"/>
      <c r="P53" s="354"/>
      <c r="Q53" s="354"/>
      <c r="R53" s="354"/>
      <c r="S53" s="354"/>
      <c r="T53" s="354"/>
      <c r="U53" s="354"/>
      <c r="V53" s="354"/>
      <c r="W53" s="354"/>
      <c r="X53" s="354"/>
      <c r="Y53" s="354"/>
      <c r="Z53" s="354"/>
      <c r="AA53" s="354"/>
      <c r="AB53" s="354"/>
      <c r="AC53" s="354"/>
      <c r="AD53" s="354"/>
      <c r="AE53" s="354"/>
      <c r="AF53" s="354"/>
      <c r="AG53" s="354"/>
      <c r="AJ53" s="355"/>
      <c r="AK53" s="354"/>
      <c r="AL53" s="354"/>
      <c r="AM53" s="354"/>
      <c r="AN53" s="354"/>
      <c r="AO53" s="354"/>
      <c r="AP53" s="354"/>
      <c r="AQ53" s="354"/>
      <c r="AR53" s="354"/>
      <c r="AS53" s="354"/>
      <c r="AT53" s="354"/>
      <c r="AU53" s="354"/>
      <c r="AW53" s="350"/>
    </row>
    <row r="54" spans="2:82" hidden="1" x14ac:dyDescent="0.3">
      <c r="B54" s="358" t="s">
        <v>1058</v>
      </c>
      <c r="C54" s="357">
        <v>49.376843338162402</v>
      </c>
      <c r="D54" s="357">
        <v>79.669207995489501</v>
      </c>
      <c r="E54" s="357">
        <v>79.669207995489501</v>
      </c>
      <c r="F54" s="357">
        <v>83.9020551877488</v>
      </c>
      <c r="G54" s="357">
        <v>78.177789423881194</v>
      </c>
      <c r="H54" s="357">
        <v>55.163603399950702</v>
      </c>
      <c r="I54" s="357">
        <v>3.7309431493018801</v>
      </c>
      <c r="J54" s="357">
        <v>19.818705606832999</v>
      </c>
      <c r="K54" s="357">
        <v>21.929337467069399</v>
      </c>
      <c r="N54" s="349"/>
      <c r="O54" s="355"/>
      <c r="P54" s="354"/>
      <c r="Q54" s="354"/>
      <c r="R54" s="354"/>
      <c r="S54" s="354"/>
      <c r="T54" s="354"/>
      <c r="U54" s="354"/>
      <c r="V54" s="354"/>
      <c r="W54" s="354"/>
      <c r="X54" s="354"/>
      <c r="Y54" s="354"/>
      <c r="Z54" s="354"/>
      <c r="AA54" s="354"/>
      <c r="AB54" s="354"/>
      <c r="AC54" s="354"/>
      <c r="AD54" s="354"/>
      <c r="AE54" s="354"/>
      <c r="AF54" s="354"/>
      <c r="AG54" s="354"/>
      <c r="AJ54" s="355"/>
      <c r="AK54" s="354"/>
      <c r="AL54" s="354"/>
      <c r="AM54" s="354"/>
      <c r="AN54" s="354"/>
      <c r="AO54" s="354"/>
      <c r="AP54" s="354"/>
      <c r="AQ54" s="354"/>
      <c r="AR54" s="354"/>
      <c r="AS54" s="354"/>
      <c r="AT54" s="354"/>
      <c r="AU54" s="354"/>
      <c r="AW54" s="350"/>
    </row>
    <row r="55" spans="2:82" x14ac:dyDescent="0.3">
      <c r="N55" s="349"/>
      <c r="O55" s="355"/>
      <c r="P55" s="354"/>
      <c r="Q55" s="354"/>
      <c r="R55" s="354"/>
      <c r="S55" s="354"/>
      <c r="T55" s="354"/>
      <c r="U55" s="354"/>
      <c r="V55" s="354"/>
      <c r="W55" s="354"/>
      <c r="X55" s="354"/>
      <c r="Y55" s="354"/>
      <c r="Z55" s="354"/>
      <c r="AA55" s="354"/>
      <c r="AB55" s="354"/>
      <c r="AC55" s="354"/>
      <c r="AD55" s="354"/>
      <c r="AE55" s="354"/>
      <c r="AF55" s="354"/>
      <c r="AG55" s="354"/>
      <c r="AJ55" s="355"/>
      <c r="AK55" s="354"/>
      <c r="AL55" s="354"/>
      <c r="AM55" s="354"/>
      <c r="AN55" s="354"/>
      <c r="AO55" s="354"/>
      <c r="AP55" s="354"/>
      <c r="AQ55" s="354"/>
      <c r="AR55" s="354"/>
      <c r="AS55" s="354"/>
      <c r="AT55" s="354"/>
      <c r="AU55" s="354"/>
      <c r="AW55" s="350"/>
    </row>
    <row r="56" spans="2:82" x14ac:dyDescent="0.3">
      <c r="N56" s="349"/>
      <c r="O56" s="355"/>
      <c r="P56" s="354"/>
      <c r="Q56" s="354"/>
      <c r="R56" s="354"/>
      <c r="S56" s="354"/>
      <c r="T56" s="354"/>
      <c r="U56" s="354"/>
      <c r="V56" s="354"/>
      <c r="W56" s="354"/>
      <c r="X56" s="354"/>
      <c r="Y56" s="354"/>
      <c r="Z56" s="354"/>
      <c r="AA56" s="354"/>
      <c r="AB56" s="354"/>
      <c r="AC56" s="354"/>
      <c r="AD56" s="354"/>
      <c r="AE56" s="354"/>
      <c r="AF56" s="354"/>
      <c r="AG56" s="354"/>
      <c r="AJ56" s="355"/>
      <c r="AK56" s="354"/>
      <c r="AL56" s="354"/>
      <c r="AM56" s="354"/>
      <c r="AN56" s="354"/>
      <c r="AO56" s="354"/>
      <c r="AP56" s="354"/>
      <c r="AQ56" s="354"/>
      <c r="AR56" s="354"/>
      <c r="AS56" s="354"/>
      <c r="AT56" s="354"/>
      <c r="AU56" s="354"/>
      <c r="AW56" s="350"/>
    </row>
    <row r="57" spans="2:82" x14ac:dyDescent="0.3">
      <c r="B57" s="358" t="s">
        <v>1130</v>
      </c>
      <c r="C57" s="357">
        <f>'0_Total'!D101</f>
        <v>1.4239176699373322</v>
      </c>
      <c r="D57" s="357">
        <f>'0_Total'!W101</f>
        <v>1.4239176699373322</v>
      </c>
      <c r="E57" s="357">
        <f>'0_Total'!AE101</f>
        <v>1.5404200247503861</v>
      </c>
      <c r="F57" s="357">
        <f>'0_Total'!AG101</f>
        <v>0</v>
      </c>
      <c r="G57" s="357">
        <f>'0_Total'!AI101</f>
        <v>0</v>
      </c>
      <c r="H57" s="357">
        <f>'0_Total'!AH101</f>
        <v>2.7183882789712701</v>
      </c>
      <c r="I57" s="357">
        <f>'0_Total'!AJ101</f>
        <v>2.7183882789712706</v>
      </c>
      <c r="J57" s="357">
        <f>'0_Total'!AK101</f>
        <v>53.73696412283369</v>
      </c>
      <c r="K57" s="357">
        <f>'0_Total'!AL101</f>
        <v>4.5324601156650521</v>
      </c>
      <c r="L57" s="357">
        <f>'0_Total'!AM101</f>
        <v>53.736964122833704</v>
      </c>
      <c r="M57" s="357">
        <f>'0_Total'!AN101</f>
        <v>4.5324601156650521</v>
      </c>
      <c r="N57" s="357">
        <f>'0_Total'!AO101</f>
        <v>125.63212704</v>
      </c>
      <c r="O57" s="357">
        <f>'0_Total'!AP101</f>
        <v>93.58311504000001</v>
      </c>
      <c r="P57" s="357">
        <f>'0_Total'!AQ101</f>
        <v>42.659754529241155</v>
      </c>
      <c r="Q57" s="357">
        <f>'0_Total'!AX101</f>
        <v>16.426508205516896</v>
      </c>
      <c r="R57" s="357">
        <f>'0_Total'!BB101</f>
        <v>82.679705112992522</v>
      </c>
      <c r="S57" s="357">
        <f>'0_Total'!CI101</f>
        <v>191.57169020287344</v>
      </c>
      <c r="T57" s="357">
        <f>'0_Total'!CK101</f>
        <v>33.626300425212264</v>
      </c>
      <c r="U57" s="357">
        <f>'0_Total'!CL101</f>
        <v>33.626300425212264</v>
      </c>
      <c r="V57" s="357">
        <f>'0_Total'!CM101</f>
        <v>169.25158825073376</v>
      </c>
      <c r="W57" s="357">
        <f>'0_Total'!BI101</f>
        <v>197.9742454282536</v>
      </c>
      <c r="X57" s="357">
        <f>'0_Total'!BJ101</f>
        <v>147.47061139043385</v>
      </c>
      <c r="Y57" s="357">
        <f>'0_Total'!BK101</f>
        <v>103.80408180264398</v>
      </c>
      <c r="Z57" s="357">
        <f>'0_Total'!BT101</f>
        <v>25.885302140692175</v>
      </c>
      <c r="AA57" s="357">
        <f>'0_Total'!CC101</f>
        <v>25.885302140692175</v>
      </c>
      <c r="AB57" s="357">
        <f>'0_Total'!CG101</f>
        <v>130.28874554327703</v>
      </c>
      <c r="AC57" s="357">
        <f>'0_Total'!DQ101</f>
        <v>71.835624993896062</v>
      </c>
      <c r="AD57" s="357">
        <f>'0_Total'!DR101</f>
        <v>52.881213964464521</v>
      </c>
      <c r="AE57" s="357">
        <f>'0_Total'!DU101</f>
        <v>10.462368334191947</v>
      </c>
      <c r="AF57" s="357">
        <f>'0_Total'!DT101</f>
        <v>10.462368334191947</v>
      </c>
      <c r="AG57" s="357">
        <f>'0_Total'!DW101</f>
        <v>43.913662604355508</v>
      </c>
      <c r="AH57" s="357">
        <f>'0_Total'!ED101</f>
        <v>12.073398680398997</v>
      </c>
      <c r="AJ57" s="356"/>
      <c r="AM57" s="357"/>
      <c r="AN57" s="357"/>
      <c r="AO57" s="357"/>
      <c r="AP57" s="357"/>
      <c r="AQ57" s="357"/>
      <c r="AR57" s="357"/>
      <c r="AS57" s="357"/>
      <c r="BE57" s="350"/>
      <c r="BL57" s="357"/>
      <c r="BM57" s="357"/>
      <c r="BN57" s="357"/>
      <c r="BO57" s="357"/>
      <c r="BP57" s="357"/>
      <c r="BQ57" s="357"/>
      <c r="BR57" s="357"/>
      <c r="BS57" s="357"/>
      <c r="BT57" s="357"/>
      <c r="BU57" s="357"/>
      <c r="BY57" s="357"/>
      <c r="CA57" s="357"/>
      <c r="CB57" s="357"/>
      <c r="CC57" s="357"/>
      <c r="CD57" s="357"/>
    </row>
    <row r="58" spans="2:82" x14ac:dyDescent="0.3">
      <c r="B58" s="358" t="s">
        <v>850</v>
      </c>
      <c r="C58" s="357">
        <f>'0_Total'!D102</f>
        <v>0</v>
      </c>
      <c r="D58" s="357">
        <f>'0_Total'!W102</f>
        <v>34.727515897616378</v>
      </c>
      <c r="E58" s="357">
        <f>'0_Total'!AE102</f>
        <v>24.702441658055509</v>
      </c>
      <c r="F58" s="357">
        <f>'0_Total'!AG102</f>
        <v>0</v>
      </c>
      <c r="G58" s="357">
        <f>'0_Total'!AI102</f>
        <v>24.702441658055513</v>
      </c>
      <c r="H58" s="357">
        <f>'0_Total'!AH102</f>
        <v>0</v>
      </c>
      <c r="I58" s="357">
        <f>'0_Total'!AJ102</f>
        <v>24.702441658055513</v>
      </c>
      <c r="J58" s="357">
        <f>'0_Total'!AK102</f>
        <v>0</v>
      </c>
      <c r="K58" s="357">
        <f>'0_Total'!AL102</f>
        <v>0</v>
      </c>
      <c r="L58" s="357">
        <f>'0_Total'!AM102</f>
        <v>0</v>
      </c>
      <c r="M58" s="357">
        <f>'0_Total'!AN102</f>
        <v>13.516430341200186</v>
      </c>
      <c r="N58" s="357">
        <f>'0_Total'!AO102</f>
        <v>0</v>
      </c>
      <c r="O58" s="357">
        <f>'0_Total'!AP102</f>
        <v>0</v>
      </c>
      <c r="P58" s="357">
        <f>'0_Total'!AQ102</f>
        <v>0</v>
      </c>
      <c r="Q58" s="357">
        <f>'0_Total'!AX102</f>
        <v>0</v>
      </c>
      <c r="R58" s="357">
        <f>'0_Total'!BB102</f>
        <v>0</v>
      </c>
      <c r="S58" s="357">
        <f>'0_Total'!CI102</f>
        <v>34.117791132836459</v>
      </c>
      <c r="T58" s="357">
        <f>'0_Total'!CK102</f>
        <v>5.9886463039630984</v>
      </c>
      <c r="U58" s="357">
        <f>'0_Total'!CL102</f>
        <v>5.9886463039630984</v>
      </c>
      <c r="V58" s="357">
        <f>'0_Total'!CM102</f>
        <v>30.142712269877737</v>
      </c>
      <c r="W58" s="357">
        <f>'0_Total'!BI102</f>
        <v>35.258048556387102</v>
      </c>
      <c r="X58" s="357">
        <f>'0_Total'!BJ102</f>
        <v>26.263648414451623</v>
      </c>
      <c r="Y58" s="357">
        <f>'0_Total'!BK102</f>
        <v>18.486896356804994</v>
      </c>
      <c r="Z58" s="357">
        <f>'0_Total'!BT102</f>
        <v>4.6100200447740969</v>
      </c>
      <c r="AA58" s="357">
        <f>'0_Total'!CC102</f>
        <v>4.6100200447740969</v>
      </c>
      <c r="AB58" s="357">
        <f>'0_Total'!CG102</f>
        <v>23.20365917687209</v>
      </c>
      <c r="AC58" s="357">
        <f>'0_Total'!DQ102</f>
        <v>7.9817361104328963</v>
      </c>
      <c r="AD58" s="357">
        <f>'0_Total'!DR102</f>
        <v>5.8756904404960579</v>
      </c>
      <c r="AE58" s="357">
        <f>'0_Total'!DU102</f>
        <v>1.1624853704657718</v>
      </c>
      <c r="AF58" s="357">
        <f>'0_Total'!DT102</f>
        <v>1.1624853704657718</v>
      </c>
      <c r="AG58" s="357">
        <f>'0_Total'!DW102</f>
        <v>4.8792958449283903</v>
      </c>
      <c r="AH58" s="357">
        <f>'0_Total'!ED102</f>
        <v>0</v>
      </c>
      <c r="AJ58" s="356"/>
      <c r="AM58" s="357"/>
      <c r="AN58" s="357"/>
      <c r="AO58" s="357"/>
      <c r="AP58" s="357"/>
      <c r="AQ58" s="357"/>
      <c r="AR58" s="357"/>
      <c r="AS58" s="357"/>
      <c r="BE58" s="350"/>
      <c r="BL58" s="357"/>
      <c r="BM58" s="357"/>
      <c r="BN58" s="357"/>
      <c r="BO58" s="357"/>
      <c r="BP58" s="357"/>
      <c r="BQ58" s="357"/>
      <c r="BR58" s="357"/>
      <c r="BS58" s="357"/>
      <c r="BT58" s="357"/>
      <c r="BU58" s="357"/>
      <c r="BY58" s="357"/>
      <c r="CA58" s="357"/>
      <c r="CB58" s="357"/>
      <c r="CC58" s="357"/>
      <c r="CD58" s="357"/>
    </row>
    <row r="59" spans="2:82" x14ac:dyDescent="0.3">
      <c r="N59" s="349"/>
      <c r="O59" s="350"/>
      <c r="P59" s="350"/>
      <c r="Q59" s="350"/>
      <c r="AB59" s="349"/>
      <c r="AI59" s="350"/>
      <c r="AO59" s="349"/>
      <c r="AV59" s="350"/>
    </row>
    <row r="60" spans="2:82" s="507" customFormat="1" x14ac:dyDescent="0.3">
      <c r="B60" s="507" t="str">
        <f>Tech_Spec_TNC!P12&amp;" vkm (excluding commute)"</f>
        <v>Deadheading, % of total vkm (excluding commute)</v>
      </c>
      <c r="C60" s="358"/>
      <c r="D60" s="358"/>
      <c r="E60" s="358"/>
      <c r="F60" s="358"/>
      <c r="G60" s="358"/>
      <c r="H60" s="358"/>
      <c r="I60" s="358"/>
      <c r="J60" s="358"/>
      <c r="K60" s="358"/>
      <c r="O60" s="358"/>
      <c r="P60" s="358"/>
      <c r="Q60" s="358"/>
      <c r="S60" s="507">
        <f>Tech_Spec_TNC!$P$14</f>
        <v>0.38588235294117645</v>
      </c>
      <c r="T60" s="507">
        <f>Tech_Spec_TNC!$P$14</f>
        <v>0.38588235294117645</v>
      </c>
      <c r="U60" s="507">
        <f>Tech_Spec_TNC!$P$14</f>
        <v>0.38588235294117645</v>
      </c>
      <c r="V60" s="507">
        <f>Tech_Spec_TNC!$P$14</f>
        <v>0.38588235294117645</v>
      </c>
      <c r="W60" s="507">
        <f>Tech_Spec_TNC!$P$14</f>
        <v>0.38588235294117645</v>
      </c>
      <c r="X60" s="507">
        <f>W60</f>
        <v>0.38588235294117645</v>
      </c>
      <c r="Y60" s="507">
        <f>X60</f>
        <v>0.38588235294117645</v>
      </c>
      <c r="Z60" s="507">
        <f>Y60</f>
        <v>0.38588235294117645</v>
      </c>
      <c r="AA60" s="507">
        <f>Z60</f>
        <v>0.38588235294117645</v>
      </c>
      <c r="AB60" s="507">
        <f>AA60</f>
        <v>0.38588235294117645</v>
      </c>
      <c r="AI60" s="358"/>
      <c r="AV60" s="358"/>
    </row>
    <row r="61" spans="2:82" x14ac:dyDescent="0.3">
      <c r="B61" s="352"/>
      <c r="C61" s="351"/>
      <c r="D61" s="351"/>
      <c r="E61" s="351"/>
      <c r="F61" s="351"/>
      <c r="G61" s="351"/>
      <c r="H61" s="351"/>
      <c r="I61" s="351"/>
      <c r="J61" s="351"/>
      <c r="K61" s="351"/>
      <c r="N61" s="349"/>
      <c r="O61" s="350"/>
      <c r="P61" s="350"/>
      <c r="Q61" s="350"/>
      <c r="AB61" s="349"/>
      <c r="AI61" s="350"/>
      <c r="AO61" s="349"/>
      <c r="AV61" s="350"/>
    </row>
    <row r="62" spans="2:82" x14ac:dyDescent="0.3">
      <c r="B62" s="352"/>
      <c r="C62" s="351"/>
      <c r="D62" s="351"/>
      <c r="E62" s="351"/>
      <c r="F62" s="351"/>
      <c r="G62" s="351"/>
      <c r="H62" s="351"/>
      <c r="I62" s="351"/>
      <c r="J62" s="351"/>
      <c r="K62" s="351"/>
      <c r="N62" s="349"/>
      <c r="O62" s="350"/>
      <c r="P62" s="350"/>
      <c r="Q62" s="350"/>
      <c r="AB62" s="349"/>
      <c r="AI62" s="350"/>
      <c r="AO62" s="349"/>
      <c r="AV62" s="350"/>
    </row>
    <row r="63" spans="2:82" x14ac:dyDescent="0.3">
      <c r="B63" s="352"/>
      <c r="C63" s="351"/>
      <c r="D63" s="351"/>
      <c r="E63" s="351"/>
      <c r="F63" s="351"/>
      <c r="G63" s="351"/>
      <c r="H63" s="351"/>
      <c r="I63" s="351"/>
      <c r="J63" s="351"/>
      <c r="K63" s="351"/>
      <c r="N63" s="349"/>
      <c r="O63" s="350"/>
      <c r="P63" s="350"/>
      <c r="Q63" s="350"/>
      <c r="AB63" s="349"/>
      <c r="AI63" s="350"/>
      <c r="AO63" s="349"/>
      <c r="AV63" s="350"/>
    </row>
    <row r="64" spans="2:82" x14ac:dyDescent="0.3">
      <c r="B64" s="352"/>
      <c r="C64" s="351"/>
      <c r="D64" s="351"/>
      <c r="E64" s="351"/>
      <c r="F64" s="351"/>
      <c r="G64" s="351"/>
      <c r="H64" s="351"/>
      <c r="I64" s="351"/>
      <c r="J64" s="351"/>
      <c r="K64" s="351"/>
      <c r="N64" s="349"/>
      <c r="O64" s="350"/>
      <c r="P64" s="350"/>
      <c r="Q64" s="350"/>
      <c r="AB64" s="349"/>
      <c r="AI64" s="350"/>
      <c r="AO64" s="349"/>
      <c r="AV64" s="350"/>
    </row>
    <row r="65" spans="2:49" x14ac:dyDescent="0.3">
      <c r="N65" s="349"/>
      <c r="O65" s="350"/>
      <c r="P65" s="350"/>
      <c r="Q65" s="350"/>
      <c r="AB65" s="349"/>
      <c r="AH65" s="350"/>
      <c r="AO65" s="349"/>
      <c r="AU65" s="350"/>
    </row>
    <row r="66" spans="2:49" x14ac:dyDescent="0.3">
      <c r="N66" s="349"/>
      <c r="O66" s="350"/>
      <c r="P66" s="350"/>
      <c r="Q66" s="350"/>
      <c r="AB66" s="349"/>
      <c r="AF66" s="350"/>
      <c r="AO66" s="349"/>
      <c r="AS66" s="350"/>
    </row>
    <row r="67" spans="2:49" x14ac:dyDescent="0.3">
      <c r="N67" s="349"/>
      <c r="AB67" s="349"/>
      <c r="AF67" s="350"/>
      <c r="AO67" s="349"/>
      <c r="AS67" s="350"/>
    </row>
    <row r="68" spans="2:49" s="401" customFormat="1" ht="72" x14ac:dyDescent="0.3">
      <c r="B68" s="403"/>
      <c r="C68" s="404" t="str">
        <f>'0_Total'!D2</f>
        <v>Private e-scooter</v>
      </c>
      <c r="D68" s="404" t="str">
        <f>'0_Total'!AG2</f>
        <v>Private bike</v>
      </c>
      <c r="E68" s="404" t="str">
        <f>'0_Total'!AH2</f>
        <v>Private e-bike</v>
      </c>
      <c r="F68" s="404" t="str">
        <f>LEFT('0_Total'!W2,34)&amp;")"</f>
        <v>Shared e-scooter (first generation)</v>
      </c>
      <c r="G68" s="404" t="str">
        <f>LEFT('0_Total'!AE2,32)&amp;")"</f>
        <v>Shared e-scooter (new generation)</v>
      </c>
      <c r="H68" s="404" t="str">
        <f>'0_Total'!AI2</f>
        <v>Shared bike</v>
      </c>
      <c r="I68" s="404" t="str">
        <f>'0_Total'!AJ2</f>
        <v>Shared e-bike</v>
      </c>
      <c r="J68" s="404" t="str">
        <f>'0_Total'!AK2</f>
        <v>Private moped - ICE</v>
      </c>
      <c r="K68" s="404" t="str">
        <f>'0_Total'!AL2</f>
        <v>Private moped - BEV</v>
      </c>
      <c r="L68" s="404" t="str">
        <f>'0_Total'!AM2</f>
        <v>Shared moped - ICE</v>
      </c>
      <c r="M68" s="404" t="str">
        <f>'0_Total'!AN2</f>
        <v>Shared moped - BEV</v>
      </c>
      <c r="N68" s="404" t="str">
        <f>'0_Total'!AO2</f>
        <v>Private car - ICE</v>
      </c>
      <c r="O68" s="404" t="str">
        <f>'0_Total'!AP2</f>
        <v>Private car - HEV</v>
      </c>
      <c r="P68" s="404" t="str">
        <f>'0_Total'!AQ2</f>
        <v>Private car - PHEV</v>
      </c>
      <c r="Q68" s="404" t="str">
        <f>'0_Total'!AX2</f>
        <v>Private car - BEV</v>
      </c>
      <c r="R68" s="404" t="str">
        <f>'0_Total'!BB2</f>
        <v>Private car - FCEV</v>
      </c>
      <c r="S68" s="404" t="str">
        <f>'0_Total'!CI2</f>
        <v>Taxi  HEV</v>
      </c>
      <c r="T68" s="404" t="str">
        <f>'0_Total'!CK2</f>
        <v>Taxi  BEV</v>
      </c>
      <c r="U68" s="404" t="str">
        <f>'0_Total'!CL2</f>
        <v>Taxi  BEV (two packs)</v>
      </c>
      <c r="V68" s="404" t="str">
        <f>'0_Total'!CM2</f>
        <v>Taxi - FCEV</v>
      </c>
      <c r="W68" s="404" t="str">
        <f>'0_Total'!BI2</f>
        <v>Ridesourcing - car - ICE</v>
      </c>
      <c r="X68" s="404" t="str">
        <f>'0_Total'!BJ2</f>
        <v>Ridesourcing - car - HEV</v>
      </c>
      <c r="Y68" s="404" t="str">
        <f>'0_Total'!BK2</f>
        <v>Ridesourcing - car - PHEV</v>
      </c>
      <c r="Z68" s="404" t="str">
        <f>'0_Total'!BT2</f>
        <v>Ridesourcing - car - BEV</v>
      </c>
      <c r="AA68" s="404" t="str">
        <f>'0_Total'!CC2</f>
        <v>Ridesourcing - car - BEV (two packs)</v>
      </c>
      <c r="AB68" s="404" t="str">
        <f>'0_Total'!CG2</f>
        <v>Ridesourcing - car - FCEV</v>
      </c>
      <c r="AC68" s="404" t="str">
        <f>'0_Total'!DQ2</f>
        <v>Bus - ICE</v>
      </c>
      <c r="AD68" s="404" t="str">
        <f>'0_Total'!DR2</f>
        <v>Bus - HEV</v>
      </c>
      <c r="AE68" s="404" t="str">
        <f>'0_Total'!DU2</f>
        <v>Bus - BEV</v>
      </c>
      <c r="AF68" s="404" t="str">
        <f>'0_Total'!DT2</f>
        <v>Bus - BEV (two packs)</v>
      </c>
      <c r="AG68" s="404" t="str">
        <f>'0_Total'!DW2</f>
        <v>Bus - FCEV</v>
      </c>
      <c r="AH68" s="404" t="str">
        <f>'0_Total'!ED2</f>
        <v>Metro/urban train</v>
      </c>
      <c r="AJ68" s="402"/>
      <c r="AW68" s="402"/>
    </row>
    <row r="69" spans="2:49" x14ac:dyDescent="0.3">
      <c r="B69" s="405" t="str">
        <f>'0_Total'!A4&amp;" "&amp;'0_Total'!B4</f>
        <v>Lifetime (vehicle) [years]</v>
      </c>
      <c r="C69" s="407">
        <f>'0_Total'!D4</f>
        <v>3</v>
      </c>
      <c r="D69" s="407">
        <f>'0_Total'!AG4</f>
        <v>5.6</v>
      </c>
      <c r="E69" s="407">
        <f>'0_Total'!AH4</f>
        <v>5.6</v>
      </c>
      <c r="F69" s="407">
        <f>'0_Total'!W4</f>
        <v>0.83333333333333337</v>
      </c>
      <c r="G69" s="407">
        <f>'0_Total'!AE4</f>
        <v>1.9666666666666668</v>
      </c>
      <c r="H69" s="407">
        <f>'0_Total'!AI4</f>
        <v>1.9</v>
      </c>
      <c r="I69" s="407">
        <f>'0_Total'!AJ4</f>
        <v>1.9</v>
      </c>
      <c r="J69" s="407">
        <f>'0_Total'!AK4</f>
        <v>10</v>
      </c>
      <c r="K69" s="407">
        <f>'0_Total'!AL4</f>
        <v>10</v>
      </c>
      <c r="L69" s="407">
        <f>'0_Total'!AM4</f>
        <v>3.7</v>
      </c>
      <c r="M69" s="407">
        <f>'0_Total'!AN4</f>
        <v>3.7</v>
      </c>
      <c r="N69" s="409">
        <f>'0_Total'!AO4</f>
        <v>15</v>
      </c>
      <c r="O69" s="409">
        <f>'0_Total'!AP4</f>
        <v>15</v>
      </c>
      <c r="P69" s="409">
        <f>'0_Total'!AQ4</f>
        <v>15</v>
      </c>
      <c r="Q69" s="409">
        <f>'0_Total'!AX4</f>
        <v>15</v>
      </c>
      <c r="R69" s="409">
        <f>'0_Total'!BB4</f>
        <v>15</v>
      </c>
      <c r="S69" s="409">
        <f>'0_Total'!CI4</f>
        <v>7.0735718042434765</v>
      </c>
      <c r="T69" s="409">
        <f>'0_Total'!CK4</f>
        <v>7.0735718042434765</v>
      </c>
      <c r="U69" s="409">
        <f>'0_Total'!CL4</f>
        <v>7.0735718042434765</v>
      </c>
      <c r="V69" s="409">
        <f>'0_Total'!CM4</f>
        <v>7.0735718042434765</v>
      </c>
      <c r="W69" s="409">
        <f>'0_Total'!BI4</f>
        <v>7.0735718042434765</v>
      </c>
      <c r="X69" s="409">
        <f>'0_Total'!BJ4</f>
        <v>7.0735718042434765</v>
      </c>
      <c r="Y69" s="409">
        <f>'0_Total'!BK4</f>
        <v>7.0735718042434765</v>
      </c>
      <c r="Z69" s="409">
        <f>'0_Total'!BT4</f>
        <v>7.0735718042434765</v>
      </c>
      <c r="AA69" s="409">
        <f>'0_Total'!CC4</f>
        <v>7.0735718042434765</v>
      </c>
      <c r="AB69" s="409">
        <f>'0_Total'!CG4</f>
        <v>7.0735718042434765</v>
      </c>
      <c r="AC69" s="409">
        <f>'0_Total'!DQ4</f>
        <v>9</v>
      </c>
      <c r="AD69" s="409">
        <f>'0_Total'!DR4</f>
        <v>9</v>
      </c>
      <c r="AE69" s="409">
        <f>'0_Total'!DU4</f>
        <v>9</v>
      </c>
      <c r="AF69" s="409">
        <f>'0_Total'!DT4</f>
        <v>9</v>
      </c>
      <c r="AG69" s="409">
        <f>'0_Total'!DW4</f>
        <v>9</v>
      </c>
      <c r="AH69" s="407">
        <f>'0_Total'!ED4</f>
        <v>40</v>
      </c>
      <c r="AJ69" s="350"/>
      <c r="AO69" s="349"/>
      <c r="AW69" s="350"/>
    </row>
    <row r="70" spans="2:49" x14ac:dyDescent="0.3">
      <c r="B70" s="405" t="str">
        <f>'0_Total'!A5&amp;" "&amp;'0_Total'!B5</f>
        <v>Annual mileage (active km, including cruising and overheading) [km/year]</v>
      </c>
      <c r="C70" s="406">
        <f>'0_Total'!D5</f>
        <v>2200</v>
      </c>
      <c r="D70" s="406">
        <f>'0_Total'!AG5</f>
        <v>2400</v>
      </c>
      <c r="E70" s="406">
        <f>'0_Total'!AH5</f>
        <v>2400</v>
      </c>
      <c r="F70" s="406">
        <f>'0_Total'!W5</f>
        <v>2900</v>
      </c>
      <c r="G70" s="406">
        <f>'0_Total'!AE5</f>
        <v>2900</v>
      </c>
      <c r="H70" s="406">
        <f>'0_Total'!AI5</f>
        <v>2900</v>
      </c>
      <c r="I70" s="406">
        <f>'0_Total'!AJ5</f>
        <v>2900</v>
      </c>
      <c r="J70" s="406">
        <f>'0_Total'!AK5</f>
        <v>4900</v>
      </c>
      <c r="K70" s="406">
        <f>'0_Total'!AL5</f>
        <v>4900</v>
      </c>
      <c r="L70" s="406">
        <f>'0_Total'!AM5</f>
        <v>5300</v>
      </c>
      <c r="M70" s="406">
        <f>'0_Total'!AN5</f>
        <v>5300</v>
      </c>
      <c r="N70" s="410">
        <f>'0_Total'!AO5</f>
        <v>12100</v>
      </c>
      <c r="O70" s="410">
        <f>'0_Total'!AP5</f>
        <v>12100</v>
      </c>
      <c r="P70" s="410">
        <f>'0_Total'!AQ5</f>
        <v>12100</v>
      </c>
      <c r="Q70" s="410">
        <f>'0_Total'!AX5</f>
        <v>12100</v>
      </c>
      <c r="R70" s="410">
        <f>'0_Total'!BB5</f>
        <v>12100</v>
      </c>
      <c r="S70" s="410">
        <f>'0_Total'!CI5</f>
        <v>48000</v>
      </c>
      <c r="T70" s="410">
        <f>'0_Total'!CK5</f>
        <v>48000</v>
      </c>
      <c r="U70" s="410">
        <f>'0_Total'!CL5</f>
        <v>48000</v>
      </c>
      <c r="V70" s="410">
        <f>'0_Total'!CM5</f>
        <v>48000</v>
      </c>
      <c r="W70" s="410">
        <f>'0_Total'!BI5</f>
        <v>48000</v>
      </c>
      <c r="X70" s="410">
        <f>'0_Total'!BJ5</f>
        <v>48000</v>
      </c>
      <c r="Y70" s="410">
        <f>'0_Total'!BK5</f>
        <v>48000</v>
      </c>
      <c r="Z70" s="410">
        <f>'0_Total'!BT5</f>
        <v>48000</v>
      </c>
      <c r="AA70" s="410">
        <f>'0_Total'!CC5</f>
        <v>48000</v>
      </c>
      <c r="AB70" s="410">
        <f>'0_Total'!CG5</f>
        <v>48000</v>
      </c>
      <c r="AC70" s="410">
        <f>'0_Total'!DQ5</f>
        <v>44000</v>
      </c>
      <c r="AD70" s="410">
        <f>'0_Total'!DR5</f>
        <v>44000</v>
      </c>
      <c r="AE70" s="410">
        <f>'0_Total'!DU5</f>
        <v>44000</v>
      </c>
      <c r="AF70" s="410">
        <f>'0_Total'!DT5</f>
        <v>44000</v>
      </c>
      <c r="AG70" s="410">
        <f>'0_Total'!DW5</f>
        <v>44000</v>
      </c>
      <c r="AH70" s="406">
        <f>'0_Total'!ED5</f>
        <v>66000</v>
      </c>
      <c r="AJ70" s="350"/>
      <c r="AO70" s="349"/>
      <c r="AW70" s="350"/>
    </row>
    <row r="71" spans="2:49" x14ac:dyDescent="0.3">
      <c r="B71" s="405" t="str">
        <f>'0_Total'!A6&amp;" "&amp;'0_Total'!B6</f>
        <v>Daily mileage [km/day]</v>
      </c>
      <c r="C71" s="407">
        <f>'0_Total'!D6</f>
        <v>6.0273972602739727</v>
      </c>
      <c r="D71" s="407">
        <f>'0_Total'!AG6</f>
        <v>6.5753424657534243</v>
      </c>
      <c r="E71" s="407">
        <f>'0_Total'!AH6</f>
        <v>6.5753424657534243</v>
      </c>
      <c r="F71" s="407">
        <f>'0_Total'!W6</f>
        <v>7.9452054794520546</v>
      </c>
      <c r="G71" s="407">
        <f>'0_Total'!AE6</f>
        <v>7.9452054794520546</v>
      </c>
      <c r="H71" s="407">
        <f>'0_Total'!AI6</f>
        <v>7.9452054794520546</v>
      </c>
      <c r="I71" s="407">
        <f>'0_Total'!AJ6</f>
        <v>7.9452054794520546</v>
      </c>
      <c r="J71" s="407">
        <f>'0_Total'!AK6</f>
        <v>13.424657534246576</v>
      </c>
      <c r="K71" s="407">
        <f>'0_Total'!AL6</f>
        <v>13.424657534246576</v>
      </c>
      <c r="L71" s="407">
        <f>'0_Total'!AM6</f>
        <v>14.520547945205479</v>
      </c>
      <c r="M71" s="407">
        <f>'0_Total'!AN6</f>
        <v>14.520547945205479</v>
      </c>
      <c r="N71" s="409">
        <f>'0_Total'!AO6</f>
        <v>33.150684931506852</v>
      </c>
      <c r="O71" s="409">
        <f>'0_Total'!AP6</f>
        <v>33.150684931506852</v>
      </c>
      <c r="P71" s="409">
        <f>'0_Total'!AQ6</f>
        <v>33.150684931506852</v>
      </c>
      <c r="Q71" s="409">
        <f>'0_Total'!AX6</f>
        <v>33.150684931506852</v>
      </c>
      <c r="R71" s="409">
        <f>'0_Total'!BB6</f>
        <v>33.150684931506852</v>
      </c>
      <c r="S71" s="409">
        <f>'0_Total'!CI6</f>
        <v>131.50684931506851</v>
      </c>
      <c r="T71" s="409">
        <f>'0_Total'!CK6</f>
        <v>131.50684931506851</v>
      </c>
      <c r="U71" s="409">
        <f>'0_Total'!CL6</f>
        <v>131.50684931506851</v>
      </c>
      <c r="V71" s="409">
        <f>'0_Total'!CM6</f>
        <v>131.50684931506851</v>
      </c>
      <c r="W71" s="409">
        <f>'0_Total'!BI6</f>
        <v>131.50684931506851</v>
      </c>
      <c r="X71" s="409">
        <f>'0_Total'!BJ6</f>
        <v>131.50684931506851</v>
      </c>
      <c r="Y71" s="409">
        <f>'0_Total'!BK6</f>
        <v>131.50684931506851</v>
      </c>
      <c r="Z71" s="409">
        <f>'0_Total'!BT6</f>
        <v>131.50684931506851</v>
      </c>
      <c r="AA71" s="409">
        <f>'0_Total'!CC6</f>
        <v>131.50684931506851</v>
      </c>
      <c r="AB71" s="409">
        <f>'0_Total'!CG6</f>
        <v>131.50684931506851</v>
      </c>
      <c r="AC71" s="409">
        <f>'0_Total'!DQ6</f>
        <v>120.54794520547945</v>
      </c>
      <c r="AD71" s="409">
        <f>'0_Total'!DR6</f>
        <v>120.54794520547945</v>
      </c>
      <c r="AE71" s="409">
        <f>'0_Total'!DU6</f>
        <v>120.54794520547945</v>
      </c>
      <c r="AF71" s="409">
        <f>'0_Total'!DT6</f>
        <v>120.54794520547945</v>
      </c>
      <c r="AG71" s="409">
        <f>'0_Total'!DW6</f>
        <v>120.54794520547945</v>
      </c>
      <c r="AH71" s="407">
        <f>'0_Total'!ED6</f>
        <v>180.82191780821918</v>
      </c>
      <c r="AJ71" s="350"/>
      <c r="AO71" s="349"/>
      <c r="AW71" s="350"/>
    </row>
    <row r="72" spans="2:49" x14ac:dyDescent="0.3">
      <c r="B72" s="405" t="str">
        <f>'0_Total'!A7&amp;" "&amp;'0_Total'!B7</f>
        <v>Lifetime mileage (use phase, including cruising and overheading for ride sourcing) [km/vehicle]</v>
      </c>
      <c r="C72" s="406">
        <f>'0_Total'!D7</f>
        <v>6600</v>
      </c>
      <c r="D72" s="406">
        <f>'0_Total'!AG7</f>
        <v>13440</v>
      </c>
      <c r="E72" s="406">
        <f>'0_Total'!AH7</f>
        <v>13440</v>
      </c>
      <c r="F72" s="406">
        <f>'0_Total'!W7</f>
        <v>2416.666666666667</v>
      </c>
      <c r="G72" s="406">
        <f>'0_Total'!AE7</f>
        <v>5703.3333333333339</v>
      </c>
      <c r="H72" s="406">
        <f>'0_Total'!AI7</f>
        <v>5510</v>
      </c>
      <c r="I72" s="406">
        <f>'0_Total'!AJ7</f>
        <v>5510</v>
      </c>
      <c r="J72" s="406">
        <f>'0_Total'!AK7</f>
        <v>49000</v>
      </c>
      <c r="K72" s="406">
        <f>'0_Total'!AL7</f>
        <v>49000</v>
      </c>
      <c r="L72" s="406">
        <f>'0_Total'!AM7</f>
        <v>19610</v>
      </c>
      <c r="M72" s="406">
        <f>'0_Total'!AN7</f>
        <v>19610</v>
      </c>
      <c r="N72" s="410">
        <f>'0_Total'!AO7</f>
        <v>181500</v>
      </c>
      <c r="O72" s="410">
        <f>'0_Total'!AP7</f>
        <v>181500</v>
      </c>
      <c r="P72" s="410">
        <f>'0_Total'!AQ7</f>
        <v>181500</v>
      </c>
      <c r="Q72" s="410">
        <f>'0_Total'!AX7</f>
        <v>181500</v>
      </c>
      <c r="R72" s="410">
        <f>'0_Total'!BB7</f>
        <v>181500</v>
      </c>
      <c r="S72" s="410">
        <f>'0_Total'!CI7</f>
        <v>339531.4466036869</v>
      </c>
      <c r="T72" s="410">
        <f>'0_Total'!CK7</f>
        <v>339531.4466036869</v>
      </c>
      <c r="U72" s="410">
        <f>'0_Total'!CL7</f>
        <v>339531.4466036869</v>
      </c>
      <c r="V72" s="410">
        <f>'0_Total'!CM7</f>
        <v>339531.4466036869</v>
      </c>
      <c r="W72" s="410">
        <f>'0_Total'!BI7</f>
        <v>339531.4466036869</v>
      </c>
      <c r="X72" s="410">
        <f>'0_Total'!BJ7</f>
        <v>339531.4466036869</v>
      </c>
      <c r="Y72" s="410">
        <f>'0_Total'!BK7</f>
        <v>339531.4466036869</v>
      </c>
      <c r="Z72" s="410">
        <f>'0_Total'!BT7</f>
        <v>339531.4466036869</v>
      </c>
      <c r="AA72" s="410">
        <f>'0_Total'!CC7</f>
        <v>339531.4466036869</v>
      </c>
      <c r="AB72" s="410">
        <f>'0_Total'!CG7</f>
        <v>339531.4466036869</v>
      </c>
      <c r="AC72" s="410">
        <f>'0_Total'!DQ7</f>
        <v>396000</v>
      </c>
      <c r="AD72" s="410">
        <f>'0_Total'!DR7</f>
        <v>396000</v>
      </c>
      <c r="AE72" s="410">
        <f>'0_Total'!DU7</f>
        <v>396000</v>
      </c>
      <c r="AF72" s="410">
        <f>'0_Total'!DT7</f>
        <v>396000</v>
      </c>
      <c r="AG72" s="410">
        <f>'0_Total'!DW7</f>
        <v>396000</v>
      </c>
      <c r="AH72" s="406">
        <f>'0_Total'!ED7</f>
        <v>2640000</v>
      </c>
      <c r="AJ72" s="350"/>
      <c r="AO72" s="349"/>
      <c r="AW72" s="350"/>
    </row>
    <row r="73" spans="2:49" x14ac:dyDescent="0.3">
      <c r="B73" s="405" t="str">
        <f>'0_Total'!A10&amp;" "&amp;'0_Total'!B10</f>
        <v>Vehicle weight [kg]</v>
      </c>
      <c r="C73" s="406">
        <f>'0_Total'!D10</f>
        <v>10.881479876872589</v>
      </c>
      <c r="D73" s="406">
        <f>'0_Total'!AG10</f>
        <v>20.6448</v>
      </c>
      <c r="E73" s="406">
        <f>'0_Total'!AH10</f>
        <v>23.296279876872589</v>
      </c>
      <c r="F73" s="406">
        <f>'0_Total'!W10</f>
        <v>10.881479876872589</v>
      </c>
      <c r="G73" s="406">
        <f>'0_Total'!AE10</f>
        <v>24.636668958139129</v>
      </c>
      <c r="H73" s="406">
        <f>'0_Total'!AI10</f>
        <v>26.633600000000001</v>
      </c>
      <c r="I73" s="406">
        <f>'0_Total'!AJ10</f>
        <v>30.833600000000001</v>
      </c>
      <c r="J73" s="406">
        <f>'0_Total'!AK10</f>
        <v>94</v>
      </c>
      <c r="K73" s="406">
        <f>'0_Total'!AL10</f>
        <v>82.86820809248556</v>
      </c>
      <c r="L73" s="406">
        <f>'0_Total'!AM10</f>
        <v>94</v>
      </c>
      <c r="M73" s="406">
        <f>'0_Total'!AN10</f>
        <v>82.86820809248556</v>
      </c>
      <c r="N73" s="406">
        <f>'0_Total'!AO10</f>
        <v>1494.1010327851752</v>
      </c>
      <c r="O73" s="406">
        <f>'0_Total'!AP10</f>
        <v>1581.4712309860752</v>
      </c>
      <c r="P73" s="406">
        <f>'0_Total'!AQ10</f>
        <v>1661.4710705892749</v>
      </c>
      <c r="Q73" s="406">
        <f>'0_Total'!AX10</f>
        <v>1392.6061731980951</v>
      </c>
      <c r="R73" s="406">
        <f>'0_Total'!BB10</f>
        <v>1678.6055997795354</v>
      </c>
      <c r="S73" s="406">
        <f>'0_Total'!CI10</f>
        <v>1581.4712309860752</v>
      </c>
      <c r="T73" s="406">
        <f>'0_Total'!CK10</f>
        <v>1392.6061731980951</v>
      </c>
      <c r="U73" s="406">
        <f>'0_Total'!CL10</f>
        <v>1392.6061731980951</v>
      </c>
      <c r="V73" s="406">
        <f>'0_Total'!CM10</f>
        <v>1678.6055997795354</v>
      </c>
      <c r="W73" s="406">
        <f>'0_Total'!BI10</f>
        <v>1494.1010327851752</v>
      </c>
      <c r="X73" s="406">
        <f>'0_Total'!BJ10</f>
        <v>1581.4712309860752</v>
      </c>
      <c r="Y73" s="406">
        <f>'0_Total'!BK10</f>
        <v>1661.4710705892749</v>
      </c>
      <c r="Z73" s="406">
        <f>'0_Total'!BT10</f>
        <v>1392.6061731980951</v>
      </c>
      <c r="AA73" s="406">
        <f>'0_Total'!CC10</f>
        <v>1392.6061731980951</v>
      </c>
      <c r="AB73" s="406">
        <f>'0_Total'!CG10</f>
        <v>1678.6055997795354</v>
      </c>
      <c r="AC73" s="406">
        <f>'0_Total'!DQ10</f>
        <v>10398</v>
      </c>
      <c r="AD73" s="406">
        <f>'0_Total'!DR10</f>
        <v>10230</v>
      </c>
      <c r="AE73" s="406">
        <f>'0_Total'!DU10</f>
        <v>11606.514836002854</v>
      </c>
      <c r="AF73" s="406">
        <f>'0_Total'!DT10</f>
        <v>11606.514836002854</v>
      </c>
      <c r="AG73" s="406">
        <f>'0_Total'!DW10</f>
        <v>12114.258414449205</v>
      </c>
      <c r="AH73" s="406">
        <f>'0_Total'!ED10</f>
        <v>186000</v>
      </c>
      <c r="AJ73" s="350"/>
      <c r="AO73" s="349"/>
      <c r="AW73" s="350"/>
    </row>
    <row r="74" spans="2:49" x14ac:dyDescent="0.3">
      <c r="B74" s="405" t="str">
        <f>'0_Total'!A11&amp;" "&amp;'0_Total'!B11</f>
        <v>Battery capacity [kWh]</v>
      </c>
      <c r="C74" s="408">
        <f>'0_Total'!D11</f>
        <v>0.33</v>
      </c>
      <c r="D74" s="408">
        <f>'0_Total'!AG11</f>
        <v>0</v>
      </c>
      <c r="E74" s="408">
        <f>'0_Total'!AH11</f>
        <v>0.48328767123287675</v>
      </c>
      <c r="F74" s="408">
        <f>'0_Total'!W11</f>
        <v>0.33</v>
      </c>
      <c r="G74" s="408">
        <f>'0_Total'!AE11</f>
        <v>0.55100000000000005</v>
      </c>
      <c r="H74" s="408">
        <f>'0_Total'!AI11</f>
        <v>0</v>
      </c>
      <c r="I74" s="408">
        <f>'0_Total'!AJ11</f>
        <v>0.48328767123287675</v>
      </c>
      <c r="J74" s="408">
        <f>'0_Total'!AK11</f>
        <v>0</v>
      </c>
      <c r="K74" s="408">
        <f>'0_Total'!AL11</f>
        <v>1.3</v>
      </c>
      <c r="L74" s="408">
        <f>'0_Total'!AM11</f>
        <v>0</v>
      </c>
      <c r="M74" s="408">
        <f>'0_Total'!AN11</f>
        <v>2.6</v>
      </c>
      <c r="N74" s="407">
        <f>'0_Total'!AO11</f>
        <v>0</v>
      </c>
      <c r="O74" s="407">
        <f>'0_Total'!AP11</f>
        <v>2.1411100330896784</v>
      </c>
      <c r="P74" s="406">
        <f>'0_Total'!AQ11</f>
        <v>15.273378000000001</v>
      </c>
      <c r="Q74" s="406">
        <f>'0_Total'!AX11</f>
        <v>60</v>
      </c>
      <c r="R74" s="407">
        <f>'0_Total'!BB11</f>
        <v>2.1411100330896784</v>
      </c>
      <c r="S74" s="406">
        <f>'0_Total'!CI11</f>
        <v>2.1411100330896784</v>
      </c>
      <c r="T74" s="406">
        <f>'0_Total'!CK11</f>
        <v>70</v>
      </c>
      <c r="U74" s="406">
        <f>'0_Total'!CL11</f>
        <v>140</v>
      </c>
      <c r="V74" s="406">
        <f>'0_Total'!CM11</f>
        <v>2.1411100330896784</v>
      </c>
      <c r="W74" s="406">
        <f>'0_Total'!BI11</f>
        <v>0</v>
      </c>
      <c r="X74" s="406">
        <f>'0_Total'!BJ11</f>
        <v>2.1411100330896784</v>
      </c>
      <c r="Y74" s="406">
        <f>'0_Total'!BK11</f>
        <v>15.273378000000001</v>
      </c>
      <c r="Z74" s="406">
        <f>'0_Total'!BT11</f>
        <v>70</v>
      </c>
      <c r="AA74" s="406">
        <f>'0_Total'!CC11</f>
        <v>140</v>
      </c>
      <c r="AB74" s="407">
        <f>'0_Total'!CG11</f>
        <v>2.1411100330896784</v>
      </c>
      <c r="AC74" s="406">
        <f>'0_Total'!DQ11</f>
        <v>0</v>
      </c>
      <c r="AD74" s="406">
        <f>'0_Total'!DR11</f>
        <v>20</v>
      </c>
      <c r="AE74" s="406">
        <f>'0_Total'!DU11</f>
        <v>325</v>
      </c>
      <c r="AF74" s="406">
        <f>'0_Total'!DT11</f>
        <v>650</v>
      </c>
      <c r="AG74" s="406">
        <f>'0_Total'!DW11</f>
        <v>20</v>
      </c>
      <c r="AH74" s="406">
        <f>'0_Total'!ED11</f>
        <v>0</v>
      </c>
      <c r="AJ74" s="350"/>
      <c r="AO74" s="349"/>
      <c r="AW74" s="350"/>
    </row>
    <row r="75" spans="2:49" x14ac:dyDescent="0.3">
      <c r="B75" s="405" t="str">
        <f>'0_Total'!A16&amp;" "&amp;'0_Total'!B16</f>
        <v>Average number of passengers [pkm/vkm]</v>
      </c>
      <c r="C75" s="407">
        <f>'0_Total'!D16</f>
        <v>1</v>
      </c>
      <c r="D75" s="407">
        <f>'0_Total'!AG16</f>
        <v>1</v>
      </c>
      <c r="E75" s="407">
        <f>'0_Total'!AH16</f>
        <v>1</v>
      </c>
      <c r="F75" s="407">
        <f>'0_Total'!W16</f>
        <v>1</v>
      </c>
      <c r="G75" s="407">
        <f>'0_Total'!AE16</f>
        <v>1</v>
      </c>
      <c r="H75" s="407">
        <f>'0_Total'!AI16</f>
        <v>1</v>
      </c>
      <c r="I75" s="407">
        <f>'0_Total'!AJ16</f>
        <v>1</v>
      </c>
      <c r="J75" s="407">
        <f>'0_Total'!AK16</f>
        <v>1</v>
      </c>
      <c r="K75" s="407">
        <f>'0_Total'!AL16</f>
        <v>1</v>
      </c>
      <c r="L75" s="407">
        <f>'0_Total'!AM16</f>
        <v>1</v>
      </c>
      <c r="M75" s="407">
        <f>'0_Total'!AN16</f>
        <v>1</v>
      </c>
      <c r="N75" s="407">
        <f>'0_Total'!AO16</f>
        <v>1.5</v>
      </c>
      <c r="O75" s="407">
        <f>'0_Total'!AP16</f>
        <v>1.5</v>
      </c>
      <c r="P75" s="407">
        <f>'0_Total'!AQ16</f>
        <v>1.5</v>
      </c>
      <c r="Q75" s="407">
        <f>'0_Total'!AX16</f>
        <v>1.5</v>
      </c>
      <c r="R75" s="407">
        <f>'0_Total'!BB16</f>
        <v>1.5</v>
      </c>
      <c r="S75" s="407">
        <f>'0_Total'!CI16</f>
        <v>0.73275269645188168</v>
      </c>
      <c r="T75" s="407">
        <f>'0_Total'!CK16</f>
        <v>0.73275269645188168</v>
      </c>
      <c r="U75" s="407">
        <f>'0_Total'!CL16</f>
        <v>0.73275269645188168</v>
      </c>
      <c r="V75" s="407">
        <f>'0_Total'!CM16</f>
        <v>0.73275269645188168</v>
      </c>
      <c r="W75" s="407">
        <f>'0_Total'!BI16</f>
        <v>0.95188235294117651</v>
      </c>
      <c r="X75" s="407">
        <f>'0_Total'!BJ16</f>
        <v>0.95188235294117651</v>
      </c>
      <c r="Y75" s="407">
        <f>'0_Total'!BK16</f>
        <v>0.95188235294117651</v>
      </c>
      <c r="Z75" s="407">
        <f>'0_Total'!BT16</f>
        <v>0.95188235294117651</v>
      </c>
      <c r="AA75" s="407">
        <f>'0_Total'!CC16</f>
        <v>0.95188235294117651</v>
      </c>
      <c r="AB75" s="407">
        <f>'0_Total'!CG16</f>
        <v>0.95188235294117651</v>
      </c>
      <c r="AC75" s="406">
        <f>'0_Total'!DQ16</f>
        <v>17</v>
      </c>
      <c r="AD75" s="406">
        <f>'0_Total'!DR16</f>
        <v>17</v>
      </c>
      <c r="AE75" s="406">
        <f>'0_Total'!DU16</f>
        <v>17</v>
      </c>
      <c r="AF75" s="406">
        <f>'0_Total'!DT16</f>
        <v>17</v>
      </c>
      <c r="AG75" s="406">
        <f>'0_Total'!DW16</f>
        <v>17</v>
      </c>
      <c r="AH75" s="406">
        <f>'0_Total'!ED16</f>
        <v>190</v>
      </c>
      <c r="AJ75" s="350"/>
      <c r="AO75" s="349"/>
      <c r="AW75" s="350"/>
    </row>
    <row r="76" spans="2:49" x14ac:dyDescent="0.3">
      <c r="B76" s="405" t="str">
        <f>'0_Total'!A19&amp;" "&amp;'0_Total'!B19</f>
        <v>Vehicle required to provide operational services [type]</v>
      </c>
      <c r="C76" s="406" t="str">
        <f>'0_Total'!D19</f>
        <v>None</v>
      </c>
      <c r="D76" s="406" t="str">
        <f>'0_Total'!AG19</f>
        <v>None</v>
      </c>
      <c r="E76" s="406" t="str">
        <f>'0_Total'!AH19</f>
        <v>None</v>
      </c>
      <c r="F76" s="406" t="str">
        <f>'0_Total'!W19</f>
        <v>Van - ICE</v>
      </c>
      <c r="G76" s="406" t="str">
        <f>'0_Total'!AE19</f>
        <v>Van - ICE</v>
      </c>
      <c r="H76" s="406" t="str">
        <f>'0_Total'!AI19</f>
        <v>Van - ICE</v>
      </c>
      <c r="I76" s="406" t="str">
        <f>'0_Total'!AJ19</f>
        <v>Van - ICE</v>
      </c>
      <c r="J76" s="406" t="str">
        <f>'0_Total'!AK19</f>
        <v>None</v>
      </c>
      <c r="K76" s="406" t="str">
        <f>'0_Total'!AL19</f>
        <v>None</v>
      </c>
      <c r="L76" s="406" t="str">
        <f>'0_Total'!AM19</f>
        <v>None</v>
      </c>
      <c r="M76" s="406" t="str">
        <f>'0_Total'!AN19</f>
        <v>Van - ICE</v>
      </c>
      <c r="N76" s="406" t="str">
        <f>'0_Total'!AO19</f>
        <v>None</v>
      </c>
      <c r="O76" s="406" t="str">
        <f>'0_Total'!AP19</f>
        <v>None</v>
      </c>
      <c r="P76" s="406" t="str">
        <f>'0_Total'!AQ19</f>
        <v>None</v>
      </c>
      <c r="Q76" s="406" t="str">
        <f>'0_Total'!AX19</f>
        <v>None</v>
      </c>
      <c r="R76" s="406" t="str">
        <f>'0_Total'!BB19</f>
        <v>None</v>
      </c>
      <c r="S76" s="406" t="str">
        <f>'0_Total'!CI19</f>
        <v>Taxi  HEV</v>
      </c>
      <c r="T76" s="406" t="str">
        <f>'0_Total'!CK19</f>
        <v>Taxi  BEV</v>
      </c>
      <c r="U76" s="406" t="str">
        <f>'0_Total'!CL19</f>
        <v>Taxi  BEV (two packs)</v>
      </c>
      <c r="V76" s="406" t="str">
        <f>'0_Total'!CM19</f>
        <v>Taxi - FCEV</v>
      </c>
      <c r="W76" s="406" t="str">
        <f>'0_Total'!BI19</f>
        <v>Ridesourcing - car - ICE</v>
      </c>
      <c r="X76" s="406" t="str">
        <f>'0_Total'!BJ19</f>
        <v>Ridesourcing - car - HEV</v>
      </c>
      <c r="Y76" s="406" t="str">
        <f>'0_Total'!BK19</f>
        <v>Ridesourcing - car - PHEV</v>
      </c>
      <c r="Z76" s="406" t="str">
        <f>'0_Total'!BT19</f>
        <v>Ridesourcing - car - BEV</v>
      </c>
      <c r="AA76" s="406" t="str">
        <f>'0_Total'!CC19</f>
        <v>Ridesourcing - car - BEV (two packs)</v>
      </c>
      <c r="AB76" s="406" t="str">
        <f>'0_Total'!CG19</f>
        <v>Ridesourcing - car - FCEV</v>
      </c>
      <c r="AC76" s="406" t="str">
        <f>'0_Total'!DQ19</f>
        <v>Bus - ICE</v>
      </c>
      <c r="AD76" s="406" t="str">
        <f>'0_Total'!DR19</f>
        <v>Bus - HEV</v>
      </c>
      <c r="AE76" s="406" t="str">
        <f>'0_Total'!DU19</f>
        <v>Bus - BEV</v>
      </c>
      <c r="AF76" s="406" t="str">
        <f>'0_Total'!DT19</f>
        <v>Bus - BEV (two packs)</v>
      </c>
      <c r="AG76" s="406" t="str">
        <f>'0_Total'!DW19</f>
        <v>Bus - FCEV</v>
      </c>
      <c r="AH76" s="406" t="str">
        <f>'0_Total'!ED19</f>
        <v>None</v>
      </c>
      <c r="AJ76" s="350"/>
      <c r="AO76" s="349"/>
      <c r="AW76" s="350"/>
    </row>
    <row r="77" spans="2:49" x14ac:dyDescent="0.3">
      <c r="B77" s="405" t="str">
        <f>'0_Total'!A20&amp;" "&amp;'0_Total'!B20</f>
        <v>Travel requirement for vehicle providing operational services [km of service vehicle trip/day/vehicle]</v>
      </c>
      <c r="C77" s="406" t="s">
        <v>590</v>
      </c>
      <c r="D77" s="406" t="s">
        <v>590</v>
      </c>
      <c r="E77" s="406" t="s">
        <v>590</v>
      </c>
      <c r="F77" s="406">
        <f>'0_Total'!W20</f>
        <v>11.25</v>
      </c>
      <c r="G77" s="406">
        <f>'0_Total'!AE20</f>
        <v>11.25</v>
      </c>
      <c r="H77" s="406">
        <f>'0_Total'!AI20</f>
        <v>5.625</v>
      </c>
      <c r="I77" s="406">
        <f>'0_Total'!AJ20</f>
        <v>11.25</v>
      </c>
      <c r="J77" s="406" t="s">
        <v>590</v>
      </c>
      <c r="K77" s="406" t="s">
        <v>590</v>
      </c>
      <c r="L77" s="406">
        <f>'0_Total'!AM20</f>
        <v>0</v>
      </c>
      <c r="M77" s="406">
        <f>'0_Total'!AN20</f>
        <v>11.25</v>
      </c>
      <c r="N77" s="406" t="s">
        <v>590</v>
      </c>
      <c r="O77" s="406" t="s">
        <v>590</v>
      </c>
      <c r="P77" s="406" t="s">
        <v>590</v>
      </c>
      <c r="Q77" s="406" t="s">
        <v>590</v>
      </c>
      <c r="R77" s="406" t="s">
        <v>590</v>
      </c>
      <c r="S77" s="406">
        <f>'0_Total'!CI20</f>
        <v>23.420596293311849</v>
      </c>
      <c r="T77" s="406">
        <f>'0_Total'!CK20</f>
        <v>23.420596293311849</v>
      </c>
      <c r="U77" s="406">
        <f>'0_Total'!CL20</f>
        <v>23.420596293311849</v>
      </c>
      <c r="V77" s="406">
        <f>'0_Total'!CM20</f>
        <v>23.420596293311849</v>
      </c>
      <c r="W77" s="406">
        <f>'0_Total'!BI20</f>
        <v>23.420596293311849</v>
      </c>
      <c r="X77" s="406">
        <f>'0_Total'!BJ20</f>
        <v>23.420596293311849</v>
      </c>
      <c r="Y77" s="406">
        <f>'0_Total'!BK20</f>
        <v>23.420596293311849</v>
      </c>
      <c r="Z77" s="406">
        <f>'0_Total'!BT20</f>
        <v>23.420596293311849</v>
      </c>
      <c r="AA77" s="406">
        <f>'0_Total'!CC20</f>
        <v>23.420596293311849</v>
      </c>
      <c r="AB77" s="406">
        <f>'0_Total'!CG20</f>
        <v>23.420596293311849</v>
      </c>
      <c r="AC77" s="406">
        <f>'0_Total'!DQ20</f>
        <v>13.394216133942162</v>
      </c>
      <c r="AD77" s="406">
        <f>'0_Total'!DR20</f>
        <v>13.394216133942162</v>
      </c>
      <c r="AE77" s="406">
        <f>'0_Total'!DU20</f>
        <v>13.394216133942162</v>
      </c>
      <c r="AF77" s="406">
        <f>'0_Total'!DT20</f>
        <v>13.394216133942162</v>
      </c>
      <c r="AG77" s="406">
        <f>'0_Total'!DW20</f>
        <v>13.394216133942162</v>
      </c>
      <c r="AH77" s="406" t="s">
        <v>590</v>
      </c>
      <c r="AJ77" s="350"/>
      <c r="AO77" s="349"/>
      <c r="AW77" s="350"/>
    </row>
    <row r="78" spans="2:49" x14ac:dyDescent="0.3">
      <c r="B78" s="405" t="str">
        <f>'0_Total'!A21&amp;" "&amp;'0_Total'!B21</f>
        <v>Average number of vehicles taken care of by a single service vehicle trip [vehicles/service vehicle trip]</v>
      </c>
      <c r="C78" s="406" t="s">
        <v>590</v>
      </c>
      <c r="D78" s="406" t="s">
        <v>590</v>
      </c>
      <c r="E78" s="406" t="s">
        <v>590</v>
      </c>
      <c r="F78" s="406">
        <f>'0_Total'!W21</f>
        <v>10</v>
      </c>
      <c r="G78" s="406">
        <f>'0_Total'!AE21</f>
        <v>14.058333333333334</v>
      </c>
      <c r="H78" s="406">
        <f>'0_Total'!AI21</f>
        <v>7.0291666666666668</v>
      </c>
      <c r="I78" s="406">
        <f>'0_Total'!AJ21</f>
        <v>14.058333333333334</v>
      </c>
      <c r="J78" s="406" t="s">
        <v>590</v>
      </c>
      <c r="K78" s="406" t="s">
        <v>590</v>
      </c>
      <c r="L78" s="406">
        <f>'0_Total'!AM21</f>
        <v>0</v>
      </c>
      <c r="M78" s="406">
        <f>'0_Total'!AN21</f>
        <v>14.058333333333334</v>
      </c>
      <c r="N78" s="406" t="s">
        <v>590</v>
      </c>
      <c r="O78" s="406" t="s">
        <v>590</v>
      </c>
      <c r="P78" s="406" t="s">
        <v>590</v>
      </c>
      <c r="Q78" s="406" t="s">
        <v>590</v>
      </c>
      <c r="R78" s="406" t="s">
        <v>590</v>
      </c>
      <c r="S78" s="406">
        <f>'0_Total'!CI21</f>
        <v>1</v>
      </c>
      <c r="T78" s="406">
        <f>'0_Total'!CK21</f>
        <v>1</v>
      </c>
      <c r="U78" s="406">
        <f>'0_Total'!CL21</f>
        <v>1</v>
      </c>
      <c r="V78" s="406">
        <f>'0_Total'!CM21</f>
        <v>1</v>
      </c>
      <c r="W78" s="406">
        <f>'0_Total'!BI21</f>
        <v>1</v>
      </c>
      <c r="X78" s="406">
        <f>'0_Total'!BJ21</f>
        <v>1</v>
      </c>
      <c r="Y78" s="406">
        <f>'0_Total'!BK21</f>
        <v>1</v>
      </c>
      <c r="Z78" s="406">
        <f>'0_Total'!BT21</f>
        <v>1</v>
      </c>
      <c r="AA78" s="406">
        <f>'0_Total'!CC21</f>
        <v>1</v>
      </c>
      <c r="AB78" s="406">
        <f>'0_Total'!CG21</f>
        <v>1</v>
      </c>
      <c r="AC78" s="406">
        <f>'0_Total'!DQ21</f>
        <v>1</v>
      </c>
      <c r="AD78" s="406">
        <f>'0_Total'!DR21</f>
        <v>1</v>
      </c>
      <c r="AE78" s="406">
        <f>'0_Total'!DU21</f>
        <v>1</v>
      </c>
      <c r="AF78" s="406">
        <f>'0_Total'!DT21</f>
        <v>1</v>
      </c>
      <c r="AG78" s="406">
        <f>'0_Total'!DW21</f>
        <v>1</v>
      </c>
      <c r="AH78" s="406" t="s">
        <v>590</v>
      </c>
      <c r="AJ78" s="350"/>
      <c r="AO78" s="349"/>
      <c r="AW78" s="350"/>
    </row>
    <row r="79" spans="2:49" s="354" customFormat="1" x14ac:dyDescent="0.3">
      <c r="B79" s="408" t="str">
        <f>'3_Use'!A3&amp;" "&amp;'3_Use'!B3</f>
        <v>Fuel use/km [Lge/100 km]</v>
      </c>
      <c r="C79" s="408">
        <f>'3_Use'!D3</f>
        <v>0</v>
      </c>
      <c r="D79" s="408">
        <f>'3_Use'!AG3</f>
        <v>0</v>
      </c>
      <c r="E79" s="408">
        <f>'3_Use'!AH3</f>
        <v>0</v>
      </c>
      <c r="F79" s="408">
        <f>'3_Use'!W3</f>
        <v>0</v>
      </c>
      <c r="G79" s="408">
        <f>'3_Use'!AE3</f>
        <v>0</v>
      </c>
      <c r="H79" s="408">
        <f>'3_Use'!AI3</f>
        <v>0</v>
      </c>
      <c r="I79" s="408">
        <f>'3_Use'!AJ3</f>
        <v>0</v>
      </c>
      <c r="J79" s="408">
        <f>'3_Use'!AK3</f>
        <v>1.9390547340857902</v>
      </c>
      <c r="K79" s="408">
        <f>'3_Use'!AL3</f>
        <v>0</v>
      </c>
      <c r="L79" s="408">
        <f>'3_Use'!AM3</f>
        <v>1.9390547340857902</v>
      </c>
      <c r="M79" s="408">
        <f>'3_Use'!AN3</f>
        <v>0</v>
      </c>
      <c r="N79" s="606">
        <f>'3_Use'!AO3</f>
        <v>6.8</v>
      </c>
      <c r="O79" s="606">
        <f>'3_Use'!AP3</f>
        <v>5.0653061224489804</v>
      </c>
      <c r="P79" s="606">
        <f>'3_Use'!AQ3</f>
        <v>5.0653061224489804</v>
      </c>
      <c r="Q79" s="606">
        <f>'3_Use'!AX3</f>
        <v>0</v>
      </c>
      <c r="R79" s="606">
        <f>'3_Use'!BB3</f>
        <v>0</v>
      </c>
      <c r="S79" s="606">
        <f>'3_Use'!CI3</f>
        <v>5.0653061224489804</v>
      </c>
      <c r="T79" s="606">
        <f>'3_Use'!CK3</f>
        <v>0</v>
      </c>
      <c r="U79" s="606">
        <f>'3_Use'!CL3</f>
        <v>0</v>
      </c>
      <c r="V79" s="606">
        <f>'3_Use'!CM3</f>
        <v>0</v>
      </c>
      <c r="W79" s="606">
        <f>'3_Use'!BI3</f>
        <v>6.8</v>
      </c>
      <c r="X79" s="606">
        <f>'3_Use'!BJ3</f>
        <v>5.0653061224489804</v>
      </c>
      <c r="Y79" s="606">
        <f>'3_Use'!BK3</f>
        <v>5.0653061224489804</v>
      </c>
      <c r="Z79" s="606">
        <f>'3_Use'!BT3</f>
        <v>0</v>
      </c>
      <c r="AA79" s="606">
        <f>'3_Use'!CC3</f>
        <v>0</v>
      </c>
      <c r="AB79" s="606">
        <f>'3_Use'!CG3</f>
        <v>0</v>
      </c>
      <c r="AC79" s="606">
        <f>'3_Use'!DQ3</f>
        <v>40.932410117056847</v>
      </c>
      <c r="AD79" s="606">
        <f>'3_Use'!DR3</f>
        <v>30.132062436503048</v>
      </c>
      <c r="AE79" s="606">
        <f>'3_Use'!DU3</f>
        <v>0</v>
      </c>
      <c r="AF79" s="606">
        <f>'3_Use'!DT3</f>
        <v>0</v>
      </c>
      <c r="AG79" s="606">
        <f>'3_Use'!DW3</f>
        <v>0</v>
      </c>
      <c r="AH79" s="408">
        <f>'3_Use'!ED3</f>
        <v>0</v>
      </c>
      <c r="AJ79" s="607"/>
      <c r="AW79" s="607"/>
    </row>
    <row r="80" spans="2:49" s="354" customFormat="1" x14ac:dyDescent="0.3">
      <c r="B80" s="408" t="str">
        <f>'3_Use'!A4&amp;" "&amp;'3_Use'!B4</f>
        <v>Electricty use/km [kWh/km]</v>
      </c>
      <c r="C80" s="408">
        <f>'3_Use'!D4</f>
        <v>1.1000000000000001E-2</v>
      </c>
      <c r="D80" s="408">
        <f>'3_Use'!AG4</f>
        <v>0</v>
      </c>
      <c r="E80" s="408">
        <f>'3_Use'!AH4</f>
        <v>2.1000000000000001E-2</v>
      </c>
      <c r="F80" s="408">
        <f>'3_Use'!W4</f>
        <v>1.1000000000000001E-2</v>
      </c>
      <c r="G80" s="408">
        <f>'3_Use'!AE4</f>
        <v>1.1899999999999999E-2</v>
      </c>
      <c r="H80" s="408">
        <f>'3_Use'!AI4</f>
        <v>0</v>
      </c>
      <c r="I80" s="408">
        <f>'3_Use'!AJ4</f>
        <v>2.1000000000000001E-2</v>
      </c>
      <c r="J80" s="408">
        <f>'3_Use'!AK4</f>
        <v>0</v>
      </c>
      <c r="K80" s="408">
        <f>'3_Use'!AL4</f>
        <v>3.5014005602240911E-2</v>
      </c>
      <c r="L80" s="408">
        <f>'3_Use'!AM4</f>
        <v>0</v>
      </c>
      <c r="M80" s="408">
        <f>'3_Use'!AN4</f>
        <v>3.5014005602240911E-2</v>
      </c>
      <c r="N80" s="606">
        <f>'3_Use'!AO4</f>
        <v>0</v>
      </c>
      <c r="O80" s="606">
        <f>'3_Use'!AP4</f>
        <v>0</v>
      </c>
      <c r="P80" s="606">
        <f>'3_Use'!AQ4</f>
        <v>0.19034624761904761</v>
      </c>
      <c r="Q80" s="606">
        <f>'3_Use'!AX4</f>
        <v>0.19034624761904761</v>
      </c>
      <c r="R80" s="606">
        <f>'3_Use'!BB4</f>
        <v>0</v>
      </c>
      <c r="S80" s="606">
        <f>'3_Use'!CI4</f>
        <v>0</v>
      </c>
      <c r="T80" s="606">
        <f>'3_Use'!CK4</f>
        <v>0.19034624761904761</v>
      </c>
      <c r="U80" s="606">
        <f>'3_Use'!CL4</f>
        <v>0.19034624761904761</v>
      </c>
      <c r="V80" s="606">
        <f>'3_Use'!CM4</f>
        <v>0</v>
      </c>
      <c r="W80" s="606">
        <f>'3_Use'!BI4</f>
        <v>0</v>
      </c>
      <c r="X80" s="606">
        <f>'3_Use'!BJ4</f>
        <v>0</v>
      </c>
      <c r="Y80" s="606">
        <f>'3_Use'!BK4</f>
        <v>0.19034624761904761</v>
      </c>
      <c r="Z80" s="606">
        <f>'3_Use'!BT4</f>
        <v>0.19034624761904761</v>
      </c>
      <c r="AA80" s="606">
        <f>'3_Use'!CC4</f>
        <v>0.19034624761904761</v>
      </c>
      <c r="AB80" s="606">
        <f>'3_Use'!CG4</f>
        <v>0</v>
      </c>
      <c r="AC80" s="606">
        <f>'3_Use'!DQ4</f>
        <v>0</v>
      </c>
      <c r="AD80" s="606">
        <f>'3_Use'!DR4</f>
        <v>0</v>
      </c>
      <c r="AE80" s="606">
        <f>'3_Use'!DU4</f>
        <v>1.3739999999999999</v>
      </c>
      <c r="AF80" s="606">
        <f>'3_Use'!DT4</f>
        <v>1.3739999999999999</v>
      </c>
      <c r="AG80" s="606">
        <f>'3_Use'!DW4</f>
        <v>0</v>
      </c>
      <c r="AH80" s="408">
        <f>'3_Use'!ED4</f>
        <v>17.72111111111111</v>
      </c>
      <c r="AJ80" s="607"/>
      <c r="AW80" s="607"/>
    </row>
    <row r="81" spans="2:49" s="354" customFormat="1" x14ac:dyDescent="0.3">
      <c r="B81" s="408" t="str">
        <f>'3_Use'!A5&amp;" "&amp;'3_Use'!B5</f>
        <v>Hydrogen use/km [Lge/100 km]</v>
      </c>
      <c r="C81" s="408">
        <f>'3_Use'!D5</f>
        <v>0</v>
      </c>
      <c r="D81" s="408">
        <f>'3_Use'!AG5</f>
        <v>0</v>
      </c>
      <c r="E81" s="408">
        <f>'3_Use'!AH5</f>
        <v>0</v>
      </c>
      <c r="F81" s="408">
        <f>'3_Use'!W5</f>
        <v>0</v>
      </c>
      <c r="G81" s="408">
        <f>'3_Use'!AE5</f>
        <v>0</v>
      </c>
      <c r="H81" s="408">
        <f>'3_Use'!AI5</f>
        <v>0</v>
      </c>
      <c r="I81" s="408">
        <f>'3_Use'!AJ5</f>
        <v>0</v>
      </c>
      <c r="J81" s="408">
        <f>'3_Use'!AK5</f>
        <v>0</v>
      </c>
      <c r="K81" s="408">
        <f>'3_Use'!AL5</f>
        <v>0</v>
      </c>
      <c r="L81" s="408">
        <f>'3_Use'!AM5</f>
        <v>0</v>
      </c>
      <c r="M81" s="408">
        <f>'3_Use'!AN5</f>
        <v>0</v>
      </c>
      <c r="N81" s="606">
        <f>'3_Use'!AO5</f>
        <v>0</v>
      </c>
      <c r="O81" s="606">
        <f>'3_Use'!AP5</f>
        <v>0</v>
      </c>
      <c r="P81" s="606">
        <f>'3_Use'!AQ5</f>
        <v>0</v>
      </c>
      <c r="Q81" s="606">
        <f>'3_Use'!AX5</f>
        <v>0</v>
      </c>
      <c r="R81" s="606">
        <f>'3_Use'!BB5</f>
        <v>3.2370959256886969</v>
      </c>
      <c r="S81" s="606">
        <f>'3_Use'!CI5</f>
        <v>0</v>
      </c>
      <c r="T81" s="606">
        <f>'3_Use'!CK5</f>
        <v>0</v>
      </c>
      <c r="U81" s="606">
        <f>'3_Use'!CL5</f>
        <v>0</v>
      </c>
      <c r="V81" s="606">
        <f>'3_Use'!CM5</f>
        <v>3.2370959256886969</v>
      </c>
      <c r="W81" s="606">
        <f>'3_Use'!BI5</f>
        <v>0</v>
      </c>
      <c r="X81" s="606">
        <f>'3_Use'!BJ5</f>
        <v>0</v>
      </c>
      <c r="Y81" s="606">
        <f>'3_Use'!BK5</f>
        <v>0</v>
      </c>
      <c r="Z81" s="606">
        <f>'3_Use'!BT5</f>
        <v>0</v>
      </c>
      <c r="AA81" s="606">
        <f>'3_Use'!CC5</f>
        <v>0</v>
      </c>
      <c r="AB81" s="606">
        <f>'3_Use'!CG5</f>
        <v>3.2370959256886969</v>
      </c>
      <c r="AC81" s="606">
        <f>'3_Use'!DQ5</f>
        <v>0</v>
      </c>
      <c r="AD81" s="606">
        <f>'3_Use'!DR5</f>
        <v>0</v>
      </c>
      <c r="AE81" s="606">
        <f>'3_Use'!DU5</f>
        <v>0</v>
      </c>
      <c r="AF81" s="606">
        <f>'3_Use'!DT5</f>
        <v>0</v>
      </c>
      <c r="AG81" s="606">
        <f>'3_Use'!DW5</f>
        <v>19.485608532138752</v>
      </c>
      <c r="AH81" s="408">
        <f>'3_Use'!ED5</f>
        <v>0</v>
      </c>
      <c r="AJ81" s="607"/>
      <c r="AW81" s="607"/>
    </row>
    <row r="82" spans="2:49" s="604" customFormat="1" x14ac:dyDescent="0.3">
      <c r="B82" s="602" t="str">
        <f>'3_Use'!A6&amp;" "&amp;'3_Use'!B6</f>
        <v>Share of electric driving [%]</v>
      </c>
      <c r="C82" s="602">
        <f>'3_Use'!D6</f>
        <v>1</v>
      </c>
      <c r="D82" s="602">
        <f>'3_Use'!AG6</f>
        <v>0</v>
      </c>
      <c r="E82" s="602">
        <f>'3_Use'!AH6</f>
        <v>1</v>
      </c>
      <c r="F82" s="602">
        <f>'3_Use'!W6</f>
        <v>1</v>
      </c>
      <c r="G82" s="602">
        <f>'3_Use'!AE6</f>
        <v>1</v>
      </c>
      <c r="H82" s="602">
        <f>'3_Use'!AI6</f>
        <v>0</v>
      </c>
      <c r="I82" s="602">
        <f>'3_Use'!AJ6</f>
        <v>1</v>
      </c>
      <c r="J82" s="602">
        <f>'3_Use'!AK6</f>
        <v>0</v>
      </c>
      <c r="K82" s="602">
        <f>'3_Use'!AL6</f>
        <v>1</v>
      </c>
      <c r="L82" s="602">
        <f>'3_Use'!AM6</f>
        <v>0</v>
      </c>
      <c r="M82" s="602">
        <f>'3_Use'!AN6</f>
        <v>1</v>
      </c>
      <c r="N82" s="603">
        <f>'3_Use'!AO6</f>
        <v>0</v>
      </c>
      <c r="O82" s="603">
        <f>'3_Use'!AP6</f>
        <v>0</v>
      </c>
      <c r="P82" s="603">
        <f>'3_Use'!AQ6</f>
        <v>0.66</v>
      </c>
      <c r="Q82" s="603">
        <f>'3_Use'!AX6</f>
        <v>1</v>
      </c>
      <c r="R82" s="603">
        <f>'3_Use'!BB6</f>
        <v>0</v>
      </c>
      <c r="S82" s="603">
        <f>'3_Use'!CI6</f>
        <v>0</v>
      </c>
      <c r="T82" s="603">
        <f>'3_Use'!CK6</f>
        <v>1</v>
      </c>
      <c r="U82" s="603">
        <f>'3_Use'!CL6</f>
        <v>1</v>
      </c>
      <c r="V82" s="603">
        <f>'3_Use'!CM6</f>
        <v>0</v>
      </c>
      <c r="W82" s="603">
        <f>'3_Use'!BI6</f>
        <v>0</v>
      </c>
      <c r="X82" s="603">
        <f>'3_Use'!BJ6</f>
        <v>0</v>
      </c>
      <c r="Y82" s="603">
        <f>'3_Use'!BK6</f>
        <v>0.3591431387331247</v>
      </c>
      <c r="Z82" s="603">
        <f>'3_Use'!BT6</f>
        <v>1</v>
      </c>
      <c r="AA82" s="603">
        <f>'3_Use'!CC6</f>
        <v>1</v>
      </c>
      <c r="AB82" s="603">
        <f>'3_Use'!CG6</f>
        <v>0</v>
      </c>
      <c r="AC82" s="603">
        <f>'3_Use'!DQ6</f>
        <v>0</v>
      </c>
      <c r="AD82" s="603">
        <f>'3_Use'!DR6</f>
        <v>0</v>
      </c>
      <c r="AE82" s="603">
        <f>'3_Use'!DU6</f>
        <v>1</v>
      </c>
      <c r="AF82" s="603">
        <f>'3_Use'!DT6</f>
        <v>1</v>
      </c>
      <c r="AG82" s="603">
        <f>'3_Use'!DW6</f>
        <v>0</v>
      </c>
      <c r="AH82" s="602">
        <f>'3_Use'!ED6</f>
        <v>1</v>
      </c>
      <c r="AJ82" s="605"/>
      <c r="AW82" s="605"/>
    </row>
    <row r="83" spans="2:49" x14ac:dyDescent="0.3">
      <c r="B83" s="405" t="s">
        <v>1390</v>
      </c>
      <c r="C83" s="408">
        <f>C80*Convert!$B$12*C82+SUM(C79,C81)/100*Convert!$C$17*(1-C82)</f>
        <v>3.9600000000000003E-2</v>
      </c>
      <c r="D83" s="408">
        <f>D80*Convert!$B$12*D82+SUM(D79,D81)/100*Convert!$C$17*(1-D82)</f>
        <v>0</v>
      </c>
      <c r="E83" s="408">
        <f>E80*Convert!$B$12*E82+SUM(E79,E81)/100*Convert!$C$17*(1-E82)</f>
        <v>7.5600000000000001E-2</v>
      </c>
      <c r="F83" s="408">
        <f>F80*Convert!$B$12*F82+SUM(F79,F81)/100*Convert!$C$17*(1-F82)</f>
        <v>3.9600000000000003E-2</v>
      </c>
      <c r="G83" s="408">
        <f>G80*Convert!$B$12*G82+SUM(G79,G81)/100*Convert!$C$17*(1-G82)</f>
        <v>4.2839999999999996E-2</v>
      </c>
      <c r="H83" s="408">
        <f>H80*Convert!$B$12*H82+SUM(H79,H81)/100*Convert!$C$17*(1-H82)</f>
        <v>0</v>
      </c>
      <c r="I83" s="408">
        <f>I80*Convert!$B$12*I82+SUM(I79,I81)/100*Convert!$C$17*(1-I82)</f>
        <v>7.5600000000000001E-2</v>
      </c>
      <c r="J83" s="408">
        <f>J80*Convert!$B$12*J82+SUM(J79,J81)/100*Convert!$C$17*(1-J82)</f>
        <v>0.64935064935064946</v>
      </c>
      <c r="K83" s="408">
        <f>K80*Convert!$B$12*K82+SUM(K79,K81)/100*Convert!$C$17*(1-K82)</f>
        <v>0.12605042016806728</v>
      </c>
      <c r="L83" s="408">
        <f>L80*Convert!$B$12*L82+SUM(L79,L81)/100*Convert!$C$17*(1-L82)</f>
        <v>0.64935064935064946</v>
      </c>
      <c r="M83" s="408">
        <f>M80*Convert!$B$12*M82+SUM(M79,M81)/100*Convert!$C$17*(1-M82)</f>
        <v>0.12605042016806728</v>
      </c>
      <c r="N83" s="408">
        <f>N80*Convert!$B$12*N82+SUM(N79,N81)/100*Convert!$C$17*(1-N82)</f>
        <v>2.2771840000000001</v>
      </c>
      <c r="O83" s="408">
        <f>O80*Convert!$B$12*O82+SUM(O79,O81)/100*Convert!$C$17*(1-O82)</f>
        <v>1.6962697142857144</v>
      </c>
      <c r="P83" s="408">
        <f>P80*Convert!$B$12*P82+SUM(P79,P81)/100*Convert!$C$17*(1-P82)</f>
        <v>1.0289943872</v>
      </c>
      <c r="Q83" s="408">
        <f>Q80*Convert!$B$12*Q82+SUM(Q79,Q81)/100*Convert!$C$17*(1-Q82)</f>
        <v>0.68524649142857141</v>
      </c>
      <c r="R83" s="408">
        <f>R80*Convert!$B$12*R82+SUM(R79,R81)/100*Convert!$C$17*(1-R82)</f>
        <v>1.0840386835946307</v>
      </c>
      <c r="S83" s="408">
        <f>S80*Convert!$B$12*S82+SUM(S79,S81)/100*Convert!$C$17*(1-S82)</f>
        <v>1.6962697142857144</v>
      </c>
      <c r="T83" s="408">
        <f>T80*Convert!$B$12*T82+SUM(T79,T81)/100*Convert!$C$17*(1-T82)</f>
        <v>0.68524649142857141</v>
      </c>
      <c r="U83" s="408">
        <f>U80*Convert!$B$12*U82+SUM(U79,U81)/100*Convert!$C$17*(1-U82)</f>
        <v>0.68524649142857141</v>
      </c>
      <c r="V83" s="408">
        <f>V80*Convert!$B$12*V82+SUM(V79,V81)/100*Convert!$C$17*(1-V82)</f>
        <v>1.0840386835946307</v>
      </c>
      <c r="W83" s="408">
        <f>W80*Convert!$B$12*W82+SUM(W79,W81)/100*Convert!$C$17*(1-W82)</f>
        <v>2.2771840000000001</v>
      </c>
      <c r="X83" s="408">
        <f>X80*Convert!$B$12*X82+SUM(X79,X81)/100*Convert!$C$17*(1-X82)</f>
        <v>1.6962697142857144</v>
      </c>
      <c r="Y83" s="408">
        <f>Y80*Convert!$B$12*Y82+SUM(Y79,Y81)/100*Convert!$C$17*(1-Y82)</f>
        <v>1.3331676606967207</v>
      </c>
      <c r="Z83" s="408">
        <f>Z80*Convert!$B$12*Z82+SUM(Z79,Z81)/100*Convert!$C$17*(1-Z82)</f>
        <v>0.68524649142857141</v>
      </c>
      <c r="AA83" s="408">
        <f>AA80*Convert!$B$12*AA82+SUM(AA79,AA81)/100*Convert!$C$17*(1-AA82)</f>
        <v>0.68524649142857141</v>
      </c>
      <c r="AB83" s="408">
        <f>AB80*Convert!$B$12*AB82+SUM(AB79,AB81)/100*Convert!$C$17*(1-AB82)</f>
        <v>1.0840386835946307</v>
      </c>
      <c r="AC83" s="408">
        <f>AC80*Convert!$B$12*AC82+SUM(AC79,AC81)/100*Convert!$C$17*(1-AC82)</f>
        <v>13.707445499999995</v>
      </c>
      <c r="AD83" s="408">
        <f>AD80*Convert!$B$12*AD82+SUM(AD79,AD81)/100*Convert!$C$17*(1-AD82)</f>
        <v>10.090625068736141</v>
      </c>
      <c r="AE83" s="408">
        <f>AE80*Convert!$B$12*AE82+SUM(AE79,AE81)/100*Convert!$C$17*(1-AE82)</f>
        <v>4.9463999999999997</v>
      </c>
      <c r="AF83" s="408">
        <f>AF80*Convert!$B$12*AF82+SUM(AF79,AF81)/100*Convert!$C$17*(1-AF82)</f>
        <v>4.9463999999999997</v>
      </c>
      <c r="AG83" s="408">
        <f>AG80*Convert!$B$12*AG82+SUM(AG79,AG81)/100*Convert!$C$17*(1-AG82)</f>
        <v>6.5253405852426249</v>
      </c>
      <c r="AH83" s="408">
        <f>AH80*Convert!$B$12*AH82+SUM(AH79,AH81)/100*Convert!$C$17*(1-AH82)</f>
        <v>63.795999999999999</v>
      </c>
      <c r="AJ83" s="350"/>
      <c r="AO83" s="349"/>
      <c r="AW83" s="350"/>
    </row>
    <row r="84" spans="2:49" x14ac:dyDescent="0.3">
      <c r="B84" s="405" t="str">
        <f>'0_Total'!A86&amp;" "&amp;'0_Total'!B86</f>
        <v xml:space="preserve">Vehicle use (including fuel production) </v>
      </c>
      <c r="C84" s="408">
        <f>'0_Total'!D86</f>
        <v>0.10272971336374727</v>
      </c>
      <c r="D84" s="408">
        <f>'0_Total'!AG86</f>
        <v>0</v>
      </c>
      <c r="E84" s="408">
        <f>'0_Total'!AH86</f>
        <v>0.19612036187624479</v>
      </c>
      <c r="F84" s="408">
        <f>'0_Total'!W86</f>
        <v>0.10272971336374727</v>
      </c>
      <c r="G84" s="408">
        <f>'0_Total'!AE86</f>
        <v>0.11113487172987203</v>
      </c>
      <c r="H84" s="408">
        <f>'0_Total'!AI86</f>
        <v>0</v>
      </c>
      <c r="I84" s="408">
        <f>'0_Total'!AJ86</f>
        <v>0.19612036187624482</v>
      </c>
      <c r="J84" s="408">
        <f>'0_Total'!AK86</f>
        <v>0.79332529947476416</v>
      </c>
      <c r="K84" s="408">
        <f>'0_Total'!AL86</f>
        <v>0.32699806902134998</v>
      </c>
      <c r="L84" s="408">
        <f>'0_Total'!AM86</f>
        <v>0.79332529947476405</v>
      </c>
      <c r="M84" s="408">
        <f>'0_Total'!AN86</f>
        <v>0.32699806902134998</v>
      </c>
      <c r="N84" s="408">
        <f>'0_Total'!AO86</f>
        <v>2.7820834252890769</v>
      </c>
      <c r="O84" s="408">
        <f>'0_Total'!AP86</f>
        <v>2.0723682657765576</v>
      </c>
      <c r="P84" s="408">
        <f>'0_Total'!AQ86</f>
        <v>1.8778581378302071</v>
      </c>
      <c r="Q84" s="408">
        <f>'0_Total'!AX86</f>
        <v>1.7776559507063292</v>
      </c>
      <c r="R84" s="408">
        <f>'0_Total'!BB86</f>
        <v>1.9443755986699489</v>
      </c>
      <c r="S84" s="408">
        <f>'0_Total'!CI86</f>
        <v>1.7590854879367213</v>
      </c>
      <c r="T84" s="408">
        <f>'0_Total'!CK86</f>
        <v>1.5089252412674308</v>
      </c>
      <c r="U84" s="408">
        <f>'0_Total'!CL86</f>
        <v>1.5089252412674308</v>
      </c>
      <c r="V84" s="408">
        <f>'0_Total'!CM86</f>
        <v>1.6504416493932939</v>
      </c>
      <c r="W84" s="408">
        <f>'0_Total'!BI86</f>
        <v>2.3615120249013515</v>
      </c>
      <c r="X84" s="408">
        <f>'0_Total'!BJ86</f>
        <v>1.7590854879367213</v>
      </c>
      <c r="Y84" s="408">
        <f>'0_Total'!BK86</f>
        <v>1.6692421517616596</v>
      </c>
      <c r="Z84" s="408">
        <f>'0_Total'!BT86</f>
        <v>1.5089252412674308</v>
      </c>
      <c r="AA84" s="408">
        <f>'0_Total'!CC86</f>
        <v>1.5089252412674308</v>
      </c>
      <c r="AB84" s="408">
        <f>'0_Total'!CG86</f>
        <v>1.6504416493932939</v>
      </c>
      <c r="AC84" s="408">
        <f>'0_Total'!DQ86</f>
        <v>14.775703441959346</v>
      </c>
      <c r="AD84" s="408">
        <f>'0_Total'!DR86</f>
        <v>10.877014507162981</v>
      </c>
      <c r="AE84" s="408">
        <f>'0_Total'!DU86</f>
        <v>11.548687595055442</v>
      </c>
      <c r="AF84" s="408">
        <f>'0_Total'!DT86</f>
        <v>11.548687595055442</v>
      </c>
      <c r="AG84" s="408">
        <f>'0_Total'!DW86</f>
        <v>10.533703159370685</v>
      </c>
      <c r="AH84" s="408">
        <f>'0_Total'!ED86</f>
        <v>165.4986059028692</v>
      </c>
      <c r="AJ84" s="350"/>
      <c r="AO84" s="349"/>
      <c r="AW84" s="350"/>
    </row>
    <row r="85" spans="2:49" x14ac:dyDescent="0.3">
      <c r="B85" s="405"/>
      <c r="C85" s="407"/>
      <c r="D85" s="407"/>
      <c r="E85" s="407"/>
      <c r="F85" s="407"/>
      <c r="G85" s="407"/>
      <c r="H85" s="407"/>
      <c r="I85" s="407"/>
      <c r="J85" s="407"/>
      <c r="K85" s="407"/>
      <c r="L85" s="407"/>
      <c r="M85" s="407"/>
      <c r="N85" s="606"/>
      <c r="O85" s="409"/>
      <c r="P85" s="409"/>
      <c r="Q85" s="409"/>
      <c r="R85" s="409"/>
      <c r="S85" s="409"/>
      <c r="T85" s="409"/>
      <c r="U85" s="409"/>
      <c r="V85" s="409"/>
      <c r="W85" s="409"/>
      <c r="X85" s="409"/>
      <c r="Y85" s="409"/>
      <c r="Z85" s="409"/>
      <c r="AA85" s="409"/>
      <c r="AB85" s="409"/>
      <c r="AC85" s="409"/>
      <c r="AD85" s="409"/>
      <c r="AE85" s="409"/>
      <c r="AF85" s="409"/>
      <c r="AG85" s="409"/>
      <c r="AH85" s="407"/>
      <c r="AJ85" s="350"/>
      <c r="AO85" s="349"/>
      <c r="AW85" s="350"/>
    </row>
    <row r="86" spans="2:49" x14ac:dyDescent="0.3">
      <c r="B86" s="405" t="str">
        <f>'0_Total'!A8&amp;" "&amp;'0_Total'!B8</f>
        <v xml:space="preserve">Global region of electricity use (in use phase of vehicle operations) </v>
      </c>
      <c r="C86" s="406" t="str">
        <f>'0_Total'!D8</f>
        <v>World</v>
      </c>
      <c r="N86" s="349"/>
      <c r="O86" s="350"/>
      <c r="P86" s="350"/>
      <c r="Q86" s="350"/>
      <c r="AB86" s="349"/>
      <c r="AI86" s="350"/>
      <c r="AO86" s="349"/>
      <c r="AV86" s="350"/>
    </row>
    <row r="87" spans="2:49" x14ac:dyDescent="0.3">
      <c r="B87" s="405" t="str">
        <f>'0_Total'!A13&amp;" "&amp;'0_Total'!B13</f>
        <v xml:space="preserve">Battery technology (Li-ion) </v>
      </c>
      <c r="C87" s="406" t="s">
        <v>1135</v>
      </c>
      <c r="O87" s="350"/>
      <c r="P87" s="350"/>
      <c r="AB87" s="349"/>
      <c r="AH87" s="350"/>
      <c r="AO87" s="349"/>
      <c r="AU87" s="350"/>
    </row>
    <row r="88" spans="2:49" x14ac:dyDescent="0.3">
      <c r="B88" s="349" t="s">
        <v>1136</v>
      </c>
      <c r="C88" s="349" t="s">
        <v>933</v>
      </c>
      <c r="O88" s="350"/>
      <c r="P88" s="350"/>
      <c r="AB88" s="349"/>
      <c r="AH88" s="350"/>
      <c r="AO88" s="349"/>
      <c r="AU88" s="350"/>
    </row>
    <row r="89" spans="2:49" x14ac:dyDescent="0.3">
      <c r="B89" s="405" t="str">
        <f>'0_Total'!A12&amp;" "&amp;'0_Total'!B12</f>
        <v xml:space="preserve">Vehicle (and battery) production </v>
      </c>
      <c r="C89" s="406" t="str">
        <f>'0_Total'!D12</f>
        <v>With Al smelting mostly form coal</v>
      </c>
      <c r="O89" s="350"/>
      <c r="P89" s="350"/>
      <c r="AB89" s="349"/>
      <c r="AH89" s="350"/>
      <c r="AO89" s="349"/>
      <c r="AU89" s="350"/>
    </row>
    <row r="90" spans="2:49" x14ac:dyDescent="0.3">
      <c r="O90" s="350"/>
      <c r="P90" s="350"/>
      <c r="AB90" s="349"/>
      <c r="AH90" s="350"/>
      <c r="AO90" s="349"/>
      <c r="AU90" s="350"/>
    </row>
    <row r="91" spans="2:49" x14ac:dyDescent="0.3">
      <c r="C91" s="349" t="str">
        <f>B69</f>
        <v>Lifetime (vehicle) [years]</v>
      </c>
      <c r="D91" s="349" t="str">
        <f>B70</f>
        <v>Annual mileage (active km, including cruising and overheading) [km/year]</v>
      </c>
      <c r="E91" s="349" t="str">
        <f>B75</f>
        <v>Average number of passengers [pkm/vkm]</v>
      </c>
      <c r="F91" s="349" t="str">
        <f>B76</f>
        <v>Vehicle required to provide operational services [type]</v>
      </c>
      <c r="O91" s="350"/>
      <c r="P91" s="350"/>
      <c r="AB91" s="349"/>
      <c r="AH91" s="350"/>
      <c r="AO91" s="349"/>
      <c r="AU91" s="350"/>
    </row>
    <row r="92" spans="2:49" x14ac:dyDescent="0.3">
      <c r="B92" s="411" t="str">
        <f>C68</f>
        <v>Private e-scooter</v>
      </c>
      <c r="C92" s="412">
        <f>C69</f>
        <v>3</v>
      </c>
      <c r="D92" s="411">
        <f>C70</f>
        <v>2200</v>
      </c>
      <c r="E92" s="412">
        <f>C75</f>
        <v>1</v>
      </c>
      <c r="F92" s="412" t="str">
        <f>C76</f>
        <v>None</v>
      </c>
      <c r="O92" s="350"/>
      <c r="P92" s="350"/>
      <c r="AB92" s="349"/>
      <c r="AG92" s="350"/>
      <c r="AO92" s="349"/>
      <c r="AT92" s="350"/>
    </row>
    <row r="93" spans="2:49" x14ac:dyDescent="0.3">
      <c r="B93" s="349" t="s">
        <v>1393</v>
      </c>
      <c r="C93" s="412">
        <f>D69</f>
        <v>5.6</v>
      </c>
      <c r="D93" s="411">
        <f>D70</f>
        <v>2400</v>
      </c>
      <c r="E93" s="412">
        <f>D75</f>
        <v>1</v>
      </c>
      <c r="F93" s="412" t="str">
        <f>D76</f>
        <v>None</v>
      </c>
      <c r="O93" s="350"/>
      <c r="P93" s="350"/>
      <c r="AB93" s="349"/>
      <c r="AG93" s="350"/>
      <c r="AO93" s="349"/>
      <c r="AT93" s="350"/>
    </row>
    <row r="94" spans="2:49" x14ac:dyDescent="0.3">
      <c r="B94" s="349" t="s">
        <v>1394</v>
      </c>
      <c r="C94" s="412">
        <f>J69</f>
        <v>10</v>
      </c>
      <c r="D94" s="411">
        <f>J70</f>
        <v>4900</v>
      </c>
      <c r="E94" s="412">
        <f>J75</f>
        <v>1</v>
      </c>
      <c r="F94" s="412" t="str">
        <f>J76</f>
        <v>None</v>
      </c>
      <c r="O94" s="350"/>
      <c r="P94" s="350"/>
      <c r="AB94" s="349"/>
      <c r="AG94" s="350"/>
      <c r="AO94" s="349"/>
      <c r="AT94" s="350"/>
    </row>
    <row r="95" spans="2:49" x14ac:dyDescent="0.3">
      <c r="B95" s="411" t="str">
        <f>F68</f>
        <v>Shared e-scooter (first generation)</v>
      </c>
      <c r="C95" s="412">
        <f>F69</f>
        <v>0.83333333333333337</v>
      </c>
      <c r="D95" s="411">
        <f>F70</f>
        <v>2900</v>
      </c>
      <c r="E95" s="412">
        <f>F75</f>
        <v>1</v>
      </c>
      <c r="F95" s="412" t="str">
        <f>F76</f>
        <v>Van - ICE</v>
      </c>
      <c r="O95" s="350"/>
      <c r="P95" s="350"/>
      <c r="AB95" s="349"/>
      <c r="AG95" s="350"/>
      <c r="AO95" s="349"/>
      <c r="AT95" s="350"/>
    </row>
    <row r="96" spans="2:49" x14ac:dyDescent="0.3">
      <c r="B96" s="411" t="str">
        <f>G68</f>
        <v>Shared e-scooter (new generation)</v>
      </c>
      <c r="C96" s="412">
        <f>G69</f>
        <v>1.9666666666666668</v>
      </c>
      <c r="D96" s="411">
        <f>G70</f>
        <v>2900</v>
      </c>
      <c r="E96" s="412">
        <f>G75</f>
        <v>1</v>
      </c>
      <c r="F96" s="412" t="str">
        <f>G76</f>
        <v>Van - ICE</v>
      </c>
      <c r="O96" s="350"/>
      <c r="P96" s="350"/>
      <c r="AB96" s="349"/>
      <c r="AG96" s="350"/>
      <c r="AO96" s="349"/>
      <c r="AT96" s="350"/>
    </row>
    <row r="97" spans="2:45" x14ac:dyDescent="0.3">
      <c r="B97" s="349" t="s">
        <v>1137</v>
      </c>
      <c r="C97" s="412">
        <f>H69</f>
        <v>1.9</v>
      </c>
      <c r="D97" s="411">
        <f>H70</f>
        <v>2900</v>
      </c>
      <c r="E97" s="412">
        <f>H75</f>
        <v>1</v>
      </c>
      <c r="F97" s="412" t="str">
        <f>H76</f>
        <v>Van - ICE</v>
      </c>
      <c r="O97" s="350"/>
      <c r="P97" s="350"/>
      <c r="AB97" s="349"/>
      <c r="AF97" s="350"/>
      <c r="AO97" s="349"/>
      <c r="AS97" s="350"/>
    </row>
    <row r="98" spans="2:45" x14ac:dyDescent="0.3">
      <c r="B98" s="349" t="s">
        <v>1138</v>
      </c>
      <c r="C98" s="412">
        <f>M69</f>
        <v>3.7</v>
      </c>
      <c r="D98" s="411">
        <f>M70</f>
        <v>5300</v>
      </c>
      <c r="E98" s="412">
        <f>M75</f>
        <v>1</v>
      </c>
      <c r="F98" s="412" t="str">
        <f>M76</f>
        <v>Van - ICE</v>
      </c>
      <c r="O98" s="350"/>
      <c r="P98" s="350"/>
      <c r="AB98" s="349"/>
      <c r="AF98" s="350"/>
      <c r="AO98" s="349"/>
      <c r="AS98" s="350"/>
    </row>
    <row r="99" spans="2:45" x14ac:dyDescent="0.3">
      <c r="B99" s="349" t="s">
        <v>1336</v>
      </c>
      <c r="C99" s="412">
        <f>N69</f>
        <v>15</v>
      </c>
      <c r="D99" s="411">
        <f>N70</f>
        <v>12100</v>
      </c>
      <c r="E99" s="412">
        <f>N75</f>
        <v>1.5</v>
      </c>
      <c r="F99" s="412" t="str">
        <f>N76</f>
        <v>None</v>
      </c>
      <c r="O99" s="350"/>
      <c r="P99" s="350"/>
      <c r="AB99" s="349"/>
      <c r="AF99" s="350"/>
      <c r="AO99" s="349"/>
      <c r="AS99" s="350"/>
    </row>
    <row r="100" spans="2:45" x14ac:dyDescent="0.3">
      <c r="B100" s="349" t="s">
        <v>1449</v>
      </c>
      <c r="C100" s="412">
        <f>W69</f>
        <v>7.0735718042434765</v>
      </c>
      <c r="D100" s="411">
        <f>W70</f>
        <v>48000</v>
      </c>
      <c r="E100" s="412">
        <f>W75</f>
        <v>0.95188235294117651</v>
      </c>
      <c r="F100" s="412" t="str">
        <f>B100</f>
        <v>Ridesourcing car</v>
      </c>
      <c r="O100" s="350"/>
      <c r="P100" s="350"/>
      <c r="AB100" s="349"/>
      <c r="AF100" s="350"/>
      <c r="AO100" s="349"/>
      <c r="AS100" s="350"/>
    </row>
    <row r="101" spans="2:45" x14ac:dyDescent="0.3">
      <c r="B101" s="349" t="s">
        <v>67</v>
      </c>
      <c r="C101" s="412">
        <f>AC69</f>
        <v>9</v>
      </c>
      <c r="D101" s="411">
        <f>AC70</f>
        <v>44000</v>
      </c>
      <c r="E101" s="412">
        <f>AC75</f>
        <v>17</v>
      </c>
      <c r="F101" s="412" t="str">
        <f>B101</f>
        <v>Bus</v>
      </c>
      <c r="O101" s="350"/>
      <c r="P101" s="350"/>
      <c r="AB101" s="349"/>
      <c r="AE101" s="350"/>
      <c r="AO101" s="349"/>
      <c r="AR101" s="350"/>
    </row>
    <row r="102" spans="2:45" x14ac:dyDescent="0.3">
      <c r="B102" s="349" t="s">
        <v>445</v>
      </c>
      <c r="C102" s="412">
        <f>AH69</f>
        <v>40</v>
      </c>
      <c r="D102" s="411">
        <f>AH70</f>
        <v>66000</v>
      </c>
      <c r="E102" s="411">
        <f>AH75</f>
        <v>190</v>
      </c>
      <c r="F102" s="412" t="str">
        <f>AH76</f>
        <v>None</v>
      </c>
      <c r="O102" s="350"/>
      <c r="P102" s="350"/>
      <c r="AB102" s="349"/>
      <c r="AE102" s="350"/>
      <c r="AO102" s="349"/>
      <c r="AR102" s="350"/>
    </row>
    <row r="103" spans="2:45" x14ac:dyDescent="0.3">
      <c r="O103" s="350"/>
      <c r="P103" s="350"/>
      <c r="AB103" s="349"/>
      <c r="AE103" s="350"/>
      <c r="AO103" s="349"/>
      <c r="AR103" s="350"/>
    </row>
    <row r="104" spans="2:45" x14ac:dyDescent="0.3">
      <c r="C104" s="349" t="str">
        <f>B73</f>
        <v>Vehicle weight [kg]</v>
      </c>
      <c r="D104" s="349" t="str">
        <f>B74</f>
        <v>Battery capacity [kWh]</v>
      </c>
      <c r="E104" s="349" t="str">
        <f>B83</f>
        <v>Final energy consumption (use phase) [MJ/km]</v>
      </c>
      <c r="O104" s="350"/>
      <c r="P104" s="350"/>
      <c r="AB104" s="349"/>
      <c r="AE104" s="350"/>
      <c r="AO104" s="349"/>
      <c r="AR104" s="350"/>
    </row>
    <row r="105" spans="2:45" x14ac:dyDescent="0.3">
      <c r="B105" s="411" t="s">
        <v>65</v>
      </c>
      <c r="C105" s="411">
        <f>C73+D105/$C$125</f>
        <v>13.195271607932639</v>
      </c>
      <c r="D105" s="354">
        <f>F74</f>
        <v>0.33</v>
      </c>
      <c r="E105" s="608">
        <f>F83</f>
        <v>3.9600000000000003E-2</v>
      </c>
      <c r="O105" s="350"/>
      <c r="P105" s="350"/>
      <c r="AB105" s="349"/>
      <c r="AC105" s="350"/>
      <c r="AO105" s="349"/>
      <c r="AP105" s="350"/>
    </row>
    <row r="106" spans="2:45" x14ac:dyDescent="0.3">
      <c r="B106" s="411" t="s">
        <v>1335</v>
      </c>
      <c r="C106" s="411">
        <f>G73+D106/$C$125</f>
        <v>28.5</v>
      </c>
      <c r="D106" s="354">
        <f>G74</f>
        <v>0.55100000000000005</v>
      </c>
      <c r="E106" s="608">
        <f>G83</f>
        <v>4.2839999999999996E-2</v>
      </c>
      <c r="O106" s="350"/>
      <c r="P106" s="350"/>
      <c r="AB106" s="349"/>
      <c r="AC106" s="350"/>
      <c r="AO106" s="349"/>
      <c r="AP106" s="350"/>
    </row>
    <row r="107" spans="2:45" x14ac:dyDescent="0.3">
      <c r="B107" s="349" t="s">
        <v>199</v>
      </c>
      <c r="C107" s="411">
        <f>E73+D107/$C$125</f>
        <v>26.684846596332886</v>
      </c>
      <c r="D107" s="354">
        <f>I74</f>
        <v>0.48328767123287675</v>
      </c>
      <c r="E107" s="608">
        <f>I83</f>
        <v>7.5600000000000001E-2</v>
      </c>
      <c r="O107" s="350"/>
      <c r="P107" s="350"/>
      <c r="AB107" s="349"/>
      <c r="AC107" s="350"/>
      <c r="AO107" s="349"/>
      <c r="AP107" s="350"/>
    </row>
    <row r="108" spans="2:45" x14ac:dyDescent="0.3">
      <c r="B108" s="349" t="s">
        <v>222</v>
      </c>
      <c r="C108" s="411">
        <f>I73+D108/$C$125</f>
        <v>34.222166719460297</v>
      </c>
      <c r="D108" s="354">
        <f>I74</f>
        <v>0.48328767123287675</v>
      </c>
      <c r="E108" s="608">
        <f>I83</f>
        <v>7.5600000000000001E-2</v>
      </c>
      <c r="O108" s="350"/>
      <c r="P108" s="350"/>
      <c r="AB108" s="349"/>
      <c r="AC108" s="350"/>
      <c r="AO108" s="349"/>
      <c r="AP108" s="350"/>
    </row>
    <row r="109" spans="2:45" x14ac:dyDescent="0.3">
      <c r="B109" s="349" t="s">
        <v>1395</v>
      </c>
      <c r="C109" s="411">
        <f>ROUND(J73+D110/$C$125,-1)</f>
        <v>100</v>
      </c>
      <c r="D109" s="412"/>
      <c r="E109" s="354">
        <f>J83</f>
        <v>0.64935064935064946</v>
      </c>
      <c r="O109" s="350"/>
      <c r="P109" s="350"/>
      <c r="AB109" s="349"/>
      <c r="AC109" s="350"/>
      <c r="AO109" s="349"/>
      <c r="AP109" s="350"/>
    </row>
    <row r="110" spans="2:45" x14ac:dyDescent="0.3">
      <c r="B110" s="349" t="s">
        <v>1139</v>
      </c>
      <c r="C110" s="411">
        <f>ROUND(K73+D110/$C$125,-1)</f>
        <v>90</v>
      </c>
      <c r="D110" s="412">
        <f>K74</f>
        <v>1.3</v>
      </c>
      <c r="E110" s="354">
        <f>K83</f>
        <v>0.12605042016806728</v>
      </c>
      <c r="O110" s="350"/>
      <c r="P110" s="350"/>
      <c r="AB110" s="349"/>
      <c r="AC110" s="350"/>
      <c r="AO110" s="349"/>
      <c r="AP110" s="350"/>
    </row>
    <row r="111" spans="2:45" x14ac:dyDescent="0.3">
      <c r="B111" s="349" t="s">
        <v>1337</v>
      </c>
      <c r="C111" s="411">
        <f>ROUND(M73+D110/$C$125,-1)</f>
        <v>90</v>
      </c>
      <c r="D111" s="412">
        <f>M74</f>
        <v>2.6</v>
      </c>
      <c r="E111" s="354">
        <f>M83</f>
        <v>0.12605042016806728</v>
      </c>
      <c r="G111" s="349" t="s">
        <v>1141</v>
      </c>
      <c r="O111" s="350"/>
      <c r="P111" s="350"/>
      <c r="AB111" s="349"/>
      <c r="AC111" s="350"/>
      <c r="AO111" s="349"/>
      <c r="AP111" s="350"/>
    </row>
    <row r="112" spans="2:45" x14ac:dyDescent="0.3">
      <c r="B112" s="349" t="s">
        <v>232</v>
      </c>
      <c r="C112" s="411">
        <f>ROUND(N73+D113/$C$125,-1)</f>
        <v>1510</v>
      </c>
      <c r="D112" s="412"/>
      <c r="E112" s="354">
        <f>N83</f>
        <v>2.2771840000000001</v>
      </c>
      <c r="O112" s="350"/>
      <c r="P112" s="350"/>
      <c r="AB112" s="349"/>
      <c r="AC112" s="350"/>
      <c r="AO112" s="349"/>
      <c r="AP112" s="350"/>
    </row>
    <row r="113" spans="2:42" x14ac:dyDescent="0.3">
      <c r="B113" s="349" t="s">
        <v>233</v>
      </c>
      <c r="C113" s="411">
        <f>ROUND(O73+D113/$C$125,-1)</f>
        <v>1600</v>
      </c>
      <c r="D113" s="412">
        <f>O74</f>
        <v>2.1411100330896784</v>
      </c>
      <c r="E113" s="412">
        <f>O83</f>
        <v>1.6962697142857144</v>
      </c>
      <c r="O113" s="350"/>
      <c r="P113" s="350"/>
      <c r="AB113" s="349"/>
      <c r="AC113" s="350"/>
      <c r="AO113" s="349"/>
      <c r="AP113" s="350"/>
    </row>
    <row r="114" spans="2:42" x14ac:dyDescent="0.3">
      <c r="B114" s="349" t="s">
        <v>235</v>
      </c>
      <c r="C114" s="411">
        <f>ROUND(P73+D114/$C$125,-1)</f>
        <v>1770</v>
      </c>
      <c r="D114" s="411">
        <f>P74</f>
        <v>15.273378000000001</v>
      </c>
      <c r="E114" s="412">
        <f>P83</f>
        <v>1.0289943872</v>
      </c>
      <c r="O114" s="350"/>
      <c r="P114" s="350"/>
      <c r="AB114" s="349"/>
      <c r="AC114" s="350"/>
      <c r="AO114" s="349"/>
      <c r="AP114" s="350"/>
    </row>
    <row r="115" spans="2:42" x14ac:dyDescent="0.3">
      <c r="B115" s="349" t="s">
        <v>1391</v>
      </c>
      <c r="C115" s="411">
        <f>ROUND(Q73+D115/$C$125,-1)</f>
        <v>1810</v>
      </c>
      <c r="D115" s="411">
        <f>Q74</f>
        <v>60</v>
      </c>
      <c r="E115" s="412">
        <f>Q83</f>
        <v>0.68524649142857141</v>
      </c>
      <c r="O115" s="350"/>
      <c r="P115" s="350"/>
      <c r="AB115" s="349"/>
      <c r="AC115" s="350"/>
      <c r="AO115" s="349"/>
      <c r="AP115" s="350"/>
    </row>
    <row r="116" spans="2:42" x14ac:dyDescent="0.3">
      <c r="B116" s="349" t="str">
        <f>B100&amp;" - EV"</f>
        <v>Ridesourcing car - EV</v>
      </c>
      <c r="C116" s="411">
        <f>ROUND(Z73+D116/$C$125,-1)</f>
        <v>1880</v>
      </c>
      <c r="D116" s="411">
        <f>Z74</f>
        <v>70</v>
      </c>
      <c r="E116" s="412">
        <f>Z83</f>
        <v>0.68524649142857141</v>
      </c>
      <c r="O116" s="350"/>
      <c r="P116" s="350"/>
      <c r="AB116" s="349"/>
      <c r="AC116" s="350"/>
      <c r="AO116" s="349"/>
      <c r="AP116" s="350"/>
    </row>
    <row r="117" spans="2:42" x14ac:dyDescent="0.3">
      <c r="B117" s="349" t="s">
        <v>1392</v>
      </c>
      <c r="C117" s="411">
        <f>ROUND(R73+D117/$C$125,-1)</f>
        <v>1690</v>
      </c>
      <c r="D117" s="412">
        <f>R74</f>
        <v>2.1411100330896784</v>
      </c>
      <c r="E117" s="412">
        <f>R83</f>
        <v>1.0840386835946307</v>
      </c>
      <c r="O117" s="350"/>
      <c r="P117" s="350"/>
      <c r="AB117" s="349"/>
      <c r="AC117" s="350"/>
      <c r="AO117" s="349"/>
      <c r="AP117" s="350"/>
    </row>
    <row r="118" spans="2:42" x14ac:dyDescent="0.3">
      <c r="B118" s="411" t="str">
        <f>AC68</f>
        <v>Bus - ICE</v>
      </c>
      <c r="C118" s="411">
        <f>ROUND(AD73,-2)</f>
        <v>10200</v>
      </c>
      <c r="D118" s="411"/>
      <c r="E118" s="412">
        <f>AD83</f>
        <v>10.090625068736141</v>
      </c>
      <c r="H118" s="349" t="s">
        <v>590</v>
      </c>
      <c r="O118" s="350"/>
      <c r="P118" s="350"/>
      <c r="AB118" s="349"/>
      <c r="AC118" s="350"/>
      <c r="AO118" s="349"/>
      <c r="AP118" s="350"/>
    </row>
    <row r="119" spans="2:42" x14ac:dyDescent="0.3">
      <c r="B119" s="411" t="str">
        <f>AE68</f>
        <v>Bus - BEV</v>
      </c>
      <c r="C119" s="411">
        <f>ROUND(AE73+D119/$D$125,-2)</f>
        <v>14400</v>
      </c>
      <c r="D119" s="411">
        <f>AE74</f>
        <v>325</v>
      </c>
      <c r="E119" s="412">
        <f>AE83</f>
        <v>4.9463999999999997</v>
      </c>
      <c r="O119" s="350"/>
      <c r="P119" s="350"/>
      <c r="AB119" s="349"/>
      <c r="AC119" s="350"/>
      <c r="AO119" s="349"/>
      <c r="AP119" s="350"/>
    </row>
    <row r="120" spans="2:42" x14ac:dyDescent="0.3">
      <c r="B120" s="411" t="str">
        <f>AG68</f>
        <v>Bus - FCEV</v>
      </c>
      <c r="C120" s="411">
        <f>ROUND(AG73+D120/$D$125,-2)</f>
        <v>12300</v>
      </c>
      <c r="D120" s="411">
        <f>AG74</f>
        <v>20</v>
      </c>
      <c r="E120" s="412">
        <f>AG83</f>
        <v>6.5253405852426249</v>
      </c>
      <c r="O120" s="350"/>
      <c r="P120" s="350"/>
      <c r="AB120" s="349"/>
      <c r="AC120" s="350"/>
      <c r="AO120" s="349"/>
      <c r="AP120" s="350"/>
    </row>
    <row r="121" spans="2:42" x14ac:dyDescent="0.3">
      <c r="B121" s="411" t="str">
        <f>AH68</f>
        <v>Metro/urban train</v>
      </c>
      <c r="C121" s="411">
        <f>ROUND(AH73,-3)</f>
        <v>186000</v>
      </c>
      <c r="E121" s="412">
        <f>AH83</f>
        <v>63.795999999999999</v>
      </c>
      <c r="O121" s="350"/>
      <c r="P121" s="350"/>
      <c r="AB121" s="349"/>
      <c r="AC121" s="350"/>
      <c r="AO121" s="349"/>
      <c r="AP121" s="350"/>
    </row>
    <row r="122" spans="2:42" x14ac:dyDescent="0.3">
      <c r="O122" s="350"/>
      <c r="P122" s="350"/>
    </row>
    <row r="123" spans="2:42" x14ac:dyDescent="0.3">
      <c r="O123" s="350"/>
      <c r="P123" s="350"/>
    </row>
    <row r="124" spans="2:42" x14ac:dyDescent="0.3">
      <c r="C124" s="349" t="str">
        <f>'1_Manufacturing'!EJ28</f>
        <v>NMC111</v>
      </c>
      <c r="D124" s="349" t="str">
        <f>'1_Manufacturing'!EK28</f>
        <v>LFP: hydrothermal</v>
      </c>
      <c r="O124" s="350"/>
      <c r="P124" s="350"/>
    </row>
    <row r="125" spans="2:42" x14ac:dyDescent="0.3">
      <c r="B125" s="413" t="str">
        <f>'1_Manufacturing'!A28&amp;" "&amp;'1_Manufacturing'!B28</f>
        <v>Battery specifc energy [kWh/kg]</v>
      </c>
      <c r="C125" s="349">
        <f>'1_Manufacturing'!EJ29</f>
        <v>0.14262303541417382</v>
      </c>
      <c r="D125" s="349">
        <f>'1_Manufacturing'!EK29</f>
        <v>0.11591337982671381</v>
      </c>
      <c r="O125" s="350"/>
      <c r="P125" s="350"/>
    </row>
    <row r="126" spans="2:42" x14ac:dyDescent="0.3">
      <c r="O126" s="350"/>
      <c r="P126" s="350"/>
    </row>
    <row r="127" spans="2:42" x14ac:dyDescent="0.3">
      <c r="O127" s="350"/>
      <c r="P127" s="350"/>
    </row>
  </sheetData>
  <mergeCells count="1">
    <mergeCell ref="B19:H33"/>
  </mergeCells>
  <pageMargins left="0" right="0" top="0" bottom="0" header="0" footer="0"/>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BC143"/>
  </sheetPr>
  <dimension ref="B1:CD112"/>
  <sheetViews>
    <sheetView topLeftCell="B8" zoomScale="70" zoomScaleNormal="70" zoomScalePageLayoutView="200" workbookViewId="0">
      <selection activeCell="B18" sqref="B18"/>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'0_Total'!A76&amp;" "&amp;'0_Total'!B76</f>
        <v>Energy consumption per pkm [MJ/pkm]</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82"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82"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82"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82"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82"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82"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82"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2"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2"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2"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2"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2" s="401" customFormat="1" ht="72" x14ac:dyDescent="0.3">
      <c r="B44" s="399"/>
      <c r="C44" s="399" t="str">
        <f>'0_Total'!D2</f>
        <v>Private e-scooter</v>
      </c>
      <c r="D44" s="399" t="str">
        <f>Figure_2_GHG_per_pkm_General!D44</f>
        <v>Shared e-scooter (first generation)</v>
      </c>
      <c r="E44" s="399" t="str">
        <f>Figure_2_GHG_per_pkm_General!E44</f>
        <v>Shared e-scooter (new generation)</v>
      </c>
      <c r="F44" s="399" t="str">
        <f>'0_Total'!AG2</f>
        <v>Private bike</v>
      </c>
      <c r="G44" s="399" t="str">
        <f>'0_Total'!AI2</f>
        <v>Shared bike</v>
      </c>
      <c r="H44" s="399" t="str">
        <f>'0_Total'!AH2</f>
        <v>Private e-bike</v>
      </c>
      <c r="I44" s="399" t="str">
        <f>'0_Total'!AJ2</f>
        <v>Shared e-bike</v>
      </c>
      <c r="J44" s="399" t="str">
        <f>'0_Total'!AK2</f>
        <v>Private moped - ICE</v>
      </c>
      <c r="K44" s="399" t="str">
        <f>'0_Total'!AL2</f>
        <v>Private moped - BEV</v>
      </c>
      <c r="L44" s="399" t="str">
        <f>'0_Total'!AM2</f>
        <v>Shared moped - ICE</v>
      </c>
      <c r="M44" s="399" t="str">
        <f>'0_Total'!AN2</f>
        <v>Shared moped - BEV</v>
      </c>
      <c r="N44" s="399" t="str">
        <f>'0_Total'!AO2</f>
        <v>Private car - ICE</v>
      </c>
      <c r="O44" s="399" t="str">
        <f>'0_Total'!AP2</f>
        <v>Private car - HEV</v>
      </c>
      <c r="P44" s="399" t="str">
        <f>'0_Total'!AQ2</f>
        <v>Private car - PHEV</v>
      </c>
      <c r="Q44" s="399" t="str">
        <f>'0_Total'!AX2</f>
        <v>Private car - BEV</v>
      </c>
      <c r="R44" s="399" t="str">
        <f>'0_Total'!BB2</f>
        <v>Private car - FCEV</v>
      </c>
      <c r="S44" s="399" t="str">
        <f>'0_Total'!CI2</f>
        <v>Taxi  HEV</v>
      </c>
      <c r="T44" s="399" t="str">
        <f>'0_Total'!CK2</f>
        <v>Taxi  BEV</v>
      </c>
      <c r="U44" s="399" t="str">
        <f>'0_Total'!CL2</f>
        <v>Taxi  BEV (two packs)</v>
      </c>
      <c r="V44" s="399" t="str">
        <f>'0_Total'!CM2</f>
        <v>Taxi - FCEV</v>
      </c>
      <c r="W44" s="399" t="str">
        <f>'0_Total'!BI2</f>
        <v>Ridesourcing - car - ICE</v>
      </c>
      <c r="X44" s="399" t="str">
        <f>'0_Total'!BJ2</f>
        <v>Ridesourcing - car - HEV</v>
      </c>
      <c r="Y44" s="399" t="str">
        <f>'0_Total'!BK2</f>
        <v>Ridesourcing - car - PHEV</v>
      </c>
      <c r="Z44" s="399" t="str">
        <f>'0_Total'!BT2</f>
        <v>Ridesourcing - car - BEV</v>
      </c>
      <c r="AA44" s="399" t="str">
        <f>'0_Total'!CC2</f>
        <v>Ridesourcing - car - BEV (two packs)</v>
      </c>
      <c r="AB44" s="399" t="str">
        <f>'0_Total'!CG2</f>
        <v>Ridesourcing - car - FCEV</v>
      </c>
      <c r="AC44" s="399" t="str">
        <f>'0_Total'!DQ2</f>
        <v>Bus - ICE</v>
      </c>
      <c r="AD44" s="399" t="str">
        <f>'0_Total'!DR2</f>
        <v>Bus - HEV</v>
      </c>
      <c r="AE44" s="399" t="str">
        <f>'0_Total'!DU2</f>
        <v>Bus - BEV</v>
      </c>
      <c r="AF44" s="399" t="str">
        <f>'0_Total'!DT2</f>
        <v>Bus - BEV (two packs)</v>
      </c>
      <c r="AG44" s="399" t="str">
        <f>'0_Total'!DW2</f>
        <v>Bus - FCEV</v>
      </c>
      <c r="AH44" s="399" t="str">
        <f>'0_Total'!ED2</f>
        <v>Metro/urban train</v>
      </c>
      <c r="AJ44" s="400"/>
      <c r="AM44" s="399"/>
      <c r="AN44" s="399"/>
      <c r="AO44" s="399"/>
      <c r="AP44" s="399"/>
      <c r="AQ44" s="399"/>
      <c r="AR44" s="399"/>
      <c r="AS44" s="399"/>
      <c r="BL44" s="399"/>
      <c r="BM44" s="399"/>
      <c r="BN44" s="399"/>
      <c r="BO44" s="399"/>
      <c r="BP44" s="399"/>
      <c r="BQ44" s="399"/>
      <c r="BR44" s="399"/>
      <c r="BS44" s="399"/>
      <c r="BT44" s="399"/>
      <c r="BU44" s="399"/>
      <c r="BY44" s="399"/>
      <c r="CA44" s="399"/>
      <c r="CB44" s="399"/>
      <c r="CC44" s="399"/>
      <c r="CD44" s="399"/>
    </row>
    <row r="45" spans="2:82" x14ac:dyDescent="0.3">
      <c r="B45" s="358" t="s">
        <v>1129</v>
      </c>
      <c r="C45" s="357">
        <f ca="1">'0_Total'!D78+'0_Total'!D77</f>
        <v>0.302000803931392</v>
      </c>
      <c r="D45" s="357">
        <f ca="1">'0_Total'!W78+'0_Total'!W77</f>
        <v>0.82477460935745672</v>
      </c>
      <c r="E45" s="357">
        <f ca="1">'0_Total'!AE78+'0_Total'!AE77</f>
        <v>0.76247684020612139</v>
      </c>
      <c r="F45" s="357">
        <f ca="1">'0_Total'!AG78+'0_Total'!AG77</f>
        <v>9.4977638889436972E-2</v>
      </c>
      <c r="G45" s="357">
        <f ca="1">'0_Total'!AI78+'0_Total'!AI77</f>
        <v>0.2979787140022731</v>
      </c>
      <c r="H45" s="357">
        <f ca="1">'0_Total'!AH78+'0_Total'!AH77</f>
        <v>0.16262911800293872</v>
      </c>
      <c r="I45" s="357">
        <f ca="1">'0_Total'!AJ78+'0_Total'!AJ77</f>
        <v>0.48099386202586614</v>
      </c>
      <c r="J45" s="357">
        <f ca="1">'0_Total'!AK78+'0_Total'!AK77</f>
        <v>0.10294124304401861</v>
      </c>
      <c r="K45" s="357">
        <f ca="1">'0_Total'!AL78+'0_Total'!AL77</f>
        <v>0.13000839895620495</v>
      </c>
      <c r="L45" s="357">
        <f ca="1">'0_Total'!AM78+'0_Total'!AM77</f>
        <v>0.25722187196108681</v>
      </c>
      <c r="M45" s="357">
        <f ca="1">'0_Total'!AN78+'0_Total'!AN77</f>
        <v>0.46214333172454819</v>
      </c>
      <c r="N45" s="357">
        <f ca="1">'0_Total'!AO78+'0_Total'!AO77</f>
        <v>0.2923315594338895</v>
      </c>
      <c r="O45" s="357">
        <f ca="1">'0_Total'!AP78+'0_Total'!AP77</f>
        <v>0.31480507599602064</v>
      </c>
      <c r="P45" s="357">
        <f ca="1">'0_Total'!AQ78+'0_Total'!AQ77</f>
        <v>0.39059733860515505</v>
      </c>
      <c r="Q45" s="357">
        <f ca="1">'0_Total'!AX78+'0_Total'!AX77</f>
        <v>0.55886181030656912</v>
      </c>
      <c r="R45" s="357">
        <f ca="1">'0_Total'!BB78+'0_Total'!BB77</f>
        <v>0.51922357166367639</v>
      </c>
      <c r="S45" s="357">
        <f ca="1">'0_Total'!CI78+'0_Total'!CI77</f>
        <v>0.34450822499367106</v>
      </c>
      <c r="T45" s="357">
        <f ca="1">'0_Total'!CK78+'0_Total'!CK77</f>
        <v>0.66293515793663482</v>
      </c>
      <c r="U45" s="357">
        <f ca="1">'0_Total'!CL78+'0_Total'!CL77</f>
        <v>1.0225075123192719</v>
      </c>
      <c r="V45" s="357">
        <f ca="1">'0_Total'!CM78+'0_Total'!CM77</f>
        <v>0.56818992759747378</v>
      </c>
      <c r="W45" s="357">
        <f ca="1">'0_Total'!BI78+'0_Total'!BI77</f>
        <v>0.24628619913522878</v>
      </c>
      <c r="X45" s="357">
        <f ca="1">'0_Total'!BJ78+'0_Total'!BJ77</f>
        <v>0.26521927190120143</v>
      </c>
      <c r="Y45" s="357">
        <f ca="1">'0_Total'!BK78+'0_Total'!BK77</f>
        <v>0.3290664672290477</v>
      </c>
      <c r="Z45" s="357">
        <f ca="1">'0_Total'!BT78+'0_Total'!BT77</f>
        <v>0.51031987322160843</v>
      </c>
      <c r="AA45" s="357">
        <f ca="1">'0_Total'!CC78+'0_Total'!CC77</f>
        <v>0.78717352341747082</v>
      </c>
      <c r="AB45" s="357">
        <f ca="1">'0_Total'!CG78+'0_Total'!CG77</f>
        <v>0.4373888225340144</v>
      </c>
      <c r="AC45" s="357">
        <f ca="1">'0_Total'!DQ78+'0_Total'!DQ77</f>
        <v>9.7920571000034706E-2</v>
      </c>
      <c r="AD45" s="357">
        <f ca="1">'0_Total'!DR78+'0_Total'!DR77</f>
        <v>9.7372994510693173E-2</v>
      </c>
      <c r="AE45" s="357">
        <f ca="1">'0_Total'!DU78+'0_Total'!DU77</f>
        <v>0.1715667429231485</v>
      </c>
      <c r="AF45" s="357">
        <f ca="1">'0_Total'!DT78+'0_Total'!DT77</f>
        <v>0.21591142780196612</v>
      </c>
      <c r="AG45" s="357">
        <f ca="1">'0_Total'!DW78+'0_Total'!DW77</f>
        <v>0.13530930508455991</v>
      </c>
      <c r="AH45" s="357">
        <f ca="1">'0_Total'!ED78+'0_Total'!ED77</f>
        <v>2.5097498802663841E-2</v>
      </c>
      <c r="AJ45" s="356"/>
      <c r="AM45" s="357"/>
      <c r="AN45" s="357"/>
      <c r="AO45" s="357"/>
      <c r="AP45" s="357"/>
      <c r="AQ45" s="357"/>
      <c r="AR45" s="357"/>
      <c r="AS45" s="357"/>
      <c r="BE45" s="350"/>
      <c r="BL45" s="357"/>
      <c r="BM45" s="357"/>
      <c r="BN45" s="357"/>
      <c r="BO45" s="357"/>
      <c r="BP45" s="357"/>
      <c r="BQ45" s="357"/>
      <c r="BR45" s="357"/>
      <c r="BS45" s="357"/>
      <c r="BT45" s="357"/>
      <c r="BU45" s="357"/>
      <c r="BY45" s="357"/>
      <c r="CA45" s="357"/>
      <c r="CB45" s="357"/>
      <c r="CC45" s="357"/>
      <c r="CD45" s="357"/>
    </row>
    <row r="46" spans="2:82" x14ac:dyDescent="0.3">
      <c r="B46" s="358" t="s">
        <v>1130</v>
      </c>
      <c r="C46" s="508">
        <f>C57*(1-C60)</f>
        <v>0.10272971336374727</v>
      </c>
      <c r="D46" s="508">
        <f t="shared" ref="D46:AH46" si="0">D57*(1-D60)</f>
        <v>0.10272971336374727</v>
      </c>
      <c r="E46" s="508">
        <f t="shared" ref="E46" si="1">E57*(1-E60)</f>
        <v>0.11113487172987203</v>
      </c>
      <c r="F46" s="508">
        <f t="shared" si="0"/>
        <v>0</v>
      </c>
      <c r="G46" s="508">
        <f t="shared" si="0"/>
        <v>0</v>
      </c>
      <c r="H46" s="508">
        <f t="shared" si="0"/>
        <v>0.19612036187624479</v>
      </c>
      <c r="I46" s="508">
        <f t="shared" si="0"/>
        <v>0.19612036187624482</v>
      </c>
      <c r="J46" s="508">
        <f t="shared" si="0"/>
        <v>0.79332529947476416</v>
      </c>
      <c r="K46" s="508">
        <f t="shared" si="0"/>
        <v>0.32699806902134998</v>
      </c>
      <c r="L46" s="508">
        <f t="shared" si="0"/>
        <v>0.79332529947476405</v>
      </c>
      <c r="M46" s="508">
        <f t="shared" si="0"/>
        <v>0.32699806902134998</v>
      </c>
      <c r="N46" s="508">
        <f t="shared" si="0"/>
        <v>1.8547222835260513</v>
      </c>
      <c r="O46" s="508">
        <f t="shared" si="0"/>
        <v>1.3815788438510384</v>
      </c>
      <c r="P46" s="508">
        <f t="shared" si="0"/>
        <v>1.251905425220138</v>
      </c>
      <c r="Q46" s="508">
        <f t="shared" si="0"/>
        <v>1.1851039671375527</v>
      </c>
      <c r="R46" s="508">
        <f t="shared" si="0"/>
        <v>1.2962503991132992</v>
      </c>
      <c r="S46" s="508">
        <f>S57*(1-S60)</f>
        <v>1.7368450902748038</v>
      </c>
      <c r="T46" s="508">
        <f>T57*(1-T60)</f>
        <v>1.489847659400017</v>
      </c>
      <c r="U46" s="508">
        <f>U57*(1-U60)</f>
        <v>1.489847659400017</v>
      </c>
      <c r="V46" s="508">
        <f>V57*(1-V60)</f>
        <v>1.6295748530653043</v>
      </c>
      <c r="W46" s="508">
        <f t="shared" si="0"/>
        <v>1.7948925324445657</v>
      </c>
      <c r="X46" s="508">
        <f t="shared" si="0"/>
        <v>1.3370117843719727</v>
      </c>
      <c r="Y46" s="508">
        <f t="shared" si="0"/>
        <v>1.268725393496084</v>
      </c>
      <c r="Z46" s="508">
        <f t="shared" si="0"/>
        <v>1.1468748069073091</v>
      </c>
      <c r="AA46" s="508">
        <f t="shared" si="0"/>
        <v>1.1468748069073091</v>
      </c>
      <c r="AB46" s="508">
        <f t="shared" si="0"/>
        <v>1.2544358701096445</v>
      </c>
      <c r="AC46" s="508">
        <f t="shared" si="0"/>
        <v>0.96573225110845395</v>
      </c>
      <c r="AD46" s="508">
        <f t="shared" si="0"/>
        <v>0.71091598086032548</v>
      </c>
      <c r="AE46" s="508">
        <f t="shared" si="0"/>
        <v>0.75481618268336226</v>
      </c>
      <c r="AF46" s="508">
        <f t="shared" si="0"/>
        <v>0.75481618268336226</v>
      </c>
      <c r="AG46" s="508">
        <f>AG57*(1-AG60)</f>
        <v>0.68847733067782246</v>
      </c>
      <c r="AH46" s="508">
        <f t="shared" si="0"/>
        <v>0.87104529422562738</v>
      </c>
      <c r="AJ46" s="356"/>
      <c r="AM46" s="357"/>
      <c r="AN46" s="357"/>
      <c r="AO46" s="357"/>
      <c r="AP46" s="357"/>
      <c r="AQ46" s="357"/>
      <c r="AR46" s="357"/>
      <c r="AS46" s="357"/>
      <c r="BE46" s="350"/>
      <c r="BL46" s="357"/>
      <c r="BM46" s="357"/>
      <c r="BN46" s="357"/>
      <c r="BO46" s="357"/>
      <c r="BP46" s="357"/>
      <c r="BQ46" s="357"/>
      <c r="BR46" s="357"/>
      <c r="BS46" s="357"/>
      <c r="BT46" s="357"/>
      <c r="BU46" s="357"/>
      <c r="BY46" s="357"/>
      <c r="CA46" s="357"/>
      <c r="CB46" s="357"/>
      <c r="CC46" s="357"/>
      <c r="CD46" s="357"/>
    </row>
    <row r="47" spans="2:82" x14ac:dyDescent="0.3">
      <c r="B47" s="358" t="s">
        <v>1131</v>
      </c>
      <c r="C47" s="357">
        <f>'0_Total'!D81</f>
        <v>2.7627731661023575E-2</v>
      </c>
      <c r="D47" s="357">
        <f>'0_Total'!W81</f>
        <v>2.7627731661023575E-2</v>
      </c>
      <c r="E47" s="357">
        <f>'0_Total'!AE81</f>
        <v>2.7752305233719292E-2</v>
      </c>
      <c r="F47" s="357">
        <f>'0_Total'!AG81</f>
        <v>2.7716152958755239E-2</v>
      </c>
      <c r="G47" s="357">
        <f>'0_Total'!AI81</f>
        <v>2.7770390396550708E-2</v>
      </c>
      <c r="H47" s="357">
        <f>'0_Total'!AH81</f>
        <v>2.7740166028967599E-2</v>
      </c>
      <c r="I47" s="357">
        <f>'0_Total'!AJ81</f>
        <v>2.7808427605798137E-2</v>
      </c>
      <c r="J47" s="357">
        <f>'0_Total'!AK81</f>
        <v>3.3347863362650804E-2</v>
      </c>
      <c r="K47" s="357">
        <f>'0_Total'!AL81</f>
        <v>3.3229403147663539E-2</v>
      </c>
      <c r="L47" s="357">
        <f>'0_Total'!AM81</f>
        <v>3.3347863362650804E-2</v>
      </c>
      <c r="M47" s="357">
        <f>'0_Total'!AN81</f>
        <v>3.3229403147663539E-2</v>
      </c>
      <c r="N47" s="357">
        <f>'0_Total'!AO81</f>
        <v>3.650746940283902E-2</v>
      </c>
      <c r="O47" s="357">
        <f>'0_Total'!AP81</f>
        <v>3.7210995821514409E-2</v>
      </c>
      <c r="P47" s="357">
        <f>'0_Total'!AQ81</f>
        <v>3.7855174292086589E-2</v>
      </c>
      <c r="Q47" s="357">
        <f>'0_Total'!AX81</f>
        <v>3.5690207721515231E-2</v>
      </c>
      <c r="R47" s="357">
        <f>'0_Total'!BB81</f>
        <v>3.7993145753810804E-2</v>
      </c>
      <c r="S47" s="357">
        <f>'0_Total'!CI81</f>
        <v>7.9064986722060193E-2</v>
      </c>
      <c r="T47" s="357">
        <f>'0_Total'!CK81</f>
        <v>7.5833654469888073E-2</v>
      </c>
      <c r="U47" s="357">
        <f>'0_Total'!CL81</f>
        <v>7.5833654469888073E-2</v>
      </c>
      <c r="V47" s="357">
        <f>'0_Total'!CM81</f>
        <v>8.0726879198904922E-2</v>
      </c>
      <c r="W47" s="357">
        <f>'0_Total'!BI81</f>
        <v>5.971298606925235E-2</v>
      </c>
      <c r="X47" s="357">
        <f>'0_Total'!BJ81</f>
        <v>6.0863700263494684E-2</v>
      </c>
      <c r="Y47" s="357">
        <f>'0_Total'!BK81</f>
        <v>6.1917342728135025E-2</v>
      </c>
      <c r="Z47" s="357">
        <f>'0_Total'!BT81</f>
        <v>5.8376242214088679E-2</v>
      </c>
      <c r="AA47" s="357">
        <f>'0_Total'!CC81</f>
        <v>5.8376242214088679E-2</v>
      </c>
      <c r="AB47" s="357">
        <f>'0_Total'!CG81</f>
        <v>6.2143014025177926E-2</v>
      </c>
      <c r="AC47" s="357">
        <f>'0_Total'!DQ81</f>
        <v>1.0543090460783534E-2</v>
      </c>
      <c r="AD47" s="357">
        <f>'0_Total'!DR81</f>
        <v>1.0411279496605943E-2</v>
      </c>
      <c r="AE47" s="357">
        <f>'0_Total'!DU81</f>
        <v>1.1491277995048165E-2</v>
      </c>
      <c r="AF47" s="357">
        <f>'0_Total'!DT81</f>
        <v>1.1491277995048165E-2</v>
      </c>
      <c r="AG47" s="357">
        <f>'0_Total'!DW81</f>
        <v>1.1889648058321935E-2</v>
      </c>
      <c r="AH47" s="357">
        <f>'0_Total'!ED81</f>
        <v>6.0446159712211962E-2</v>
      </c>
      <c r="AJ47" s="356"/>
      <c r="AM47" s="357"/>
      <c r="AN47" s="357"/>
      <c r="AO47" s="357"/>
      <c r="AP47" s="357"/>
      <c r="AQ47" s="357"/>
      <c r="AR47" s="357"/>
      <c r="AS47" s="357"/>
      <c r="BE47" s="350"/>
      <c r="BL47" s="357"/>
      <c r="BM47" s="357"/>
      <c r="BN47" s="357"/>
      <c r="BO47" s="357"/>
      <c r="BP47" s="357"/>
      <c r="BQ47" s="357"/>
      <c r="BR47" s="357"/>
      <c r="BS47" s="357"/>
      <c r="BT47" s="357"/>
      <c r="BU47" s="357"/>
      <c r="BY47" s="357"/>
      <c r="CA47" s="357"/>
      <c r="CB47" s="357"/>
      <c r="CC47" s="357"/>
      <c r="CD47" s="357"/>
    </row>
    <row r="48" spans="2:82" x14ac:dyDescent="0.3">
      <c r="B48" s="358" t="s">
        <v>850</v>
      </c>
      <c r="C48" s="508">
        <f>C58+C57*C60</f>
        <v>0</v>
      </c>
      <c r="D48" s="508">
        <f t="shared" ref="D48:AH48" si="2">D58+D57*D60</f>
        <v>0.50111855552115991</v>
      </c>
      <c r="E48" s="508">
        <f t="shared" ref="E48" si="3">E58+E57*E60</f>
        <v>0.35645658958233067</v>
      </c>
      <c r="F48" s="508">
        <f t="shared" si="2"/>
        <v>0</v>
      </c>
      <c r="G48" s="508">
        <f t="shared" si="2"/>
        <v>0.35645658958233067</v>
      </c>
      <c r="H48" s="508">
        <f t="shared" si="2"/>
        <v>0</v>
      </c>
      <c r="I48" s="508">
        <f t="shared" si="2"/>
        <v>0.35645658958233067</v>
      </c>
      <c r="J48" s="508">
        <f t="shared" si="2"/>
        <v>0</v>
      </c>
      <c r="K48" s="508">
        <f t="shared" si="2"/>
        <v>0</v>
      </c>
      <c r="L48" s="508">
        <f t="shared" si="2"/>
        <v>0</v>
      </c>
      <c r="M48" s="508">
        <f t="shared" si="2"/>
        <v>0.19504228486580358</v>
      </c>
      <c r="N48" s="508">
        <f t="shared" si="2"/>
        <v>0</v>
      </c>
      <c r="O48" s="508">
        <f t="shared" si="2"/>
        <v>0</v>
      </c>
      <c r="P48" s="508">
        <f t="shared" si="2"/>
        <v>0</v>
      </c>
      <c r="Q48" s="508">
        <f t="shared" si="2"/>
        <v>0</v>
      </c>
      <c r="R48" s="508">
        <f t="shared" si="2"/>
        <v>0</v>
      </c>
      <c r="S48" s="508">
        <f>S58+S57*S60</f>
        <v>1.5950360141301445</v>
      </c>
      <c r="T48" s="508">
        <f>T58+T57*T60</f>
        <v>1.3682053083585826</v>
      </c>
      <c r="U48" s="508">
        <f>U58+U57*U60</f>
        <v>1.3682053083585826</v>
      </c>
      <c r="V48" s="508">
        <f>V58+V57*V60</f>
        <v>1.4965241246407002</v>
      </c>
      <c r="W48" s="508">
        <f t="shared" si="2"/>
        <v>1.6483440272093408</v>
      </c>
      <c r="X48" s="508">
        <f t="shared" si="2"/>
        <v>1.2278481019008356</v>
      </c>
      <c r="Y48" s="508">
        <f t="shared" si="2"/>
        <v>1.1651371247780702</v>
      </c>
      <c r="Z48" s="508">
        <f t="shared" si="2"/>
        <v>1.0532353351249537</v>
      </c>
      <c r="AA48" s="508">
        <f t="shared" si="2"/>
        <v>1.0532353351249537</v>
      </c>
      <c r="AB48" s="508">
        <f t="shared" si="2"/>
        <v>1.152014305389198</v>
      </c>
      <c r="AC48" s="508">
        <f t="shared" si="2"/>
        <v>0.10730358345649489</v>
      </c>
      <c r="AD48" s="508">
        <f t="shared" si="2"/>
        <v>7.8990664540036171E-2</v>
      </c>
      <c r="AE48" s="508">
        <f t="shared" si="2"/>
        <v>8.3868464742595822E-2</v>
      </c>
      <c r="AF48" s="508">
        <f t="shared" si="2"/>
        <v>8.3868464742595822E-2</v>
      </c>
      <c r="AG48" s="508">
        <f>AG58+AG57*AG60</f>
        <v>7.6497481186424715E-2</v>
      </c>
      <c r="AH48" s="508">
        <f t="shared" si="2"/>
        <v>0</v>
      </c>
      <c r="AJ48" s="356"/>
      <c r="AM48" s="357"/>
      <c r="AN48" s="357"/>
      <c r="AO48" s="357"/>
      <c r="AP48" s="357"/>
      <c r="AQ48" s="357"/>
      <c r="AR48" s="357"/>
      <c r="AS48" s="357"/>
      <c r="BE48" s="350"/>
      <c r="BL48" s="357"/>
      <c r="BM48" s="357"/>
      <c r="BN48" s="357"/>
      <c r="BO48" s="357"/>
      <c r="BP48" s="357"/>
      <c r="BQ48" s="357"/>
      <c r="BR48" s="357"/>
      <c r="BS48" s="357"/>
      <c r="BT48" s="357"/>
      <c r="BU48" s="357"/>
      <c r="BY48" s="357"/>
      <c r="CA48" s="357"/>
      <c r="CB48" s="357"/>
      <c r="CC48" s="357"/>
      <c r="CD48" s="357"/>
    </row>
    <row r="49" spans="2:82" hidden="1" x14ac:dyDescent="0.3">
      <c r="B49" s="358" t="s">
        <v>1063</v>
      </c>
      <c r="C49" s="357">
        <v>225.8831960379388</v>
      </c>
      <c r="D49" s="357">
        <v>92.000625319612908</v>
      </c>
      <c r="E49" s="357">
        <v>92.000625319612908</v>
      </c>
      <c r="F49" s="357">
        <v>109.2715625573851</v>
      </c>
      <c r="G49" s="357">
        <v>109.74665673023698</v>
      </c>
      <c r="H49" s="357">
        <v>134.5247173832434</v>
      </c>
      <c r="I49" s="357">
        <v>146.93726718801878</v>
      </c>
      <c r="J49" s="357">
        <v>170.94671713201515</v>
      </c>
      <c r="K49" s="357">
        <v>198.6553751289735</v>
      </c>
      <c r="N49" s="349"/>
      <c r="O49" s="355"/>
      <c r="P49" s="354"/>
      <c r="Q49" s="354"/>
      <c r="R49" s="354"/>
      <c r="S49" s="354"/>
      <c r="T49" s="354"/>
      <c r="U49" s="354"/>
      <c r="V49" s="354"/>
      <c r="W49" s="354"/>
      <c r="X49" s="354"/>
      <c r="Y49" s="354"/>
      <c r="Z49" s="354"/>
      <c r="AA49" s="354"/>
      <c r="AB49" s="354"/>
      <c r="AC49" s="354"/>
      <c r="AD49" s="354"/>
      <c r="AE49" s="354"/>
      <c r="AI49" s="355"/>
      <c r="AJ49" s="354"/>
      <c r="AK49" s="354"/>
      <c r="AL49" s="354"/>
      <c r="AM49" s="354"/>
      <c r="AN49" s="354"/>
      <c r="AO49" s="354"/>
      <c r="AP49" s="354"/>
      <c r="AQ49" s="354"/>
      <c r="AR49" s="354"/>
      <c r="AS49" s="354"/>
      <c r="AT49" s="354"/>
      <c r="AV49" s="350"/>
    </row>
    <row r="50" spans="2:82" hidden="1" x14ac:dyDescent="0.3">
      <c r="B50" s="358" t="s">
        <v>1062</v>
      </c>
      <c r="C50" s="357">
        <v>235.34686736744837</v>
      </c>
      <c r="D50" s="357">
        <v>20.138098699878793</v>
      </c>
      <c r="E50" s="357">
        <v>20.138098699878793</v>
      </c>
      <c r="F50" s="357">
        <v>29.082532108575009</v>
      </c>
      <c r="G50" s="357">
        <v>47.360170627588715</v>
      </c>
      <c r="H50" s="357">
        <v>92.462424726943624</v>
      </c>
      <c r="I50" s="357">
        <v>123.41082373994841</v>
      </c>
      <c r="J50" s="357">
        <v>147.75164600715308</v>
      </c>
      <c r="K50" s="357">
        <v>190.45060506651421</v>
      </c>
      <c r="N50" s="349"/>
      <c r="O50" s="355"/>
      <c r="P50" s="354"/>
      <c r="Q50" s="354"/>
      <c r="R50" s="354"/>
      <c r="S50" s="354"/>
      <c r="T50" s="354"/>
      <c r="U50" s="354"/>
      <c r="V50" s="354"/>
      <c r="W50" s="354"/>
      <c r="X50" s="354"/>
      <c r="Y50" s="354"/>
      <c r="Z50" s="354"/>
      <c r="AA50" s="354"/>
      <c r="AB50" s="354"/>
      <c r="AC50" s="354"/>
      <c r="AD50" s="354"/>
      <c r="AE50" s="354"/>
      <c r="AI50" s="355"/>
      <c r="AJ50" s="354"/>
      <c r="AK50" s="354"/>
      <c r="AL50" s="354"/>
      <c r="AM50" s="354"/>
      <c r="AN50" s="354"/>
      <c r="AO50" s="354"/>
      <c r="AP50" s="354"/>
      <c r="AQ50" s="354"/>
      <c r="AR50" s="354"/>
      <c r="AS50" s="354"/>
      <c r="AT50" s="354"/>
      <c r="AV50" s="350"/>
    </row>
    <row r="51" spans="2:82" hidden="1" x14ac:dyDescent="0.3">
      <c r="B51" s="358" t="s">
        <v>1061</v>
      </c>
      <c r="C51" s="357">
        <v>169.63000923799299</v>
      </c>
      <c r="D51" s="357">
        <v>57.028326808897397</v>
      </c>
      <c r="E51" s="357">
        <v>57.028326808897397</v>
      </c>
      <c r="F51" s="357">
        <v>66.108608232937002</v>
      </c>
      <c r="G51" s="357">
        <v>73.1615339584623</v>
      </c>
      <c r="H51" s="357">
        <v>87.042263228114194</v>
      </c>
      <c r="I51" s="357">
        <v>82.788852695901895</v>
      </c>
      <c r="J51" s="357">
        <v>106.35742590613199</v>
      </c>
      <c r="K51" s="357">
        <v>130.467437832401</v>
      </c>
      <c r="N51" s="349"/>
      <c r="O51" s="355"/>
      <c r="P51" s="354"/>
      <c r="Q51" s="354"/>
      <c r="R51" s="354"/>
      <c r="S51" s="354"/>
      <c r="T51" s="354"/>
      <c r="U51" s="354"/>
      <c r="V51" s="354"/>
      <c r="W51" s="354"/>
      <c r="X51" s="354"/>
      <c r="Y51" s="354"/>
      <c r="Z51" s="354"/>
      <c r="AA51" s="354"/>
      <c r="AB51" s="354"/>
      <c r="AC51" s="354"/>
      <c r="AD51" s="354"/>
      <c r="AE51" s="354"/>
      <c r="AI51" s="355"/>
      <c r="AJ51" s="354"/>
      <c r="AK51" s="354"/>
      <c r="AL51" s="354"/>
      <c r="AM51" s="354"/>
      <c r="AN51" s="354"/>
      <c r="AO51" s="354"/>
      <c r="AP51" s="354"/>
      <c r="AQ51" s="354"/>
      <c r="AR51" s="354"/>
      <c r="AS51" s="354"/>
      <c r="AT51" s="354"/>
      <c r="AV51" s="350"/>
    </row>
    <row r="52" spans="2:82" hidden="1" x14ac:dyDescent="0.3">
      <c r="B52" s="358" t="s">
        <v>1060</v>
      </c>
      <c r="C52" s="357">
        <v>129.54562060471599</v>
      </c>
      <c r="D52" s="357">
        <v>64.575287204428093</v>
      </c>
      <c r="E52" s="357">
        <v>64.575287204428093</v>
      </c>
      <c r="F52" s="357">
        <v>72.039757217874197</v>
      </c>
      <c r="G52" s="357">
        <v>74.833619113601898</v>
      </c>
      <c r="H52" s="357">
        <v>76.416043285393002</v>
      </c>
      <c r="I52" s="357">
        <v>56.436216180368902</v>
      </c>
      <c r="J52" s="357">
        <v>77.511185806366001</v>
      </c>
      <c r="K52" s="357">
        <v>94.288071043957402</v>
      </c>
      <c r="N52" s="349"/>
      <c r="O52" s="355"/>
      <c r="P52" s="354"/>
      <c r="Q52" s="354"/>
      <c r="R52" s="354"/>
      <c r="S52" s="354"/>
      <c r="T52" s="354"/>
      <c r="U52" s="354"/>
      <c r="V52" s="354"/>
      <c r="W52" s="354"/>
      <c r="X52" s="354"/>
      <c r="Y52" s="354"/>
      <c r="Z52" s="354"/>
      <c r="AA52" s="354"/>
      <c r="AB52" s="354"/>
      <c r="AC52" s="354"/>
      <c r="AD52" s="354"/>
      <c r="AE52" s="354"/>
      <c r="AI52" s="355"/>
      <c r="AJ52" s="354"/>
      <c r="AK52" s="354"/>
      <c r="AL52" s="354"/>
      <c r="AM52" s="354"/>
      <c r="AN52" s="354"/>
      <c r="AO52" s="354"/>
      <c r="AP52" s="354"/>
      <c r="AQ52" s="354"/>
      <c r="AR52" s="354"/>
      <c r="AS52" s="354"/>
      <c r="AT52" s="354"/>
      <c r="AV52" s="350"/>
    </row>
    <row r="53" spans="2:82" hidden="1" x14ac:dyDescent="0.3">
      <c r="B53" s="358" t="s">
        <v>1059</v>
      </c>
      <c r="C53" s="357">
        <v>89.461231971439403</v>
      </c>
      <c r="D53" s="357">
        <v>72.122247599958797</v>
      </c>
      <c r="E53" s="357">
        <v>72.122247599958797</v>
      </c>
      <c r="F53" s="357">
        <v>77.970906202811506</v>
      </c>
      <c r="G53" s="357">
        <v>76.505704268741596</v>
      </c>
      <c r="H53" s="357">
        <v>65.789823342671895</v>
      </c>
      <c r="I53" s="357">
        <v>30.0835796648349</v>
      </c>
      <c r="J53" s="357">
        <v>48.664945706598999</v>
      </c>
      <c r="K53" s="357">
        <v>58.108704255513402</v>
      </c>
      <c r="N53" s="349"/>
      <c r="O53" s="355"/>
      <c r="P53" s="354"/>
      <c r="Q53" s="354"/>
      <c r="R53" s="354"/>
      <c r="S53" s="354"/>
      <c r="T53" s="354"/>
      <c r="U53" s="354"/>
      <c r="V53" s="354"/>
      <c r="W53" s="354"/>
      <c r="X53" s="354"/>
      <c r="Y53" s="354"/>
      <c r="Z53" s="354"/>
      <c r="AA53" s="354"/>
      <c r="AB53" s="354"/>
      <c r="AC53" s="354"/>
      <c r="AD53" s="354"/>
      <c r="AE53" s="354"/>
      <c r="AI53" s="355"/>
      <c r="AJ53" s="354"/>
      <c r="AK53" s="354"/>
      <c r="AL53" s="354"/>
      <c r="AM53" s="354"/>
      <c r="AN53" s="354"/>
      <c r="AO53" s="354"/>
      <c r="AP53" s="354"/>
      <c r="AQ53" s="354"/>
      <c r="AR53" s="354"/>
      <c r="AS53" s="354"/>
      <c r="AT53" s="354"/>
      <c r="AV53" s="350"/>
    </row>
    <row r="54" spans="2:82" hidden="1" x14ac:dyDescent="0.3">
      <c r="B54" s="358" t="s">
        <v>1058</v>
      </c>
      <c r="C54" s="357">
        <v>49.376843338162402</v>
      </c>
      <c r="D54" s="357">
        <v>79.669207995489501</v>
      </c>
      <c r="E54" s="357">
        <v>79.669207995489501</v>
      </c>
      <c r="F54" s="357">
        <v>83.9020551877488</v>
      </c>
      <c r="G54" s="357">
        <v>78.177789423881194</v>
      </c>
      <c r="H54" s="357">
        <v>55.163603399950702</v>
      </c>
      <c r="I54" s="357">
        <v>3.7309431493018801</v>
      </c>
      <c r="J54" s="357">
        <v>19.818705606832999</v>
      </c>
      <c r="K54" s="357">
        <v>21.929337467069399</v>
      </c>
      <c r="N54" s="349"/>
      <c r="O54" s="355"/>
      <c r="P54" s="354"/>
      <c r="Q54" s="354"/>
      <c r="R54" s="354"/>
      <c r="S54" s="354"/>
      <c r="T54" s="354"/>
      <c r="U54" s="354"/>
      <c r="V54" s="354"/>
      <c r="W54" s="354"/>
      <c r="X54" s="354"/>
      <c r="Y54" s="354"/>
      <c r="Z54" s="354"/>
      <c r="AA54" s="354"/>
      <c r="AB54" s="354"/>
      <c r="AC54" s="354"/>
      <c r="AD54" s="354"/>
      <c r="AE54" s="354"/>
      <c r="AI54" s="355"/>
      <c r="AJ54" s="354"/>
      <c r="AK54" s="354"/>
      <c r="AL54" s="354"/>
      <c r="AM54" s="354"/>
      <c r="AN54" s="354"/>
      <c r="AO54" s="354"/>
      <c r="AP54" s="354"/>
      <c r="AQ54" s="354"/>
      <c r="AR54" s="354"/>
      <c r="AS54" s="354"/>
      <c r="AT54" s="354"/>
      <c r="AV54" s="350"/>
    </row>
    <row r="55" spans="2:82" x14ac:dyDescent="0.3">
      <c r="N55" s="349"/>
      <c r="O55" s="355"/>
      <c r="P55" s="354"/>
      <c r="Q55" s="354"/>
      <c r="R55" s="354"/>
      <c r="S55" s="354"/>
      <c r="T55" s="354"/>
      <c r="U55" s="354"/>
      <c r="V55" s="354"/>
      <c r="W55" s="354"/>
      <c r="X55" s="354"/>
      <c r="Y55" s="354"/>
      <c r="Z55" s="354"/>
      <c r="AA55" s="354"/>
      <c r="AB55" s="354"/>
      <c r="AC55" s="354"/>
      <c r="AD55" s="354"/>
      <c r="AE55" s="354"/>
      <c r="AI55" s="355"/>
      <c r="AJ55" s="354"/>
      <c r="AK55" s="354"/>
      <c r="AL55" s="354"/>
      <c r="AM55" s="354"/>
      <c r="AN55" s="354"/>
      <c r="AO55" s="354"/>
      <c r="AP55" s="354"/>
      <c r="AQ55" s="354"/>
      <c r="AR55" s="354"/>
      <c r="AS55" s="354"/>
      <c r="AT55" s="354"/>
      <c r="AV55" s="350"/>
    </row>
    <row r="56" spans="2:82" x14ac:dyDescent="0.3">
      <c r="N56" s="349"/>
      <c r="O56" s="355"/>
      <c r="P56" s="354"/>
      <c r="Q56" s="354"/>
      <c r="R56" s="354"/>
      <c r="S56" s="354"/>
      <c r="T56" s="354"/>
      <c r="U56" s="354"/>
      <c r="V56" s="354"/>
      <c r="W56" s="354"/>
      <c r="X56" s="354"/>
      <c r="Y56" s="354"/>
      <c r="Z56" s="354"/>
      <c r="AA56" s="354"/>
      <c r="AB56" s="354"/>
      <c r="AC56" s="354"/>
      <c r="AD56" s="354"/>
      <c r="AE56" s="354"/>
      <c r="AI56" s="355"/>
      <c r="AJ56" s="354"/>
      <c r="AK56" s="354"/>
      <c r="AL56" s="354"/>
      <c r="AM56" s="354"/>
      <c r="AN56" s="354"/>
      <c r="AO56" s="354"/>
      <c r="AP56" s="354"/>
      <c r="AQ56" s="354"/>
      <c r="AR56" s="354"/>
      <c r="AS56" s="354"/>
      <c r="AT56" s="354"/>
      <c r="AV56" s="350"/>
    </row>
    <row r="57" spans="2:82" x14ac:dyDescent="0.3">
      <c r="B57" s="358" t="s">
        <v>1130</v>
      </c>
      <c r="C57" s="357">
        <f>'0_Total'!D79</f>
        <v>0.10272971336374727</v>
      </c>
      <c r="D57" s="357">
        <f>'0_Total'!W79</f>
        <v>0.10272971336374727</v>
      </c>
      <c r="E57" s="357">
        <f>'0_Total'!AE79</f>
        <v>0.11113487172987203</v>
      </c>
      <c r="F57" s="357">
        <f>'0_Total'!AG79</f>
        <v>0</v>
      </c>
      <c r="G57" s="357">
        <f>'0_Total'!AI79</f>
        <v>0</v>
      </c>
      <c r="H57" s="357">
        <f>'0_Total'!AH79</f>
        <v>0.19612036187624479</v>
      </c>
      <c r="I57" s="357">
        <f>'0_Total'!AJ79</f>
        <v>0.19612036187624482</v>
      </c>
      <c r="J57" s="357">
        <f>'0_Total'!AK79</f>
        <v>0.79332529947476416</v>
      </c>
      <c r="K57" s="357">
        <f>'0_Total'!AL79</f>
        <v>0.32699806902134998</v>
      </c>
      <c r="L57" s="357">
        <f>'0_Total'!AM79</f>
        <v>0.79332529947476405</v>
      </c>
      <c r="M57" s="357">
        <f>'0_Total'!AN79</f>
        <v>0.32699806902134998</v>
      </c>
      <c r="N57" s="357">
        <f>'0_Total'!AO79</f>
        <v>1.8547222835260513</v>
      </c>
      <c r="O57" s="357">
        <f>'0_Total'!AP79</f>
        <v>1.3815788438510384</v>
      </c>
      <c r="P57" s="357">
        <f>'0_Total'!AQ79</f>
        <v>1.251905425220138</v>
      </c>
      <c r="Q57" s="357">
        <f>'0_Total'!AX79</f>
        <v>1.1851039671375527</v>
      </c>
      <c r="R57" s="357">
        <f>'0_Total'!BB79</f>
        <v>1.2962503991132992</v>
      </c>
      <c r="S57" s="357">
        <f>'0_Total'!CI79</f>
        <v>2.8281960282252552</v>
      </c>
      <c r="T57" s="357">
        <f>'0_Total'!CK79</f>
        <v>2.4259971465325947</v>
      </c>
      <c r="U57" s="357">
        <f>'0_Total'!CL79</f>
        <v>2.4259971465325947</v>
      </c>
      <c r="V57" s="357">
        <f>'0_Total'!CM79</f>
        <v>2.6535222703170662</v>
      </c>
      <c r="W57" s="357">
        <f>'0_Total'!BI79</f>
        <v>2.9227177252449823</v>
      </c>
      <c r="X57" s="357">
        <f>'0_Total'!BJ79</f>
        <v>2.1771264688049361</v>
      </c>
      <c r="Y57" s="357">
        <f>'0_Total'!BK79</f>
        <v>2.06593215416029</v>
      </c>
      <c r="Z57" s="357">
        <f>'0_Total'!BT79</f>
        <v>1.8675164480291433</v>
      </c>
      <c r="AA57" s="357">
        <f>'0_Total'!CC79</f>
        <v>1.8675164480291433</v>
      </c>
      <c r="AB57" s="357">
        <f>'0_Total'!CG79</f>
        <v>2.0426637731670456</v>
      </c>
      <c r="AC57" s="357">
        <f>'0_Total'!DQ79</f>
        <v>0.96573225110845395</v>
      </c>
      <c r="AD57" s="357">
        <f>'0_Total'!DR79</f>
        <v>0.71091598086032548</v>
      </c>
      <c r="AE57" s="357">
        <f>'0_Total'!DU79</f>
        <v>0.75481618268336226</v>
      </c>
      <c r="AF57" s="357">
        <f>'0_Total'!DT79</f>
        <v>0.75481618268336226</v>
      </c>
      <c r="AG57" s="357">
        <f>'0_Total'!DW79</f>
        <v>0.68847733067782246</v>
      </c>
      <c r="AH57" s="357">
        <f>'0_Total'!ED79</f>
        <v>0.87104529422562738</v>
      </c>
      <c r="AJ57" s="356"/>
      <c r="AM57" s="357"/>
      <c r="AN57" s="357"/>
      <c r="AO57" s="357"/>
      <c r="AP57" s="357"/>
      <c r="AQ57" s="357"/>
      <c r="AR57" s="357"/>
      <c r="AS57" s="357"/>
      <c r="BE57" s="350"/>
      <c r="BL57" s="357"/>
      <c r="BM57" s="357"/>
      <c r="BN57" s="357"/>
      <c r="BO57" s="357"/>
      <c r="BP57" s="357"/>
      <c r="BQ57" s="357"/>
      <c r="BR57" s="357"/>
      <c r="BS57" s="357"/>
      <c r="BT57" s="357"/>
      <c r="BU57" s="357"/>
      <c r="BY57" s="357"/>
      <c r="CA57" s="357"/>
      <c r="CB57" s="357"/>
      <c r="CC57" s="357"/>
      <c r="CD57" s="357"/>
    </row>
    <row r="58" spans="2:82" x14ac:dyDescent="0.3">
      <c r="B58" s="358" t="s">
        <v>850</v>
      </c>
      <c r="C58" s="357">
        <f>'0_Total'!D80</f>
        <v>0</v>
      </c>
      <c r="D58" s="357">
        <f>'0_Total'!W80</f>
        <v>0.50111855552115991</v>
      </c>
      <c r="E58" s="357">
        <f>'0_Total'!AE80</f>
        <v>0.35645658958233067</v>
      </c>
      <c r="F58" s="357">
        <f>'0_Total'!AG80</f>
        <v>0</v>
      </c>
      <c r="G58" s="357">
        <f>'0_Total'!AI80</f>
        <v>0.35645658958233067</v>
      </c>
      <c r="H58" s="357">
        <f>'0_Total'!AH80</f>
        <v>0</v>
      </c>
      <c r="I58" s="357">
        <f>'0_Total'!AJ80</f>
        <v>0.35645658958233067</v>
      </c>
      <c r="J58" s="357">
        <f>'0_Total'!AK80</f>
        <v>0</v>
      </c>
      <c r="K58" s="357">
        <f>'0_Total'!AL80</f>
        <v>0</v>
      </c>
      <c r="L58" s="357">
        <f>'0_Total'!AM80</f>
        <v>0</v>
      </c>
      <c r="M58" s="357">
        <f>'0_Total'!AN80</f>
        <v>0.19504228486580358</v>
      </c>
      <c r="N58" s="357">
        <f>'0_Total'!AO80</f>
        <v>0</v>
      </c>
      <c r="O58" s="357">
        <f>'0_Total'!AP80</f>
        <v>0</v>
      </c>
      <c r="P58" s="357">
        <f>'0_Total'!AQ80</f>
        <v>0</v>
      </c>
      <c r="Q58" s="357">
        <f>'0_Total'!AX80</f>
        <v>0</v>
      </c>
      <c r="R58" s="357">
        <f>'0_Total'!BB80</f>
        <v>0</v>
      </c>
      <c r="S58" s="357">
        <f>'0_Total'!CI80</f>
        <v>0.50368507617969316</v>
      </c>
      <c r="T58" s="357">
        <f>'0_Total'!CK80</f>
        <v>0.432055821226005</v>
      </c>
      <c r="U58" s="357">
        <f>'0_Total'!CL80</f>
        <v>0.432055821226005</v>
      </c>
      <c r="V58" s="357">
        <f>'0_Total'!CM80</f>
        <v>0.47257670738893826</v>
      </c>
      <c r="W58" s="357">
        <f>'0_Total'!BI80</f>
        <v>0.5205188344089241</v>
      </c>
      <c r="X58" s="357">
        <f>'0_Total'!BJ80</f>
        <v>0.3877334174678721</v>
      </c>
      <c r="Y58" s="357">
        <f>'0_Total'!BK80</f>
        <v>0.36793036411386437</v>
      </c>
      <c r="Z58" s="357">
        <f>'0_Total'!BT80</f>
        <v>0.33259369400311972</v>
      </c>
      <c r="AA58" s="357">
        <f>'0_Total'!CC80</f>
        <v>0.33259369400311972</v>
      </c>
      <c r="AB58" s="357">
        <f>'0_Total'!CG80</f>
        <v>0.36378640233179693</v>
      </c>
      <c r="AC58" s="357">
        <f>'0_Total'!DQ80</f>
        <v>0.10730358345649489</v>
      </c>
      <c r="AD58" s="357">
        <f>'0_Total'!DR80</f>
        <v>7.8990664540036171E-2</v>
      </c>
      <c r="AE58" s="357">
        <f>'0_Total'!DU80</f>
        <v>8.3868464742595822E-2</v>
      </c>
      <c r="AF58" s="357">
        <f>'0_Total'!DT80</f>
        <v>8.3868464742595822E-2</v>
      </c>
      <c r="AG58" s="357">
        <f>'0_Total'!DW80</f>
        <v>7.6497481186424715E-2</v>
      </c>
      <c r="AH58" s="357">
        <f>'0_Total'!ED80</f>
        <v>0</v>
      </c>
      <c r="AJ58" s="356"/>
      <c r="AM58" s="357"/>
      <c r="AN58" s="357"/>
      <c r="AO58" s="357"/>
      <c r="AP58" s="357"/>
      <c r="AQ58" s="357"/>
      <c r="AR58" s="357"/>
      <c r="AS58" s="357"/>
      <c r="BE58" s="350"/>
      <c r="BL58" s="357"/>
      <c r="BM58" s="357"/>
      <c r="BN58" s="357"/>
      <c r="BO58" s="357"/>
      <c r="BP58" s="357"/>
      <c r="BQ58" s="357"/>
      <c r="BR58" s="357"/>
      <c r="BS58" s="357"/>
      <c r="BT58" s="357"/>
      <c r="BU58" s="357"/>
      <c r="BY58" s="357"/>
      <c r="CA58" s="357"/>
      <c r="CB58" s="357"/>
      <c r="CC58" s="357"/>
      <c r="CD58" s="357"/>
    </row>
    <row r="59" spans="2:82" x14ac:dyDescent="0.3">
      <c r="N59" s="349"/>
      <c r="O59" s="350"/>
      <c r="P59" s="350"/>
      <c r="Q59" s="350"/>
      <c r="AB59" s="349"/>
      <c r="AI59" s="350"/>
      <c r="AO59" s="349"/>
      <c r="AV59" s="350"/>
    </row>
    <row r="60" spans="2:82" s="507" customFormat="1" x14ac:dyDescent="0.3">
      <c r="B60" s="507" t="str">
        <f>Tech_Spec_TNC!P12&amp;" vkm (excluding commute)"</f>
        <v>Deadheading, % of total vkm (excluding commute)</v>
      </c>
      <c r="C60" s="358"/>
      <c r="D60" s="358"/>
      <c r="E60" s="358"/>
      <c r="F60" s="358"/>
      <c r="G60" s="358"/>
      <c r="H60" s="358"/>
      <c r="I60" s="358"/>
      <c r="J60" s="358"/>
      <c r="K60" s="358"/>
      <c r="O60" s="358"/>
      <c r="P60" s="358"/>
      <c r="Q60" s="358"/>
      <c r="S60" s="507">
        <f>Tech_Spec_TNC!P14</f>
        <v>0.38588235294117645</v>
      </c>
      <c r="T60" s="507">
        <f>S60</f>
        <v>0.38588235294117645</v>
      </c>
      <c r="U60" s="507">
        <f>S60</f>
        <v>0.38588235294117645</v>
      </c>
      <c r="V60" s="507">
        <f>T60</f>
        <v>0.38588235294117645</v>
      </c>
      <c r="W60" s="507">
        <f>Tech_Spec_TNC!P14</f>
        <v>0.38588235294117645</v>
      </c>
      <c r="X60" s="507">
        <f>W60</f>
        <v>0.38588235294117645</v>
      </c>
      <c r="Y60" s="507">
        <f>X60</f>
        <v>0.38588235294117645</v>
      </c>
      <c r="Z60" s="507">
        <f>Y60</f>
        <v>0.38588235294117645</v>
      </c>
      <c r="AA60" s="507">
        <f>Z60</f>
        <v>0.38588235294117645</v>
      </c>
      <c r="AB60" s="507">
        <f>AA60</f>
        <v>0.38588235294117645</v>
      </c>
      <c r="AI60" s="358"/>
      <c r="AV60" s="358"/>
    </row>
    <row r="61" spans="2:82" x14ac:dyDescent="0.3">
      <c r="B61" s="352"/>
      <c r="C61" s="351"/>
      <c r="D61" s="351"/>
      <c r="E61" s="351"/>
      <c r="F61" s="351"/>
      <c r="G61" s="351"/>
      <c r="H61" s="351"/>
      <c r="I61" s="351"/>
      <c r="J61" s="351"/>
      <c r="K61" s="351"/>
      <c r="N61" s="349"/>
      <c r="O61" s="350"/>
      <c r="P61" s="350"/>
      <c r="Q61" s="350"/>
      <c r="AB61" s="349"/>
      <c r="AI61" s="350"/>
      <c r="AO61" s="349"/>
      <c r="AV61" s="350"/>
    </row>
    <row r="62" spans="2:82" x14ac:dyDescent="0.3">
      <c r="B62" s="352"/>
      <c r="C62" s="351"/>
      <c r="D62" s="351"/>
      <c r="E62" s="351"/>
      <c r="F62" s="351"/>
      <c r="G62" s="351"/>
      <c r="H62" s="351"/>
      <c r="I62" s="351"/>
      <c r="J62" s="351"/>
      <c r="K62" s="351"/>
      <c r="N62" s="349"/>
      <c r="O62" s="350"/>
      <c r="P62" s="350"/>
      <c r="Q62" s="350"/>
      <c r="AB62" s="349"/>
      <c r="AI62" s="350"/>
      <c r="AO62" s="349"/>
      <c r="AV62" s="350"/>
    </row>
    <row r="63" spans="2:82" x14ac:dyDescent="0.3">
      <c r="B63" s="352"/>
      <c r="C63" s="351"/>
      <c r="D63" s="351"/>
      <c r="E63" s="351"/>
      <c r="F63" s="351"/>
      <c r="G63" s="351"/>
      <c r="H63" s="351"/>
      <c r="I63" s="351"/>
      <c r="J63" s="351"/>
      <c r="O63" s="350"/>
      <c r="P63" s="350"/>
      <c r="AB63" s="349"/>
      <c r="AH63" s="350"/>
      <c r="AO63" s="349"/>
      <c r="AU63" s="350"/>
    </row>
    <row r="64" spans="2:82" x14ac:dyDescent="0.3">
      <c r="B64" s="352"/>
      <c r="C64" s="351"/>
      <c r="D64" s="351"/>
      <c r="E64" s="351"/>
      <c r="F64" s="351"/>
      <c r="G64" s="351"/>
      <c r="H64" s="351"/>
      <c r="I64" s="351"/>
      <c r="J64" s="351"/>
      <c r="O64" s="350"/>
      <c r="P64" s="350"/>
      <c r="AB64" s="349"/>
      <c r="AE64" s="350"/>
      <c r="AF64" s="350"/>
      <c r="AO64" s="349"/>
      <c r="AS64" s="350"/>
    </row>
    <row r="65" spans="2:44" x14ac:dyDescent="0.3">
      <c r="O65" s="350"/>
      <c r="P65" s="350"/>
      <c r="AB65" s="349"/>
      <c r="AD65" s="350"/>
      <c r="AO65" s="349"/>
      <c r="AR65" s="350"/>
    </row>
    <row r="66" spans="2:44" x14ac:dyDescent="0.3">
      <c r="O66" s="350"/>
      <c r="P66" s="350"/>
      <c r="AB66" s="349"/>
      <c r="AC66" s="350"/>
      <c r="AO66" s="349"/>
      <c r="AQ66" s="350"/>
    </row>
    <row r="67" spans="2:44" x14ac:dyDescent="0.3">
      <c r="N67" s="349"/>
      <c r="AB67" s="349"/>
      <c r="AC67" s="350"/>
      <c r="AO67" s="349"/>
      <c r="AQ67" s="350"/>
    </row>
    <row r="68" spans="2:44"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C68" s="402"/>
      <c r="AQ68" s="402"/>
    </row>
    <row r="69" spans="2:44" x14ac:dyDescent="0.3">
      <c r="B69" s="405"/>
      <c r="C69" s="407"/>
      <c r="D69" s="407"/>
      <c r="E69" s="407"/>
      <c r="F69" s="407"/>
      <c r="G69" s="407"/>
      <c r="H69" s="407"/>
      <c r="I69" s="407"/>
      <c r="J69" s="407"/>
      <c r="K69" s="407"/>
      <c r="L69" s="407"/>
      <c r="M69" s="409"/>
      <c r="N69" s="409"/>
      <c r="O69" s="409"/>
      <c r="P69" s="409"/>
      <c r="Q69" s="409"/>
      <c r="R69" s="409"/>
      <c r="S69" s="409"/>
      <c r="T69" s="409"/>
      <c r="U69" s="409"/>
      <c r="V69" s="409"/>
      <c r="W69" s="409"/>
      <c r="X69" s="409"/>
      <c r="Y69" s="409"/>
      <c r="Z69" s="409"/>
      <c r="AA69" s="407"/>
      <c r="AB69" s="349"/>
      <c r="AC69" s="350"/>
      <c r="AO69" s="349"/>
      <c r="AQ69" s="350"/>
    </row>
    <row r="70" spans="2:44" x14ac:dyDescent="0.3">
      <c r="B70" s="405"/>
      <c r="C70" s="406"/>
      <c r="D70" s="406"/>
      <c r="E70" s="406"/>
      <c r="F70" s="406"/>
      <c r="G70" s="406"/>
      <c r="H70" s="406"/>
      <c r="I70" s="406"/>
      <c r="J70" s="406"/>
      <c r="K70" s="406"/>
      <c r="L70" s="406"/>
      <c r="M70" s="410"/>
      <c r="N70" s="410"/>
      <c r="O70" s="410"/>
      <c r="P70" s="410"/>
      <c r="Q70" s="410"/>
      <c r="R70" s="410"/>
      <c r="S70" s="410"/>
      <c r="T70" s="410"/>
      <c r="U70" s="410"/>
      <c r="V70" s="410"/>
      <c r="W70" s="410"/>
      <c r="X70" s="410"/>
      <c r="Y70" s="410"/>
      <c r="Z70" s="410"/>
      <c r="AA70" s="406"/>
      <c r="AB70" s="349"/>
      <c r="AC70" s="350"/>
      <c r="AO70" s="349"/>
      <c r="AQ70" s="350"/>
    </row>
    <row r="71" spans="2:44" x14ac:dyDescent="0.3">
      <c r="B71" s="405"/>
      <c r="C71" s="407"/>
      <c r="D71" s="407"/>
      <c r="E71" s="407"/>
      <c r="F71" s="407"/>
      <c r="G71" s="407"/>
      <c r="H71" s="407"/>
      <c r="I71" s="407"/>
      <c r="J71" s="407"/>
      <c r="K71" s="407"/>
      <c r="L71" s="407"/>
      <c r="M71" s="409"/>
      <c r="N71" s="409"/>
      <c r="O71" s="409"/>
      <c r="P71" s="409"/>
      <c r="Q71" s="409"/>
      <c r="R71" s="409"/>
      <c r="S71" s="409"/>
      <c r="T71" s="409"/>
      <c r="U71" s="409"/>
      <c r="V71" s="409"/>
      <c r="W71" s="409"/>
      <c r="X71" s="409"/>
      <c r="Y71" s="409"/>
      <c r="Z71" s="409"/>
      <c r="AA71" s="407"/>
      <c r="AB71" s="349"/>
      <c r="AC71" s="350"/>
      <c r="AO71" s="349"/>
      <c r="AQ71" s="350"/>
    </row>
    <row r="72" spans="2:44" x14ac:dyDescent="0.3">
      <c r="B72" s="405"/>
      <c r="C72" s="406"/>
      <c r="D72" s="406"/>
      <c r="E72" s="406"/>
      <c r="F72" s="406"/>
      <c r="G72" s="406"/>
      <c r="H72" s="406"/>
      <c r="I72" s="406"/>
      <c r="J72" s="406"/>
      <c r="K72" s="406"/>
      <c r="L72" s="406"/>
      <c r="M72" s="410"/>
      <c r="N72" s="410"/>
      <c r="O72" s="410"/>
      <c r="P72" s="410"/>
      <c r="Q72" s="410"/>
      <c r="R72" s="410"/>
      <c r="S72" s="410"/>
      <c r="T72" s="410"/>
      <c r="U72" s="410"/>
      <c r="V72" s="410"/>
      <c r="W72" s="410"/>
      <c r="X72" s="410"/>
      <c r="Y72" s="410"/>
      <c r="Z72" s="410"/>
      <c r="AA72" s="406"/>
      <c r="AB72" s="349"/>
      <c r="AC72" s="350"/>
      <c r="AO72" s="349"/>
      <c r="AQ72" s="350"/>
    </row>
    <row r="73" spans="2:44"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349"/>
      <c r="AC73" s="350"/>
      <c r="AO73" s="349"/>
      <c r="AQ73" s="350"/>
    </row>
    <row r="74" spans="2:44" x14ac:dyDescent="0.3">
      <c r="B74" s="405"/>
      <c r="C74" s="408"/>
      <c r="D74" s="408"/>
      <c r="E74" s="408"/>
      <c r="F74" s="408"/>
      <c r="G74" s="408"/>
      <c r="H74" s="408"/>
      <c r="I74" s="408"/>
      <c r="J74" s="408"/>
      <c r="K74" s="408"/>
      <c r="L74" s="408"/>
      <c r="M74" s="407"/>
      <c r="N74" s="407"/>
      <c r="O74" s="406"/>
      <c r="P74" s="406"/>
      <c r="Q74" s="407"/>
      <c r="R74" s="406"/>
      <c r="S74" s="406"/>
      <c r="T74" s="406"/>
      <c r="U74" s="406"/>
      <c r="V74" s="406"/>
      <c r="W74" s="407"/>
      <c r="X74" s="406"/>
      <c r="Y74" s="406"/>
      <c r="Z74" s="406"/>
      <c r="AA74" s="406"/>
      <c r="AB74" s="349"/>
      <c r="AC74" s="350"/>
      <c r="AO74" s="349"/>
      <c r="AQ74" s="350"/>
    </row>
    <row r="75" spans="2:44"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6"/>
      <c r="Y75" s="406"/>
      <c r="Z75" s="406"/>
      <c r="AA75" s="406"/>
      <c r="AB75" s="349"/>
      <c r="AC75" s="350"/>
      <c r="AO75" s="349"/>
      <c r="AQ75" s="350"/>
    </row>
    <row r="76" spans="2:44"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349"/>
      <c r="AC76" s="350"/>
      <c r="AO76" s="349"/>
      <c r="AQ76" s="350"/>
    </row>
    <row r="77" spans="2:44"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349"/>
      <c r="AC77" s="350"/>
      <c r="AO77" s="349"/>
      <c r="AP77" s="350"/>
    </row>
    <row r="78" spans="2:44"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349"/>
      <c r="AC78" s="350"/>
      <c r="AO78" s="349"/>
      <c r="AP78" s="350"/>
    </row>
    <row r="79" spans="2:44"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row>
    <row r="80" spans="2:44" x14ac:dyDescent="0.3">
      <c r="B80" s="405"/>
      <c r="C80" s="406"/>
      <c r="O80" s="350"/>
      <c r="P80" s="350"/>
    </row>
    <row r="81" spans="2:16" x14ac:dyDescent="0.3">
      <c r="B81" s="405"/>
      <c r="C81" s="406"/>
      <c r="O81" s="350"/>
      <c r="P81" s="350"/>
    </row>
    <row r="82" spans="2:16" x14ac:dyDescent="0.3">
      <c r="O82" s="350"/>
      <c r="P82" s="350"/>
    </row>
    <row r="83" spans="2:16" x14ac:dyDescent="0.3">
      <c r="B83" s="405"/>
      <c r="C83" s="406"/>
      <c r="O83" s="350"/>
      <c r="P83" s="350"/>
    </row>
    <row r="84" spans="2:16" x14ac:dyDescent="0.3">
      <c r="O84" s="350"/>
      <c r="P84" s="350"/>
    </row>
    <row r="85" spans="2:16" x14ac:dyDescent="0.3">
      <c r="O85" s="350"/>
      <c r="P85" s="350"/>
    </row>
    <row r="86" spans="2:16" x14ac:dyDescent="0.3">
      <c r="B86" s="411"/>
      <c r="C86" s="412"/>
      <c r="D86" s="411"/>
      <c r="E86" s="412"/>
      <c r="F86" s="412"/>
      <c r="O86" s="350"/>
      <c r="P86" s="350"/>
    </row>
    <row r="87" spans="2:16" x14ac:dyDescent="0.3">
      <c r="C87" s="412"/>
      <c r="D87" s="411"/>
      <c r="E87" s="412"/>
      <c r="F87" s="412"/>
      <c r="O87" s="350"/>
      <c r="P87" s="350"/>
    </row>
    <row r="88" spans="2:16" x14ac:dyDescent="0.3">
      <c r="C88" s="412"/>
      <c r="D88" s="411"/>
      <c r="E88" s="412"/>
      <c r="F88" s="412"/>
      <c r="O88" s="350"/>
      <c r="P88" s="350"/>
    </row>
    <row r="89" spans="2:16" x14ac:dyDescent="0.3">
      <c r="B89" s="411"/>
      <c r="C89" s="412"/>
      <c r="D89" s="411"/>
      <c r="E89" s="412"/>
      <c r="F89" s="412"/>
      <c r="O89" s="350"/>
      <c r="P89" s="350"/>
    </row>
    <row r="90" spans="2:16" x14ac:dyDescent="0.3">
      <c r="C90" s="412"/>
      <c r="D90" s="411"/>
      <c r="E90" s="412"/>
      <c r="F90" s="412"/>
      <c r="O90" s="350"/>
      <c r="P90" s="350"/>
    </row>
    <row r="91" spans="2:16" x14ac:dyDescent="0.3">
      <c r="C91" s="412"/>
      <c r="D91" s="411"/>
      <c r="E91" s="412"/>
      <c r="F91" s="412"/>
      <c r="O91" s="350"/>
      <c r="P91" s="350"/>
    </row>
    <row r="92" spans="2:16" x14ac:dyDescent="0.3">
      <c r="C92" s="412"/>
      <c r="D92" s="411"/>
      <c r="E92" s="412"/>
      <c r="F92" s="412"/>
      <c r="O92" s="350"/>
      <c r="P92" s="350"/>
    </row>
    <row r="93" spans="2:16" x14ac:dyDescent="0.3">
      <c r="C93" s="412"/>
      <c r="D93" s="411"/>
      <c r="E93" s="412"/>
      <c r="F93" s="412"/>
      <c r="O93" s="350"/>
      <c r="P93" s="350"/>
    </row>
    <row r="94" spans="2:16" x14ac:dyDescent="0.3">
      <c r="C94" s="412"/>
      <c r="D94" s="411"/>
      <c r="E94" s="412"/>
      <c r="F94" s="412"/>
      <c r="O94" s="350"/>
      <c r="P94" s="350"/>
    </row>
    <row r="95" spans="2:16" x14ac:dyDescent="0.3">
      <c r="C95" s="412"/>
      <c r="D95" s="411"/>
      <c r="E95" s="411"/>
      <c r="F95" s="412"/>
      <c r="O95" s="350"/>
      <c r="P95" s="350"/>
    </row>
    <row r="96" spans="2:16" x14ac:dyDescent="0.3">
      <c r="O96" s="350"/>
      <c r="P96" s="350"/>
    </row>
    <row r="97" spans="2:16" x14ac:dyDescent="0.3">
      <c r="O97" s="350"/>
      <c r="P97" s="350"/>
    </row>
    <row r="98" spans="2:16" x14ac:dyDescent="0.3">
      <c r="B98" s="411"/>
      <c r="C98" s="411"/>
      <c r="D98" s="354"/>
      <c r="O98" s="350"/>
      <c r="P98" s="350"/>
    </row>
    <row r="99" spans="2:16" x14ac:dyDescent="0.3">
      <c r="C99" s="411"/>
      <c r="D99" s="354"/>
      <c r="O99" s="350"/>
      <c r="P99" s="350"/>
    </row>
    <row r="100" spans="2:16" x14ac:dyDescent="0.3">
      <c r="C100" s="411"/>
      <c r="D100" s="412"/>
      <c r="O100" s="350"/>
      <c r="P100" s="350"/>
    </row>
    <row r="101" spans="2:16" x14ac:dyDescent="0.3">
      <c r="C101" s="411"/>
      <c r="D101" s="411"/>
      <c r="O101" s="350"/>
      <c r="P101" s="350"/>
    </row>
    <row r="102" spans="2:16" x14ac:dyDescent="0.3">
      <c r="C102" s="411"/>
      <c r="D102" s="411"/>
      <c r="O102" s="350"/>
      <c r="P102" s="350"/>
    </row>
    <row r="103" spans="2:16" x14ac:dyDescent="0.3">
      <c r="C103" s="411"/>
      <c r="D103" s="411"/>
      <c r="O103" s="350"/>
      <c r="P103" s="350"/>
    </row>
    <row r="104" spans="2:16" x14ac:dyDescent="0.3">
      <c r="B104" s="411"/>
      <c r="C104" s="411"/>
      <c r="D104" s="411"/>
      <c r="O104" s="350"/>
      <c r="P104" s="350"/>
    </row>
    <row r="105" spans="2:16" x14ac:dyDescent="0.3">
      <c r="B105" s="411"/>
      <c r="C105" s="411"/>
      <c r="D105" s="411"/>
      <c r="O105" s="350"/>
      <c r="P105" s="350"/>
    </row>
    <row r="106" spans="2:16" x14ac:dyDescent="0.3">
      <c r="B106" s="411"/>
      <c r="C106" s="411"/>
      <c r="O106" s="350"/>
      <c r="P106" s="350"/>
    </row>
    <row r="107" spans="2:16" x14ac:dyDescent="0.3">
      <c r="O107" s="350"/>
      <c r="P107" s="350"/>
    </row>
    <row r="108" spans="2:16" x14ac:dyDescent="0.3">
      <c r="O108" s="350"/>
      <c r="P108" s="350"/>
    </row>
    <row r="109" spans="2:16" x14ac:dyDescent="0.3">
      <c r="O109" s="350"/>
      <c r="P109" s="350"/>
    </row>
    <row r="110" spans="2:16" x14ac:dyDescent="0.3">
      <c r="B110" s="413"/>
      <c r="O110" s="350"/>
      <c r="P110" s="350"/>
    </row>
    <row r="111" spans="2:16" x14ac:dyDescent="0.3">
      <c r="O111" s="350"/>
      <c r="P111" s="350"/>
    </row>
    <row r="112" spans="2:16" x14ac:dyDescent="0.3">
      <c r="O112" s="350"/>
      <c r="P112" s="350"/>
    </row>
  </sheetData>
  <mergeCells count="1">
    <mergeCell ref="B19:H33"/>
  </mergeCells>
  <pageMargins left="0" right="0" top="0" bottom="0" header="0" footer="0"/>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BC143"/>
  </sheetPr>
  <dimension ref="B1:CE112"/>
  <sheetViews>
    <sheetView topLeftCell="H42" zoomScale="80" zoomScaleNormal="80" zoomScalePageLayoutView="200" workbookViewId="0">
      <selection activeCell="S60" sqref="S60"/>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'0_Total'!A105&amp;" "&amp;'0_Total'!B105</f>
        <v>GHG emissions per vkm [g CO₂/vkm]</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83"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83"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83"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83"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83"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83"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83"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3"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3"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3"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3"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3" s="401" customFormat="1" ht="72" x14ac:dyDescent="0.3">
      <c r="B44" s="399"/>
      <c r="C44" s="399" t="str">
        <f>'0_Total'!D2</f>
        <v>Private e-scooter</v>
      </c>
      <c r="D44" s="587" t="str">
        <f>Figure_2_GHG_per_pkm_General!D44</f>
        <v>Shared e-scooter (first generation)</v>
      </c>
      <c r="E44" s="587" t="str">
        <f>Figure_2_GHG_per_pkm_General!E44</f>
        <v>Shared e-scooter (new generation)</v>
      </c>
      <c r="F44" s="399" t="str">
        <f>'0_Total'!AG2</f>
        <v>Private bike</v>
      </c>
      <c r="G44" s="399" t="str">
        <f>'0_Total'!AI2</f>
        <v>Shared bike</v>
      </c>
      <c r="H44" s="399" t="str">
        <f>'0_Total'!AH2</f>
        <v>Private e-bike</v>
      </c>
      <c r="I44" s="399" t="str">
        <f>'0_Total'!AJ2</f>
        <v>Shared e-bike</v>
      </c>
      <c r="J44" s="399" t="str">
        <f>'0_Total'!AK2</f>
        <v>Private moped - ICE</v>
      </c>
      <c r="K44" s="399" t="str">
        <f>'0_Total'!AL2</f>
        <v>Private moped - BEV</v>
      </c>
      <c r="L44" s="399" t="str">
        <f>'0_Total'!AM2</f>
        <v>Shared moped - ICE</v>
      </c>
      <c r="M44" s="399" t="str">
        <f>'0_Total'!AN2</f>
        <v>Shared moped - BEV</v>
      </c>
      <c r="N44" s="399" t="str">
        <f>'0_Total'!AO2</f>
        <v>Private car - ICE</v>
      </c>
      <c r="O44" s="399" t="str">
        <f>'0_Total'!AP2</f>
        <v>Private car - HEV</v>
      </c>
      <c r="P44" s="399" t="str">
        <f>'0_Total'!AQ2</f>
        <v>Private car - PHEV</v>
      </c>
      <c r="Q44" s="399" t="str">
        <f>'0_Total'!AX2</f>
        <v>Private car - BEV</v>
      </c>
      <c r="R44" s="399" t="str">
        <f>'0_Total'!BB2</f>
        <v>Private car - FCEV</v>
      </c>
      <c r="S44" s="399" t="str">
        <f>'0_Total'!CI2</f>
        <v>Taxi  HEV</v>
      </c>
      <c r="T44" s="399" t="str">
        <f>'0_Total'!CJ2</f>
        <v>Taxi  PHEV</v>
      </c>
      <c r="U44" s="399" t="str">
        <f>'0_Total'!CK2</f>
        <v>Taxi  BEV</v>
      </c>
      <c r="V44" s="399" t="str">
        <f>'0_Total'!CL2</f>
        <v>Taxi  BEV (two packs)</v>
      </c>
      <c r="W44" s="399" t="str">
        <f>'0_Total'!CM2</f>
        <v>Taxi - FCEV</v>
      </c>
      <c r="X44" s="399" t="str">
        <f>'0_Total'!BI2</f>
        <v>Ridesourcing - car - ICE</v>
      </c>
      <c r="Y44" s="399" t="str">
        <f>'0_Total'!BJ2</f>
        <v>Ridesourcing - car - HEV</v>
      </c>
      <c r="Z44" s="399" t="str">
        <f>'0_Total'!BK2</f>
        <v>Ridesourcing - car - PHEV</v>
      </c>
      <c r="AA44" s="399" t="str">
        <f>'0_Total'!BT2</f>
        <v>Ridesourcing - car - BEV</v>
      </c>
      <c r="AB44" s="399" t="str">
        <f>'0_Total'!CC2</f>
        <v>Ridesourcing - car - BEV (two packs)</v>
      </c>
      <c r="AC44" s="399" t="str">
        <f>'0_Total'!CG2</f>
        <v>Ridesourcing - car - FCEV</v>
      </c>
      <c r="AD44" s="399" t="str">
        <f>'0_Total'!DQ2</f>
        <v>Bus - ICE</v>
      </c>
      <c r="AE44" s="399" t="str">
        <f>'0_Total'!DR2</f>
        <v>Bus - HEV</v>
      </c>
      <c r="AF44" s="399" t="str">
        <f>'0_Total'!DU2</f>
        <v>Bus - BEV</v>
      </c>
      <c r="AG44" s="399" t="str">
        <f>'0_Total'!DT2</f>
        <v>Bus - BEV (two packs)</v>
      </c>
      <c r="AH44" s="399" t="str">
        <f>'0_Total'!DW2</f>
        <v>Bus - FCEV</v>
      </c>
      <c r="AI44" s="399" t="str">
        <f>'0_Total'!ED2</f>
        <v>Metro/urban train</v>
      </c>
      <c r="AK44" s="400"/>
      <c r="AN44" s="399"/>
      <c r="AO44" s="399"/>
      <c r="AP44" s="399"/>
      <c r="AQ44" s="399"/>
      <c r="AR44" s="399"/>
      <c r="AS44" s="399"/>
      <c r="AT44" s="399"/>
      <c r="BM44" s="399"/>
      <c r="BN44" s="399"/>
      <c r="BO44" s="399"/>
      <c r="BP44" s="399"/>
      <c r="BQ44" s="399"/>
      <c r="BR44" s="399"/>
      <c r="BS44" s="399"/>
      <c r="BT44" s="399"/>
      <c r="BU44" s="399"/>
      <c r="BV44" s="399"/>
      <c r="BZ44" s="399"/>
      <c r="CB44" s="399"/>
      <c r="CC44" s="399"/>
      <c r="CD44" s="399"/>
      <c r="CE44" s="399"/>
    </row>
    <row r="45" spans="2:83" x14ac:dyDescent="0.3">
      <c r="B45" s="358" t="s">
        <v>1129</v>
      </c>
      <c r="C45" s="357">
        <f ca="1">'0_Total'!D107+'0_Total'!D106</f>
        <v>26.164322330581768</v>
      </c>
      <c r="D45" s="357">
        <f ca="1">'0_Total'!W107+'0_Total'!W106</f>
        <v>71.455666502830198</v>
      </c>
      <c r="E45" s="357">
        <f ca="1">'0_Total'!AE107+'0_Total'!AE106</f>
        <v>65.575881673322854</v>
      </c>
      <c r="F45" s="357">
        <f ca="1">'0_Total'!AG107+'0_Total'!AG106</f>
        <v>7.4670905852088847</v>
      </c>
      <c r="G45" s="357">
        <f ca="1">'0_Total'!AI107+'0_Total'!AI106</f>
        <v>23.312907018241759</v>
      </c>
      <c r="H45" s="357">
        <f ca="1">'0_Total'!AH107+'0_Total'!AH106</f>
        <v>12.537922665474529</v>
      </c>
      <c r="I45" s="357">
        <f ca="1">'0_Total'!AJ107+'0_Total'!AJ106</f>
        <v>37.131518608826688</v>
      </c>
      <c r="J45" s="357">
        <f ca="1">'0_Total'!AK107+'0_Total'!AK106</f>
        <v>7.985146217473579</v>
      </c>
      <c r="K45" s="357">
        <f ca="1">'0_Total'!AL107+'0_Total'!AL106</f>
        <v>9.7988736045981124</v>
      </c>
      <c r="L45" s="357">
        <f ca="1">'0_Total'!AM107+'0_Total'!AM106</f>
        <v>19.952685602050249</v>
      </c>
      <c r="M45" s="357">
        <f ca="1">'0_Total'!AN107+'0_Total'!AN106</f>
        <v>34.562416943858203</v>
      </c>
      <c r="N45" s="357">
        <f ca="1">'0_Total'!AO107+'0_Total'!AO106</f>
        <v>35.795178583035813</v>
      </c>
      <c r="O45" s="357">
        <f ca="1">'0_Total'!AP107+'0_Total'!AP106</f>
        <v>38.966644925420127</v>
      </c>
      <c r="P45" s="357">
        <f ca="1">'0_Total'!AQ107+'0_Total'!AQ106</f>
        <v>47.640612298416279</v>
      </c>
      <c r="Q45" s="357">
        <f ca="1">'0_Total'!AX107+'0_Total'!AX106</f>
        <v>62.473911169146469</v>
      </c>
      <c r="R45" s="357">
        <f ca="1">'0_Total'!BB107+'0_Total'!BB106</f>
        <v>56.617370367277459</v>
      </c>
      <c r="S45" s="357">
        <f ca="1">'0_Total'!CI107+'0_Total'!CI106</f>
        <v>19.060841501384477</v>
      </c>
      <c r="T45" s="357">
        <f ca="1">'0_Total'!CJ107+'0_Total'!CJ106</f>
        <v>22.886910013249171</v>
      </c>
      <c r="U45" s="357">
        <f ca="1">'0_Total'!CK107+'0_Total'!CK106</f>
        <v>31.329735920818003</v>
      </c>
      <c r="V45" s="357">
        <f ca="1">'0_Total'!CL107+'0_Total'!CL106</f>
        <v>47.727483890629685</v>
      </c>
      <c r="W45" s="357">
        <f ca="1">'0_Total'!CM107+'0_Total'!CM106</f>
        <v>26.225109841514261</v>
      </c>
      <c r="X45" s="357">
        <f ca="1">'0_Total'!BI107+'0_Total'!BI106</f>
        <v>18.026655540937302</v>
      </c>
      <c r="Y45" s="357">
        <f ca="1">'0_Total'!BJ107+'0_Total'!BJ106</f>
        <v>19.57006563826118</v>
      </c>
      <c r="Z45" s="357">
        <f ca="1">'0_Total'!BK107+'0_Total'!BK106</f>
        <v>23.601432229602565</v>
      </c>
      <c r="AA45" s="357">
        <f ca="1">'0_Total'!BT107+'0_Total'!BT106</f>
        <v>31.13390154136945</v>
      </c>
      <c r="AB45" s="357">
        <f ca="1">'0_Total'!CC107+'0_Total'!CC106</f>
        <v>50.412289180842627</v>
      </c>
      <c r="AC45" s="357">
        <f ca="1">'0_Total'!CG107+'0_Total'!CG106</f>
        <v>26.225109841514261</v>
      </c>
      <c r="AD45" s="357">
        <f ca="1">'0_Total'!DQ107+'0_Total'!DQ106</f>
        <v>122.60984448820551</v>
      </c>
      <c r="AE45" s="357">
        <f ca="1">'0_Total'!DR107+'0_Total'!DR106</f>
        <v>122.29306953816973</v>
      </c>
      <c r="AF45" s="357">
        <f ca="1">'0_Total'!DU107+'0_Total'!DU106</f>
        <v>210.07091009932793</v>
      </c>
      <c r="AG45" s="357">
        <f ca="1">'0_Total'!DT107+'0_Total'!DT106</f>
        <v>261.03300078424672</v>
      </c>
      <c r="AH45" s="357">
        <f ca="1">'0_Total'!DW107+'0_Total'!DW106</f>
        <v>168.68553875106272</v>
      </c>
      <c r="AI45" s="357">
        <f ca="1">'0_Total'!ED107+'0_Total'!ED106</f>
        <v>385.36954858937395</v>
      </c>
      <c r="AK45" s="356"/>
      <c r="AN45" s="357"/>
      <c r="AO45" s="357"/>
      <c r="AP45" s="357"/>
      <c r="AQ45" s="357"/>
      <c r="AR45" s="357"/>
      <c r="AS45" s="357"/>
      <c r="AT45" s="357"/>
      <c r="BF45" s="350"/>
      <c r="BM45" s="357"/>
      <c r="BN45" s="357"/>
      <c r="BO45" s="357"/>
      <c r="BP45" s="357"/>
      <c r="BQ45" s="357"/>
      <c r="BR45" s="357"/>
      <c r="BS45" s="357"/>
      <c r="BT45" s="357"/>
      <c r="BU45" s="357"/>
      <c r="BV45" s="357"/>
      <c r="BZ45" s="357"/>
      <c r="CB45" s="357"/>
      <c r="CC45" s="357"/>
      <c r="CD45" s="357"/>
      <c r="CE45" s="357"/>
    </row>
    <row r="46" spans="2:83" x14ac:dyDescent="0.3">
      <c r="B46" s="358" t="s">
        <v>1130</v>
      </c>
      <c r="C46" s="508">
        <f>C57*(1-C60)</f>
        <v>1.4239176699373322</v>
      </c>
      <c r="D46" s="508">
        <f t="shared" ref="D46:Q46" si="0">D57*(1-D60)</f>
        <v>1.4239176699373322</v>
      </c>
      <c r="E46" s="508">
        <f t="shared" ref="E46" si="1">E57*(1-E60)</f>
        <v>1.5404200247503861</v>
      </c>
      <c r="F46" s="508">
        <f t="shared" si="0"/>
        <v>0</v>
      </c>
      <c r="G46" s="508">
        <f t="shared" si="0"/>
        <v>0</v>
      </c>
      <c r="H46" s="508">
        <f t="shared" si="0"/>
        <v>2.7183882789712701</v>
      </c>
      <c r="I46" s="508">
        <f t="shared" si="0"/>
        <v>2.7183882789712706</v>
      </c>
      <c r="J46" s="508">
        <f t="shared" si="0"/>
        <v>53.73696412283369</v>
      </c>
      <c r="K46" s="508">
        <f t="shared" si="0"/>
        <v>4.5324601156650521</v>
      </c>
      <c r="L46" s="508">
        <f t="shared" si="0"/>
        <v>53.736964122833704</v>
      </c>
      <c r="M46" s="508">
        <f t="shared" si="0"/>
        <v>4.5324601156650521</v>
      </c>
      <c r="N46" s="508">
        <f t="shared" si="0"/>
        <v>188.44819056</v>
      </c>
      <c r="O46" s="508">
        <f t="shared" si="0"/>
        <v>140.37467256000002</v>
      </c>
      <c r="P46" s="508">
        <f t="shared" si="0"/>
        <v>63.989631793861733</v>
      </c>
      <c r="Q46" s="508">
        <f t="shared" si="0"/>
        <v>24.639762308275344</v>
      </c>
      <c r="R46" s="508">
        <f>R57*(1-R60)</f>
        <v>124.01955766948878</v>
      </c>
      <c r="S46" s="508">
        <f>S57*(1-S60)</f>
        <v>73.174598130899369</v>
      </c>
      <c r="T46" s="508">
        <f t="shared" ref="T46:AC46" si="2">T57*(1-T60)</f>
        <v>51.50736067775064</v>
      </c>
      <c r="U46" s="508">
        <f t="shared" si="2"/>
        <v>12.844230886296639</v>
      </c>
      <c r="V46" s="508">
        <f t="shared" si="2"/>
        <v>12.844230886296639</v>
      </c>
      <c r="W46" s="508">
        <f t="shared" si="2"/>
        <v>64.648993492453556</v>
      </c>
      <c r="X46" s="508">
        <f t="shared" si="2"/>
        <v>98.23439201134434</v>
      </c>
      <c r="Y46" s="508">
        <f t="shared" si="2"/>
        <v>73.174598130899369</v>
      </c>
      <c r="Z46" s="508">
        <f t="shared" si="2"/>
        <v>51.50736067775064</v>
      </c>
      <c r="AA46" s="508">
        <f t="shared" si="2"/>
        <v>12.844230886296639</v>
      </c>
      <c r="AB46" s="508">
        <f t="shared" si="2"/>
        <v>12.844230886296639</v>
      </c>
      <c r="AC46" s="508">
        <f t="shared" si="2"/>
        <v>64.648993492453556</v>
      </c>
      <c r="AD46" s="508">
        <f t="shared" ref="AD46:AI46" si="3">AD57*(1-AE60)</f>
        <v>1099.0850624066097</v>
      </c>
      <c r="AE46" s="508">
        <f t="shared" si="3"/>
        <v>809.0825736563072</v>
      </c>
      <c r="AF46" s="508">
        <f t="shared" si="3"/>
        <v>160.07423551313678</v>
      </c>
      <c r="AG46" s="508">
        <f t="shared" si="3"/>
        <v>160.07423551313678</v>
      </c>
      <c r="AH46" s="508">
        <f t="shared" si="3"/>
        <v>671.87903784663933</v>
      </c>
      <c r="AI46" s="508">
        <f t="shared" si="3"/>
        <v>2293.9457492758092</v>
      </c>
      <c r="AK46" s="356"/>
      <c r="AN46" s="357"/>
      <c r="AO46" s="357"/>
      <c r="AP46" s="357"/>
      <c r="AQ46" s="357"/>
      <c r="AR46" s="357"/>
      <c r="AS46" s="357"/>
      <c r="AT46" s="357"/>
      <c r="BF46" s="350"/>
      <c r="BM46" s="357"/>
      <c r="BN46" s="357"/>
      <c r="BO46" s="357"/>
      <c r="BP46" s="357"/>
      <c r="BQ46" s="357"/>
      <c r="BR46" s="357"/>
      <c r="BS46" s="357"/>
      <c r="BT46" s="357"/>
      <c r="BU46" s="357"/>
      <c r="BV46" s="357"/>
      <c r="BZ46" s="357"/>
      <c r="CB46" s="357"/>
      <c r="CC46" s="357"/>
      <c r="CD46" s="357"/>
      <c r="CE46" s="357"/>
    </row>
    <row r="47" spans="2:83" x14ac:dyDescent="0.3">
      <c r="B47" s="358" t="s">
        <v>1131</v>
      </c>
      <c r="C47" s="357">
        <f>'0_Total'!D110</f>
        <v>9.4409392749428456</v>
      </c>
      <c r="D47" s="357">
        <f>'0_Total'!W110</f>
        <v>9.4409392749428456</v>
      </c>
      <c r="E47" s="357">
        <f>'0_Total'!AE110</f>
        <v>9.4835085147745115</v>
      </c>
      <c r="F47" s="357">
        <f>'0_Total'!AG110</f>
        <v>9.471154571397097</v>
      </c>
      <c r="G47" s="357">
        <f>'0_Total'!AI110</f>
        <v>9.4896885706026097</v>
      </c>
      <c r="H47" s="357">
        <f>'0_Total'!AH110</f>
        <v>9.4793603097639458</v>
      </c>
      <c r="I47" s="357">
        <f>'0_Total'!AJ110</f>
        <v>9.5026866330964577</v>
      </c>
      <c r="J47" s="357">
        <f>'0_Total'!AK110</f>
        <v>11.394557604754132</v>
      </c>
      <c r="K47" s="357">
        <f>'0_Total'!AL110</f>
        <v>11.354081196149926</v>
      </c>
      <c r="L47" s="357">
        <f>'0_Total'!AM110</f>
        <v>11.394557604754132</v>
      </c>
      <c r="M47" s="357">
        <f>'0_Total'!AN110</f>
        <v>11.354081196149926</v>
      </c>
      <c r="N47" s="357">
        <f>'0_Total'!AO110</f>
        <v>18.714685941190908</v>
      </c>
      <c r="O47" s="357">
        <f>'0_Total'!AP110</f>
        <v>19.075332027928898</v>
      </c>
      <c r="P47" s="357">
        <f>'0_Total'!AQ110</f>
        <v>19.40555480052944</v>
      </c>
      <c r="Q47" s="357">
        <f>'0_Total'!AX110</f>
        <v>18.295736176994026</v>
      </c>
      <c r="R47" s="357">
        <f>'0_Total'!BB110</f>
        <v>19.476282589040988</v>
      </c>
      <c r="S47" s="357">
        <f>'0_Total'!CI110</f>
        <v>16.803165116699571</v>
      </c>
      <c r="T47" s="357">
        <f>'0_Total'!CJ110</f>
        <v>17.094053252495954</v>
      </c>
      <c r="U47" s="357">
        <f>'0_Total'!CK110</f>
        <v>16.116431182612718</v>
      </c>
      <c r="V47" s="357">
        <f>'0_Total'!CL110</f>
        <v>16.116431182612718</v>
      </c>
      <c r="W47" s="357">
        <f>'0_Total'!CM110</f>
        <v>17.156356268084803</v>
      </c>
      <c r="X47" s="357">
        <f>'0_Total'!CN110</f>
        <v>20.382756028222818</v>
      </c>
      <c r="Y47" s="357">
        <f>'0_Total'!CO110</f>
        <v>20.812612912314112</v>
      </c>
      <c r="Z47" s="357">
        <f>'0_Total'!CP110</f>
        <v>21.204752454777264</v>
      </c>
      <c r="AA47" s="357">
        <f>'0_Total'!CQ110</f>
        <v>19.88415797950395</v>
      </c>
      <c r="AB47" s="357">
        <f>'0_Total'!CR110</f>
        <v>21.37428824086393</v>
      </c>
      <c r="AC47" s="357">
        <f>'0_Total'!CS110</f>
        <v>17.954854708383174</v>
      </c>
      <c r="AD47" s="357">
        <f>'0_Total'!DQ110</f>
        <v>55.117412150243709</v>
      </c>
      <c r="AE47" s="357">
        <f>'0_Total'!DR110</f>
        <v>54.428327743207582</v>
      </c>
      <c r="AF47" s="357">
        <f>'0_Total'!DU110</f>
        <v>60.074368871442424</v>
      </c>
      <c r="AG47" s="357">
        <f>'0_Total'!DT110</f>
        <v>60.074368871442424</v>
      </c>
      <c r="AH47" s="357">
        <f>'0_Total'!DW110</f>
        <v>62.156977101681122</v>
      </c>
      <c r="AI47" s="357">
        <f>'0_Total'!ED110</f>
        <v>2090.6468081882867</v>
      </c>
      <c r="AK47" s="356"/>
      <c r="AN47" s="357"/>
      <c r="AO47" s="357"/>
      <c r="AP47" s="357"/>
      <c r="AQ47" s="357"/>
      <c r="AR47" s="357"/>
      <c r="AS47" s="357"/>
      <c r="AT47" s="357"/>
      <c r="BF47" s="350"/>
      <c r="BM47" s="357"/>
      <c r="BN47" s="357"/>
      <c r="BO47" s="357"/>
      <c r="BP47" s="357"/>
      <c r="BQ47" s="357"/>
      <c r="BR47" s="357"/>
      <c r="BS47" s="357"/>
      <c r="BT47" s="357"/>
      <c r="BU47" s="357"/>
      <c r="BV47" s="357"/>
      <c r="BZ47" s="357"/>
      <c r="CB47" s="357"/>
      <c r="CC47" s="357"/>
      <c r="CD47" s="357"/>
      <c r="CE47" s="357"/>
    </row>
    <row r="48" spans="2:83" x14ac:dyDescent="0.3">
      <c r="B48" s="358" t="s">
        <v>850</v>
      </c>
      <c r="C48" s="508">
        <f>C58+C57*C60</f>
        <v>0</v>
      </c>
      <c r="D48" s="508">
        <f t="shared" ref="D48:Q48" si="4">D58+D57*D60</f>
        <v>34.727515897616378</v>
      </c>
      <c r="E48" s="508">
        <f t="shared" ref="E48" si="5">E58+E57*E60</f>
        <v>24.702441658055509</v>
      </c>
      <c r="F48" s="508">
        <f t="shared" si="4"/>
        <v>0</v>
      </c>
      <c r="G48" s="508">
        <f t="shared" si="4"/>
        <v>24.702441658055513</v>
      </c>
      <c r="H48" s="508">
        <f t="shared" si="4"/>
        <v>0</v>
      </c>
      <c r="I48" s="508">
        <f t="shared" si="4"/>
        <v>24.702441658055513</v>
      </c>
      <c r="J48" s="508">
        <f t="shared" si="4"/>
        <v>0</v>
      </c>
      <c r="K48" s="508">
        <f t="shared" si="4"/>
        <v>0</v>
      </c>
      <c r="L48" s="508">
        <f t="shared" si="4"/>
        <v>0</v>
      </c>
      <c r="M48" s="508">
        <f t="shared" si="4"/>
        <v>13.516430341200186</v>
      </c>
      <c r="N48" s="508">
        <f t="shared" si="4"/>
        <v>0</v>
      </c>
      <c r="O48" s="508">
        <f t="shared" si="4"/>
        <v>0</v>
      </c>
      <c r="P48" s="508">
        <f t="shared" si="4"/>
        <v>0</v>
      </c>
      <c r="Q48" s="508">
        <f t="shared" si="4"/>
        <v>0</v>
      </c>
      <c r="R48" s="508">
        <f>R58+R57*R60</f>
        <v>0</v>
      </c>
      <c r="S48" s="508">
        <f t="shared" ref="S48:AI48" si="6">S58+S57*S60</f>
        <v>67.200074429100653</v>
      </c>
      <c r="T48" s="508">
        <f t="shared" si="6"/>
        <v>47.301912953448472</v>
      </c>
      <c r="U48" s="508">
        <f t="shared" si="6"/>
        <v>11.795531421978701</v>
      </c>
      <c r="V48" s="508">
        <f t="shared" si="6"/>
        <v>11.795531421978701</v>
      </c>
      <c r="W48" s="508">
        <f t="shared" si="6"/>
        <v>59.37056417703522</v>
      </c>
      <c r="X48" s="508">
        <f t="shared" si="6"/>
        <v>90.213798548655646</v>
      </c>
      <c r="Y48" s="508">
        <f t="shared" si="6"/>
        <v>67.200074429100653</v>
      </c>
      <c r="Z48" s="508">
        <f t="shared" si="6"/>
        <v>47.301912953448472</v>
      </c>
      <c r="AA48" s="508">
        <f t="shared" si="6"/>
        <v>11.795531421978701</v>
      </c>
      <c r="AB48" s="508">
        <f t="shared" si="6"/>
        <v>11.795531421978701</v>
      </c>
      <c r="AC48" s="508">
        <f t="shared" si="6"/>
        <v>59.37056417703522</v>
      </c>
      <c r="AD48" s="508">
        <f t="shared" si="6"/>
        <v>122.12056248962332</v>
      </c>
      <c r="AE48" s="508">
        <f t="shared" si="6"/>
        <v>89.898063739589688</v>
      </c>
      <c r="AF48" s="508">
        <f t="shared" si="6"/>
        <v>17.786026168126309</v>
      </c>
      <c r="AG48" s="508">
        <f t="shared" si="6"/>
        <v>17.786026168126309</v>
      </c>
      <c r="AH48" s="508">
        <f t="shared" si="6"/>
        <v>74.653226427404377</v>
      </c>
      <c r="AI48" s="508">
        <f t="shared" si="6"/>
        <v>0</v>
      </c>
      <c r="AK48" s="356"/>
      <c r="AN48" s="357"/>
      <c r="AO48" s="357"/>
      <c r="AP48" s="357"/>
      <c r="AQ48" s="357"/>
      <c r="AR48" s="357"/>
      <c r="AS48" s="357"/>
      <c r="AT48" s="357"/>
      <c r="BF48" s="350"/>
      <c r="BM48" s="357"/>
      <c r="BN48" s="357"/>
      <c r="BO48" s="357"/>
      <c r="BP48" s="357"/>
      <c r="BQ48" s="357"/>
      <c r="BR48" s="357"/>
      <c r="BS48" s="357"/>
      <c r="BT48" s="357"/>
      <c r="BU48" s="357"/>
      <c r="BV48" s="357"/>
      <c r="BZ48" s="357"/>
      <c r="CB48" s="357"/>
      <c r="CC48" s="357"/>
      <c r="CD48" s="357"/>
      <c r="CE48" s="357"/>
    </row>
    <row r="49" spans="2:83" hidden="1" x14ac:dyDescent="0.3">
      <c r="B49" s="358" t="s">
        <v>1063</v>
      </c>
      <c r="C49" s="357">
        <v>225.8831960379388</v>
      </c>
      <c r="D49" s="357">
        <v>92.000625319612908</v>
      </c>
      <c r="E49" s="357">
        <v>92.000625319612908</v>
      </c>
      <c r="F49" s="357">
        <v>109.2715625573851</v>
      </c>
      <c r="G49" s="357">
        <v>109.74665673023698</v>
      </c>
      <c r="H49" s="357">
        <v>134.5247173832434</v>
      </c>
      <c r="I49" s="357">
        <v>146.93726718801878</v>
      </c>
      <c r="J49" s="357">
        <v>170.94671713201515</v>
      </c>
      <c r="K49" s="357">
        <v>198.6553751289735</v>
      </c>
      <c r="N49" s="349"/>
      <c r="O49" s="355"/>
      <c r="P49" s="354"/>
      <c r="Q49" s="354"/>
      <c r="R49" s="354"/>
      <c r="S49" s="354"/>
      <c r="T49" s="354"/>
      <c r="U49" s="354"/>
      <c r="V49" s="354"/>
      <c r="W49" s="354"/>
      <c r="X49" s="354"/>
      <c r="Y49" s="354"/>
      <c r="Z49" s="354"/>
      <c r="AA49" s="354"/>
      <c r="AB49" s="354"/>
      <c r="AC49" s="354"/>
      <c r="AD49" s="354"/>
      <c r="AE49" s="354"/>
      <c r="AF49" s="354"/>
      <c r="AG49" s="354"/>
      <c r="AH49" s="354"/>
      <c r="AK49" s="355"/>
      <c r="AL49" s="354"/>
      <c r="AM49" s="354"/>
      <c r="AN49" s="354"/>
      <c r="AO49" s="354"/>
      <c r="AP49" s="354"/>
      <c r="AQ49" s="354"/>
      <c r="AR49" s="354"/>
      <c r="AS49" s="354"/>
      <c r="AT49" s="354"/>
      <c r="AU49" s="354"/>
      <c r="AV49" s="354"/>
      <c r="AX49" s="350"/>
    </row>
    <row r="50" spans="2:83" hidden="1" x14ac:dyDescent="0.3">
      <c r="B50" s="358" t="s">
        <v>1062</v>
      </c>
      <c r="C50" s="357">
        <v>235.34686736744837</v>
      </c>
      <c r="D50" s="357">
        <v>20.138098699878793</v>
      </c>
      <c r="E50" s="357">
        <v>20.138098699878793</v>
      </c>
      <c r="F50" s="357">
        <v>29.082532108575009</v>
      </c>
      <c r="G50" s="357">
        <v>47.360170627588715</v>
      </c>
      <c r="H50" s="357">
        <v>92.462424726943624</v>
      </c>
      <c r="I50" s="357">
        <v>123.41082373994841</v>
      </c>
      <c r="J50" s="357">
        <v>147.75164600715308</v>
      </c>
      <c r="K50" s="357">
        <v>190.45060506651421</v>
      </c>
      <c r="N50" s="349"/>
      <c r="O50" s="355"/>
      <c r="P50" s="354"/>
      <c r="Q50" s="354"/>
      <c r="R50" s="354"/>
      <c r="S50" s="354"/>
      <c r="T50" s="354"/>
      <c r="U50" s="354"/>
      <c r="V50" s="354"/>
      <c r="W50" s="354"/>
      <c r="X50" s="354"/>
      <c r="Y50" s="354"/>
      <c r="Z50" s="354"/>
      <c r="AA50" s="354"/>
      <c r="AB50" s="354"/>
      <c r="AC50" s="354"/>
      <c r="AD50" s="354"/>
      <c r="AE50" s="354"/>
      <c r="AF50" s="354"/>
      <c r="AG50" s="354"/>
      <c r="AH50" s="354"/>
      <c r="AK50" s="355"/>
      <c r="AL50" s="354"/>
      <c r="AM50" s="354"/>
      <c r="AN50" s="354"/>
      <c r="AO50" s="354"/>
      <c r="AP50" s="354"/>
      <c r="AQ50" s="354"/>
      <c r="AR50" s="354"/>
      <c r="AS50" s="354"/>
      <c r="AT50" s="354"/>
      <c r="AU50" s="354"/>
      <c r="AV50" s="354"/>
      <c r="AX50" s="350"/>
    </row>
    <row r="51" spans="2:83" hidden="1" x14ac:dyDescent="0.3">
      <c r="B51" s="358" t="s">
        <v>1061</v>
      </c>
      <c r="C51" s="357">
        <v>169.63000923799299</v>
      </c>
      <c r="D51" s="357">
        <v>57.028326808897397</v>
      </c>
      <c r="E51" s="357">
        <v>57.028326808897397</v>
      </c>
      <c r="F51" s="357">
        <v>66.108608232937002</v>
      </c>
      <c r="G51" s="357">
        <v>73.1615339584623</v>
      </c>
      <c r="H51" s="357">
        <v>87.042263228114194</v>
      </c>
      <c r="I51" s="357">
        <v>82.788852695901895</v>
      </c>
      <c r="J51" s="357">
        <v>106.35742590613199</v>
      </c>
      <c r="K51" s="357">
        <v>130.467437832401</v>
      </c>
      <c r="N51" s="349"/>
      <c r="O51" s="355"/>
      <c r="P51" s="354"/>
      <c r="Q51" s="354"/>
      <c r="R51" s="354"/>
      <c r="S51" s="354"/>
      <c r="T51" s="354"/>
      <c r="U51" s="354"/>
      <c r="V51" s="354"/>
      <c r="W51" s="354"/>
      <c r="X51" s="354"/>
      <c r="Y51" s="354"/>
      <c r="Z51" s="354"/>
      <c r="AA51" s="354"/>
      <c r="AB51" s="354"/>
      <c r="AC51" s="354"/>
      <c r="AD51" s="354"/>
      <c r="AE51" s="354"/>
      <c r="AF51" s="354"/>
      <c r="AG51" s="354"/>
      <c r="AH51" s="354"/>
      <c r="AK51" s="355"/>
      <c r="AL51" s="354"/>
      <c r="AM51" s="354"/>
      <c r="AN51" s="354"/>
      <c r="AO51" s="354"/>
      <c r="AP51" s="354"/>
      <c r="AQ51" s="354"/>
      <c r="AR51" s="354"/>
      <c r="AS51" s="354"/>
      <c r="AT51" s="354"/>
      <c r="AU51" s="354"/>
      <c r="AV51" s="354"/>
      <c r="AX51" s="350"/>
    </row>
    <row r="52" spans="2:83" hidden="1" x14ac:dyDescent="0.3">
      <c r="B52" s="358" t="s">
        <v>1060</v>
      </c>
      <c r="C52" s="357">
        <v>129.54562060471599</v>
      </c>
      <c r="D52" s="357">
        <v>64.575287204428093</v>
      </c>
      <c r="E52" s="357">
        <v>64.575287204428093</v>
      </c>
      <c r="F52" s="357">
        <v>72.039757217874197</v>
      </c>
      <c r="G52" s="357">
        <v>74.833619113601898</v>
      </c>
      <c r="H52" s="357">
        <v>76.416043285393002</v>
      </c>
      <c r="I52" s="357">
        <v>56.436216180368902</v>
      </c>
      <c r="J52" s="357">
        <v>77.511185806366001</v>
      </c>
      <c r="K52" s="357">
        <v>94.288071043957402</v>
      </c>
      <c r="N52" s="349"/>
      <c r="O52" s="355"/>
      <c r="P52" s="354"/>
      <c r="Q52" s="354"/>
      <c r="R52" s="354"/>
      <c r="S52" s="354"/>
      <c r="T52" s="354"/>
      <c r="U52" s="354"/>
      <c r="V52" s="354"/>
      <c r="W52" s="354"/>
      <c r="X52" s="354"/>
      <c r="Y52" s="354"/>
      <c r="Z52" s="354"/>
      <c r="AA52" s="354"/>
      <c r="AB52" s="354"/>
      <c r="AC52" s="354"/>
      <c r="AD52" s="354"/>
      <c r="AE52" s="354"/>
      <c r="AF52" s="354"/>
      <c r="AG52" s="354"/>
      <c r="AH52" s="354"/>
      <c r="AK52" s="355"/>
      <c r="AL52" s="354"/>
      <c r="AM52" s="354"/>
      <c r="AN52" s="354"/>
      <c r="AO52" s="354"/>
      <c r="AP52" s="354"/>
      <c r="AQ52" s="354"/>
      <c r="AR52" s="354"/>
      <c r="AS52" s="354"/>
      <c r="AT52" s="354"/>
      <c r="AU52" s="354"/>
      <c r="AV52" s="354"/>
      <c r="AX52" s="350"/>
    </row>
    <row r="53" spans="2:83" hidden="1" x14ac:dyDescent="0.3">
      <c r="B53" s="358" t="s">
        <v>1059</v>
      </c>
      <c r="C53" s="357">
        <v>89.461231971439403</v>
      </c>
      <c r="D53" s="357">
        <v>72.122247599958797</v>
      </c>
      <c r="E53" s="357">
        <v>72.122247599958797</v>
      </c>
      <c r="F53" s="357">
        <v>77.970906202811506</v>
      </c>
      <c r="G53" s="357">
        <v>76.505704268741596</v>
      </c>
      <c r="H53" s="357">
        <v>65.789823342671895</v>
      </c>
      <c r="I53" s="357">
        <v>30.0835796648349</v>
      </c>
      <c r="J53" s="357">
        <v>48.664945706598999</v>
      </c>
      <c r="K53" s="357">
        <v>58.108704255513402</v>
      </c>
      <c r="N53" s="349"/>
      <c r="O53" s="355"/>
      <c r="P53" s="354"/>
      <c r="Q53" s="354"/>
      <c r="R53" s="354"/>
      <c r="S53" s="354"/>
      <c r="T53" s="354"/>
      <c r="U53" s="354"/>
      <c r="V53" s="354"/>
      <c r="W53" s="354"/>
      <c r="X53" s="354"/>
      <c r="Y53" s="354"/>
      <c r="Z53" s="354"/>
      <c r="AA53" s="354"/>
      <c r="AB53" s="354"/>
      <c r="AC53" s="354"/>
      <c r="AD53" s="354"/>
      <c r="AE53" s="354"/>
      <c r="AF53" s="354"/>
      <c r="AG53" s="354"/>
      <c r="AH53" s="354"/>
      <c r="AK53" s="355"/>
      <c r="AL53" s="354"/>
      <c r="AM53" s="354"/>
      <c r="AN53" s="354"/>
      <c r="AO53" s="354"/>
      <c r="AP53" s="354"/>
      <c r="AQ53" s="354"/>
      <c r="AR53" s="354"/>
      <c r="AS53" s="354"/>
      <c r="AT53" s="354"/>
      <c r="AU53" s="354"/>
      <c r="AV53" s="354"/>
      <c r="AX53" s="350"/>
    </row>
    <row r="54" spans="2:83" hidden="1" x14ac:dyDescent="0.3">
      <c r="B54" s="358" t="s">
        <v>1058</v>
      </c>
      <c r="C54" s="357">
        <v>49.376843338162402</v>
      </c>
      <c r="D54" s="357">
        <v>79.669207995489501</v>
      </c>
      <c r="E54" s="357">
        <v>79.669207995489501</v>
      </c>
      <c r="F54" s="357">
        <v>83.9020551877488</v>
      </c>
      <c r="G54" s="357">
        <v>78.177789423881194</v>
      </c>
      <c r="H54" s="357">
        <v>55.163603399950702</v>
      </c>
      <c r="I54" s="357">
        <v>3.7309431493018801</v>
      </c>
      <c r="J54" s="357">
        <v>19.818705606832999</v>
      </c>
      <c r="K54" s="357">
        <v>21.929337467069399</v>
      </c>
      <c r="N54" s="349"/>
      <c r="O54" s="355"/>
      <c r="P54" s="354"/>
      <c r="Q54" s="354"/>
      <c r="R54" s="354"/>
      <c r="S54" s="354"/>
      <c r="T54" s="354"/>
      <c r="U54" s="354"/>
      <c r="V54" s="354"/>
      <c r="W54" s="354"/>
      <c r="X54" s="354"/>
      <c r="Y54" s="354"/>
      <c r="Z54" s="354"/>
      <c r="AA54" s="354"/>
      <c r="AB54" s="354"/>
      <c r="AC54" s="354"/>
      <c r="AD54" s="354"/>
      <c r="AE54" s="354"/>
      <c r="AF54" s="354"/>
      <c r="AG54" s="354"/>
      <c r="AH54" s="354"/>
      <c r="AK54" s="355"/>
      <c r="AL54" s="354"/>
      <c r="AM54" s="354"/>
      <c r="AN54" s="354"/>
      <c r="AO54" s="354"/>
      <c r="AP54" s="354"/>
      <c r="AQ54" s="354"/>
      <c r="AR54" s="354"/>
      <c r="AS54" s="354"/>
      <c r="AT54" s="354"/>
      <c r="AU54" s="354"/>
      <c r="AV54" s="354"/>
      <c r="AX54" s="350"/>
    </row>
    <row r="55" spans="2:83" x14ac:dyDescent="0.3">
      <c r="N55" s="349"/>
      <c r="O55" s="355"/>
      <c r="P55" s="354"/>
      <c r="Q55" s="354"/>
      <c r="R55" s="354"/>
      <c r="S55" s="354"/>
      <c r="T55" s="354"/>
      <c r="U55" s="354"/>
      <c r="V55" s="354"/>
      <c r="W55" s="354"/>
      <c r="X55" s="354"/>
      <c r="Y55" s="354"/>
      <c r="Z55" s="354"/>
      <c r="AA55" s="354"/>
      <c r="AB55" s="354"/>
      <c r="AC55" s="354"/>
      <c r="AD55" s="354"/>
      <c r="AE55" s="354"/>
      <c r="AF55" s="354"/>
      <c r="AG55" s="354"/>
      <c r="AH55" s="354"/>
      <c r="AK55" s="355"/>
      <c r="AL55" s="354"/>
      <c r="AM55" s="354"/>
      <c r="AN55" s="354"/>
      <c r="AO55" s="354"/>
      <c r="AP55" s="354"/>
      <c r="AQ55" s="354"/>
      <c r="AR55" s="354"/>
      <c r="AS55" s="354"/>
      <c r="AT55" s="354"/>
      <c r="AU55" s="354"/>
      <c r="AV55" s="354"/>
      <c r="AX55" s="350"/>
    </row>
    <row r="56" spans="2:83" x14ac:dyDescent="0.3">
      <c r="N56" s="349"/>
      <c r="O56" s="355"/>
      <c r="P56" s="354"/>
      <c r="Q56" s="354"/>
      <c r="R56" s="354"/>
      <c r="S56" s="354"/>
      <c r="T56" s="354"/>
      <c r="U56" s="354"/>
      <c r="V56" s="354"/>
      <c r="W56" s="354"/>
      <c r="X56" s="354"/>
      <c r="Y56" s="354"/>
      <c r="Z56" s="354"/>
      <c r="AA56" s="354"/>
      <c r="AB56" s="354"/>
      <c r="AC56" s="354"/>
      <c r="AD56" s="354"/>
      <c r="AE56" s="354"/>
      <c r="AF56" s="354"/>
      <c r="AG56" s="354"/>
      <c r="AH56" s="354"/>
      <c r="AK56" s="355"/>
      <c r="AL56" s="354"/>
      <c r="AM56" s="354"/>
      <c r="AN56" s="354"/>
      <c r="AO56" s="354"/>
      <c r="AP56" s="354"/>
      <c r="AQ56" s="354"/>
      <c r="AR56" s="354"/>
      <c r="AS56" s="354"/>
      <c r="AT56" s="354"/>
      <c r="AU56" s="354"/>
      <c r="AV56" s="354"/>
      <c r="AX56" s="350"/>
    </row>
    <row r="57" spans="2:83" x14ac:dyDescent="0.3">
      <c r="B57" s="358" t="s">
        <v>1130</v>
      </c>
      <c r="C57" s="357">
        <f>'0_Total'!D108</f>
        <v>1.4239176699373322</v>
      </c>
      <c r="D57" s="357">
        <f>'0_Total'!W108</f>
        <v>1.4239176699373322</v>
      </c>
      <c r="E57" s="357">
        <f>'0_Total'!AE108</f>
        <v>1.5404200247503861</v>
      </c>
      <c r="F57" s="357">
        <f>'0_Total'!AG108</f>
        <v>0</v>
      </c>
      <c r="G57" s="357">
        <f>'0_Total'!AI108</f>
        <v>0</v>
      </c>
      <c r="H57" s="357">
        <f>'0_Total'!AH108</f>
        <v>2.7183882789712701</v>
      </c>
      <c r="I57" s="357">
        <f>'0_Total'!AJ108</f>
        <v>2.7183882789712706</v>
      </c>
      <c r="J57" s="357">
        <f>'0_Total'!AK108</f>
        <v>53.73696412283369</v>
      </c>
      <c r="K57" s="357">
        <f>'0_Total'!AL108</f>
        <v>4.5324601156650521</v>
      </c>
      <c r="L57" s="357">
        <f>'0_Total'!AM108</f>
        <v>53.736964122833704</v>
      </c>
      <c r="M57" s="357">
        <f>'0_Total'!AN108</f>
        <v>4.5324601156650521</v>
      </c>
      <c r="N57" s="357">
        <f>'0_Total'!AO108</f>
        <v>188.44819056</v>
      </c>
      <c r="O57" s="357">
        <f>'0_Total'!AP108</f>
        <v>140.37467256000002</v>
      </c>
      <c r="P57" s="357">
        <f>'0_Total'!AQ108</f>
        <v>63.989631793861733</v>
      </c>
      <c r="Q57" s="357">
        <f>'0_Total'!AX108</f>
        <v>24.639762308275344</v>
      </c>
      <c r="R57" s="357">
        <f>'0_Total'!BB108</f>
        <v>124.01955766948878</v>
      </c>
      <c r="S57" s="357">
        <f>'0_Total'!CI108</f>
        <v>119.15403910203921</v>
      </c>
      <c r="T57" s="357">
        <f>'0_Total'!CJ108</f>
        <v>83.872139034651426</v>
      </c>
      <c r="U57" s="357">
        <f>'0_Total'!CK108</f>
        <v>20.914935351249316</v>
      </c>
      <c r="V57" s="357">
        <f>'0_Total'!CL108</f>
        <v>20.914935351249316</v>
      </c>
      <c r="W57" s="357">
        <f>'0_Total'!CM108</f>
        <v>105.27134955667724</v>
      </c>
      <c r="X57" s="357">
        <f>'0_Total'!BI108</f>
        <v>159.96021687671012</v>
      </c>
      <c r="Y57" s="357">
        <f>'0_Total'!BJ108</f>
        <v>119.15403910203921</v>
      </c>
      <c r="Z57" s="357">
        <f>'0_Total'!BK108</f>
        <v>83.872139034651426</v>
      </c>
      <c r="AA57" s="357">
        <f>'0_Total'!BT108</f>
        <v>20.914935351249316</v>
      </c>
      <c r="AB57" s="357">
        <f>'0_Total'!CC108</f>
        <v>20.914935351249316</v>
      </c>
      <c r="AC57" s="357">
        <f>'0_Total'!CG108</f>
        <v>105.27134955667724</v>
      </c>
      <c r="AD57" s="357">
        <f>'0_Total'!DQ108</f>
        <v>1099.0850624066097</v>
      </c>
      <c r="AE57" s="357">
        <f>'0_Total'!DR108</f>
        <v>809.0825736563072</v>
      </c>
      <c r="AF57" s="357">
        <f>'0_Total'!DU108</f>
        <v>160.07423551313678</v>
      </c>
      <c r="AG57" s="357">
        <f>'0_Total'!DT108</f>
        <v>160.07423551313678</v>
      </c>
      <c r="AH57" s="357">
        <f>'0_Total'!DW108</f>
        <v>671.87903784663933</v>
      </c>
      <c r="AI57" s="357">
        <f>'0_Total'!ED108</f>
        <v>2293.9457492758092</v>
      </c>
      <c r="AK57" s="356"/>
      <c r="AN57" s="357"/>
      <c r="AO57" s="357"/>
      <c r="AP57" s="357"/>
      <c r="AQ57" s="357"/>
      <c r="AR57" s="357"/>
      <c r="AS57" s="357"/>
      <c r="AT57" s="357"/>
      <c r="BF57" s="350"/>
      <c r="BM57" s="357"/>
      <c r="BN57" s="357"/>
      <c r="BO57" s="357"/>
      <c r="BP57" s="357"/>
      <c r="BQ57" s="357"/>
      <c r="BR57" s="357"/>
      <c r="BS57" s="357"/>
      <c r="BT57" s="357"/>
      <c r="BU57" s="357"/>
      <c r="BV57" s="357"/>
      <c r="BZ57" s="357"/>
      <c r="CB57" s="357"/>
      <c r="CC57" s="357"/>
      <c r="CD57" s="357"/>
      <c r="CE57" s="357"/>
    </row>
    <row r="58" spans="2:83" x14ac:dyDescent="0.3">
      <c r="B58" s="358" t="s">
        <v>850</v>
      </c>
      <c r="C58" s="357">
        <f>'0_Total'!D109</f>
        <v>0</v>
      </c>
      <c r="D58" s="357">
        <f>'0_Total'!W109</f>
        <v>34.727515897616378</v>
      </c>
      <c r="E58" s="357">
        <f>'0_Total'!AE109</f>
        <v>24.702441658055509</v>
      </c>
      <c r="F58" s="357">
        <f>'0_Total'!AG109</f>
        <v>0</v>
      </c>
      <c r="G58" s="357">
        <f>'0_Total'!AI109</f>
        <v>24.702441658055513</v>
      </c>
      <c r="H58" s="357">
        <f>'0_Total'!AH109</f>
        <v>0</v>
      </c>
      <c r="I58" s="357">
        <f>'0_Total'!AJ109</f>
        <v>24.702441658055513</v>
      </c>
      <c r="J58" s="357">
        <f>'0_Total'!AK109</f>
        <v>0</v>
      </c>
      <c r="K58" s="357">
        <f>'0_Total'!AL109</f>
        <v>0</v>
      </c>
      <c r="L58" s="357">
        <f>'0_Total'!AM109</f>
        <v>0</v>
      </c>
      <c r="M58" s="357">
        <f>'0_Total'!AN109</f>
        <v>13.516430341200186</v>
      </c>
      <c r="N58" s="357">
        <f>'0_Total'!AO109</f>
        <v>0</v>
      </c>
      <c r="O58" s="357">
        <f>'0_Total'!AP109</f>
        <v>0</v>
      </c>
      <c r="P58" s="357">
        <f>'0_Total'!AQ109</f>
        <v>0</v>
      </c>
      <c r="Q58" s="357">
        <f>'0_Total'!AX109</f>
        <v>0</v>
      </c>
      <c r="R58" s="357">
        <f>'0_Total'!BB109</f>
        <v>0</v>
      </c>
      <c r="S58" s="357">
        <f>'0_Total'!CI109</f>
        <v>21.220633457960822</v>
      </c>
      <c r="T58" s="357">
        <f>'0_Total'!CJ109</f>
        <v>14.937134596547686</v>
      </c>
      <c r="U58" s="357">
        <f>'0_Total'!CK109</f>
        <v>3.7248269570260257</v>
      </c>
      <c r="V58" s="357">
        <f>'0_Total'!CL109</f>
        <v>3.7248269570260257</v>
      </c>
      <c r="W58" s="357">
        <f>'0_Total'!CM109</f>
        <v>18.748208112811529</v>
      </c>
      <c r="X58" s="357">
        <f>'0_Total'!BI109</f>
        <v>28.487973683289862</v>
      </c>
      <c r="Y58" s="357">
        <f>'0_Total'!BJ109</f>
        <v>21.220633457960822</v>
      </c>
      <c r="Z58" s="357">
        <f>'0_Total'!BK109</f>
        <v>14.937134596547686</v>
      </c>
      <c r="AA58" s="357">
        <f>'0_Total'!BT109</f>
        <v>3.7248269570260257</v>
      </c>
      <c r="AB58" s="357">
        <f>'0_Total'!CC109</f>
        <v>3.7248269570260257</v>
      </c>
      <c r="AC58" s="357">
        <f>'0_Total'!CG109</f>
        <v>18.748208112811529</v>
      </c>
      <c r="AD58" s="357">
        <f>'0_Total'!DQ109</f>
        <v>122.12056248962332</v>
      </c>
      <c r="AE58" s="357">
        <f>'0_Total'!DR109</f>
        <v>89.898063739589688</v>
      </c>
      <c r="AF58" s="357">
        <f>'0_Total'!DU109</f>
        <v>17.786026168126309</v>
      </c>
      <c r="AG58" s="357">
        <f>'0_Total'!DT109</f>
        <v>17.786026168126309</v>
      </c>
      <c r="AH58" s="357">
        <f>'0_Total'!DW109</f>
        <v>74.653226427404377</v>
      </c>
      <c r="AI58" s="357">
        <f>'0_Total'!ED109</f>
        <v>0</v>
      </c>
      <c r="AK58" s="356"/>
      <c r="AN58" s="357"/>
      <c r="AO58" s="357"/>
      <c r="AP58" s="357"/>
      <c r="AQ58" s="357"/>
      <c r="AR58" s="357"/>
      <c r="AS58" s="357"/>
      <c r="AT58" s="357"/>
      <c r="BF58" s="350"/>
      <c r="BM58" s="357"/>
      <c r="BN58" s="357"/>
      <c r="BO58" s="357"/>
      <c r="BP58" s="357"/>
      <c r="BQ58" s="357"/>
      <c r="BR58" s="357"/>
      <c r="BS58" s="357"/>
      <c r="BT58" s="357"/>
      <c r="BU58" s="357"/>
      <c r="BV58" s="357"/>
      <c r="BZ58" s="357"/>
      <c r="CB58" s="357"/>
      <c r="CC58" s="357"/>
      <c r="CD58" s="357"/>
      <c r="CE58" s="357"/>
    </row>
    <row r="59" spans="2:83" x14ac:dyDescent="0.3">
      <c r="N59" s="349"/>
      <c r="O59" s="350"/>
      <c r="P59" s="350"/>
      <c r="Q59" s="350"/>
      <c r="AB59" s="349"/>
      <c r="AJ59" s="350"/>
      <c r="AO59" s="349"/>
      <c r="AW59" s="350"/>
    </row>
    <row r="60" spans="2:83" s="507" customFormat="1" x14ac:dyDescent="0.3">
      <c r="B60" s="507" t="str">
        <f>Tech_Spec_TNC!P12&amp;" vkm (excluding commute)"</f>
        <v>Deadheading, % of total vkm (excluding commute)</v>
      </c>
      <c r="C60" s="358"/>
      <c r="D60" s="358"/>
      <c r="E60" s="358"/>
      <c r="F60" s="358"/>
      <c r="G60" s="358"/>
      <c r="H60" s="358"/>
      <c r="I60" s="358"/>
      <c r="J60" s="358"/>
      <c r="K60" s="358"/>
      <c r="O60" s="358"/>
      <c r="P60" s="358"/>
      <c r="Q60" s="358"/>
      <c r="R60" s="358"/>
      <c r="S60" s="358">
        <f>Tech_Spec_TNC!$O$14/SUM(Tech_Spec_TNC!$O$13,Tech_Spec_TNC!$O$14)</f>
        <v>0.38588235294117645</v>
      </c>
      <c r="T60" s="507">
        <f>Tech_Spec_TNC!$O$14/SUM(Tech_Spec_TNC!$O$13,Tech_Spec_TNC!$O$14)</f>
        <v>0.38588235294117645</v>
      </c>
      <c r="U60" s="507">
        <f>Tech_Spec_TNC!$O$14/SUM(Tech_Spec_TNC!$O$13,Tech_Spec_TNC!$O$14)</f>
        <v>0.38588235294117645</v>
      </c>
      <c r="V60" s="507">
        <f>Tech_Spec_TNC!$O$14/SUM(Tech_Spec_TNC!$O$13,Tech_Spec_TNC!$O$14)</f>
        <v>0.38588235294117645</v>
      </c>
      <c r="W60" s="507">
        <f>Tech_Spec_TNC!$O$14/SUM(Tech_Spec_TNC!$O$13,Tech_Spec_TNC!$O$14)</f>
        <v>0.38588235294117645</v>
      </c>
      <c r="X60" s="358">
        <f>Tech_Spec_TNC!$O$14/SUM(Tech_Spec_TNC!$O$13,Tech_Spec_TNC!$O$14)</f>
        <v>0.38588235294117645</v>
      </c>
      <c r="Y60" s="507">
        <f>X60</f>
        <v>0.38588235294117645</v>
      </c>
      <c r="Z60" s="507">
        <f>Y60</f>
        <v>0.38588235294117645</v>
      </c>
      <c r="AA60" s="507">
        <f>Z60</f>
        <v>0.38588235294117645</v>
      </c>
      <c r="AB60" s="507">
        <f>AA60</f>
        <v>0.38588235294117645</v>
      </c>
      <c r="AC60" s="507">
        <f>AB60</f>
        <v>0.38588235294117645</v>
      </c>
      <c r="AK60" s="358"/>
      <c r="AX60" s="358"/>
    </row>
    <row r="61" spans="2:83" x14ac:dyDescent="0.3">
      <c r="B61" s="352"/>
      <c r="C61" s="351"/>
      <c r="D61" s="351"/>
      <c r="E61" s="351"/>
      <c r="F61" s="351"/>
      <c r="G61" s="351"/>
      <c r="H61" s="351"/>
      <c r="I61" s="351"/>
      <c r="J61" s="351"/>
      <c r="K61" s="351"/>
      <c r="N61" s="349"/>
      <c r="O61" s="350"/>
      <c r="P61" s="350"/>
      <c r="Q61" s="350"/>
      <c r="AB61" s="349"/>
      <c r="AJ61" s="350"/>
      <c r="AO61" s="349"/>
      <c r="AW61" s="350"/>
    </row>
    <row r="62" spans="2:83" x14ac:dyDescent="0.3">
      <c r="B62" s="352"/>
      <c r="C62" s="351"/>
      <c r="D62" s="351"/>
      <c r="E62" s="351"/>
      <c r="F62" s="351"/>
      <c r="G62" s="351"/>
      <c r="H62" s="351"/>
      <c r="I62" s="351"/>
      <c r="J62" s="351"/>
      <c r="K62" s="351"/>
      <c r="N62" s="349"/>
      <c r="O62" s="350"/>
      <c r="P62" s="350"/>
      <c r="Q62" s="350"/>
      <c r="AB62" s="349"/>
      <c r="AJ62" s="350"/>
      <c r="AO62" s="349"/>
      <c r="AW62" s="350"/>
    </row>
    <row r="63" spans="2:83" x14ac:dyDescent="0.3">
      <c r="B63" s="352"/>
      <c r="C63" s="351"/>
      <c r="D63" s="351"/>
      <c r="E63" s="351"/>
      <c r="F63" s="351"/>
      <c r="G63" s="351"/>
      <c r="H63" s="351"/>
      <c r="I63" s="351"/>
      <c r="J63" s="351"/>
      <c r="K63" s="351"/>
      <c r="N63" s="349"/>
      <c r="O63" s="350"/>
      <c r="P63" s="350"/>
      <c r="Q63" s="350"/>
      <c r="AB63" s="349"/>
      <c r="AJ63" s="350"/>
      <c r="AO63" s="349"/>
      <c r="AW63" s="350"/>
    </row>
    <row r="64" spans="2:83" x14ac:dyDescent="0.3">
      <c r="B64" s="352"/>
      <c r="C64" s="351"/>
      <c r="D64" s="351"/>
      <c r="E64" s="351"/>
      <c r="F64" s="351"/>
      <c r="G64" s="351"/>
      <c r="H64" s="351"/>
      <c r="I64" s="351"/>
      <c r="J64" s="351"/>
      <c r="O64" s="350"/>
      <c r="P64" s="350"/>
      <c r="AB64" s="349"/>
      <c r="AI64" s="350"/>
      <c r="AO64" s="349"/>
      <c r="AV64" s="350"/>
    </row>
    <row r="65" spans="2:48" x14ac:dyDescent="0.3">
      <c r="O65" s="350"/>
      <c r="P65" s="350"/>
      <c r="AB65" s="349"/>
      <c r="AI65" s="350"/>
      <c r="AO65" s="349"/>
      <c r="AV65" s="350"/>
    </row>
    <row r="66" spans="2:48" x14ac:dyDescent="0.3">
      <c r="O66" s="350"/>
      <c r="P66" s="350"/>
      <c r="AB66" s="349"/>
      <c r="AI66" s="350"/>
      <c r="AO66" s="349"/>
      <c r="AV66" s="350"/>
    </row>
    <row r="67" spans="2:48" x14ac:dyDescent="0.3">
      <c r="N67" s="349"/>
      <c r="AB67" s="349"/>
      <c r="AI67" s="350"/>
      <c r="AO67" s="349"/>
      <c r="AV67" s="350"/>
    </row>
    <row r="68" spans="2:48"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I68" s="402"/>
      <c r="AV68" s="402"/>
    </row>
    <row r="69" spans="2:48" x14ac:dyDescent="0.3">
      <c r="B69" s="405"/>
      <c r="C69" s="407"/>
      <c r="D69" s="407"/>
      <c r="E69" s="407"/>
      <c r="F69" s="407"/>
      <c r="G69" s="407"/>
      <c r="H69" s="407"/>
      <c r="I69" s="407"/>
      <c r="J69" s="407"/>
      <c r="K69" s="407"/>
      <c r="L69" s="407"/>
      <c r="M69" s="409"/>
      <c r="N69" s="409"/>
      <c r="O69" s="409"/>
      <c r="P69" s="409"/>
      <c r="Q69" s="409"/>
      <c r="R69" s="409"/>
      <c r="S69" s="409"/>
      <c r="T69" s="409"/>
      <c r="U69" s="409"/>
      <c r="V69" s="409"/>
      <c r="W69" s="409"/>
      <c r="X69" s="409"/>
      <c r="Y69" s="409"/>
      <c r="Z69" s="409"/>
      <c r="AA69" s="409"/>
      <c r="AB69" s="409"/>
      <c r="AC69" s="409"/>
      <c r="AD69" s="409"/>
      <c r="AE69" s="409"/>
      <c r="AF69" s="407"/>
      <c r="AG69" s="407"/>
      <c r="AI69" s="350"/>
      <c r="AO69" s="349"/>
      <c r="AV69" s="350"/>
    </row>
    <row r="70" spans="2:48" x14ac:dyDescent="0.3">
      <c r="B70" s="405"/>
      <c r="C70" s="406"/>
      <c r="D70" s="406"/>
      <c r="E70" s="406"/>
      <c r="F70" s="406"/>
      <c r="G70" s="406"/>
      <c r="H70" s="406"/>
      <c r="I70" s="406"/>
      <c r="J70" s="406"/>
      <c r="K70" s="406"/>
      <c r="L70" s="406"/>
      <c r="M70" s="410"/>
      <c r="N70" s="410"/>
      <c r="O70" s="410"/>
      <c r="P70" s="410"/>
      <c r="Q70" s="410"/>
      <c r="R70" s="410"/>
      <c r="S70" s="410"/>
      <c r="T70" s="410"/>
      <c r="U70" s="410"/>
      <c r="V70" s="410"/>
      <c r="W70" s="410"/>
      <c r="X70" s="410"/>
      <c r="Y70" s="410"/>
      <c r="Z70" s="410"/>
      <c r="AA70" s="410"/>
      <c r="AB70" s="410"/>
      <c r="AC70" s="410"/>
      <c r="AD70" s="410"/>
      <c r="AE70" s="410"/>
      <c r="AF70" s="406"/>
      <c r="AG70" s="406"/>
      <c r="AI70" s="350"/>
      <c r="AO70" s="349"/>
      <c r="AV70" s="350"/>
    </row>
    <row r="71" spans="2:48" x14ac:dyDescent="0.3">
      <c r="B71" s="405"/>
      <c r="C71" s="407"/>
      <c r="D71" s="407"/>
      <c r="E71" s="407"/>
      <c r="F71" s="407"/>
      <c r="G71" s="407"/>
      <c r="H71" s="407"/>
      <c r="I71" s="407"/>
      <c r="J71" s="407"/>
      <c r="K71" s="407"/>
      <c r="L71" s="407"/>
      <c r="M71" s="409"/>
      <c r="N71" s="409"/>
      <c r="O71" s="409"/>
      <c r="P71" s="409"/>
      <c r="Q71" s="409"/>
      <c r="R71" s="409"/>
      <c r="S71" s="409"/>
      <c r="T71" s="409"/>
      <c r="U71" s="409"/>
      <c r="V71" s="409"/>
      <c r="W71" s="409"/>
      <c r="X71" s="409"/>
      <c r="Y71" s="409"/>
      <c r="Z71" s="409"/>
      <c r="AA71" s="409"/>
      <c r="AB71" s="409"/>
      <c r="AC71" s="409"/>
      <c r="AD71" s="409"/>
      <c r="AE71" s="409"/>
      <c r="AF71" s="407"/>
      <c r="AG71" s="407"/>
      <c r="AI71" s="350"/>
      <c r="AO71" s="349"/>
      <c r="AV71" s="350"/>
    </row>
    <row r="72" spans="2:48" x14ac:dyDescent="0.3">
      <c r="B72" s="405"/>
      <c r="C72" s="406"/>
      <c r="D72" s="406"/>
      <c r="E72" s="406"/>
      <c r="F72" s="406"/>
      <c r="G72" s="406"/>
      <c r="H72" s="406"/>
      <c r="I72" s="406"/>
      <c r="J72" s="406"/>
      <c r="K72" s="406"/>
      <c r="L72" s="406"/>
      <c r="M72" s="410"/>
      <c r="N72" s="410"/>
      <c r="O72" s="410"/>
      <c r="P72" s="410"/>
      <c r="Q72" s="410"/>
      <c r="R72" s="410"/>
      <c r="S72" s="410"/>
      <c r="T72" s="410"/>
      <c r="U72" s="410"/>
      <c r="V72" s="410"/>
      <c r="W72" s="410"/>
      <c r="X72" s="410"/>
      <c r="Y72" s="410"/>
      <c r="Z72" s="410"/>
      <c r="AA72" s="410"/>
      <c r="AB72" s="410"/>
      <c r="AC72" s="410"/>
      <c r="AD72" s="410"/>
      <c r="AE72" s="410"/>
      <c r="AF72" s="406"/>
      <c r="AG72" s="406"/>
      <c r="AI72" s="350"/>
      <c r="AO72" s="349"/>
      <c r="AV72" s="350"/>
    </row>
    <row r="73" spans="2:48"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I73" s="350"/>
      <c r="AO73" s="349"/>
      <c r="AV73" s="350"/>
    </row>
    <row r="74" spans="2:48" x14ac:dyDescent="0.3">
      <c r="B74" s="405"/>
      <c r="C74" s="408"/>
      <c r="D74" s="408"/>
      <c r="E74" s="408"/>
      <c r="F74" s="408"/>
      <c r="G74" s="408"/>
      <c r="H74" s="408"/>
      <c r="I74" s="408"/>
      <c r="J74" s="408"/>
      <c r="K74" s="408"/>
      <c r="L74" s="408"/>
      <c r="M74" s="407"/>
      <c r="N74" s="407"/>
      <c r="O74" s="406"/>
      <c r="P74" s="406"/>
      <c r="Q74" s="407"/>
      <c r="R74" s="406"/>
      <c r="S74" s="406"/>
      <c r="T74" s="406"/>
      <c r="U74" s="406"/>
      <c r="V74" s="406"/>
      <c r="W74" s="406"/>
      <c r="X74" s="406"/>
      <c r="Y74" s="406"/>
      <c r="Z74" s="406"/>
      <c r="AA74" s="406"/>
      <c r="AB74" s="407"/>
      <c r="AC74" s="406"/>
      <c r="AD74" s="406"/>
      <c r="AE74" s="406"/>
      <c r="AF74" s="406"/>
      <c r="AG74" s="406"/>
      <c r="AI74" s="350"/>
      <c r="AO74" s="349"/>
      <c r="AV74" s="350"/>
    </row>
    <row r="75" spans="2:48"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6"/>
      <c r="AD75" s="406"/>
      <c r="AE75" s="406"/>
      <c r="AF75" s="406"/>
      <c r="AG75" s="406"/>
      <c r="AI75" s="350"/>
      <c r="AO75" s="349"/>
      <c r="AV75" s="350"/>
    </row>
    <row r="76" spans="2:48"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I76" s="350"/>
      <c r="AO76" s="349"/>
      <c r="AV76" s="350"/>
    </row>
    <row r="77" spans="2:48"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H77" s="350"/>
      <c r="AO77" s="349"/>
      <c r="AU77" s="350"/>
    </row>
    <row r="78" spans="2:48"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H78" s="350"/>
      <c r="AO78" s="349"/>
      <c r="AU78" s="350"/>
    </row>
    <row r="79" spans="2:48"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350"/>
      <c r="AO79" s="349"/>
      <c r="AT79" s="350"/>
    </row>
    <row r="80" spans="2:48" x14ac:dyDescent="0.3">
      <c r="B80" s="405"/>
      <c r="C80" s="406"/>
      <c r="O80" s="350"/>
      <c r="P80" s="350"/>
      <c r="AB80" s="349"/>
      <c r="AG80" s="350"/>
      <c r="AO80" s="349"/>
      <c r="AT80" s="350"/>
    </row>
    <row r="81" spans="2:46" x14ac:dyDescent="0.3">
      <c r="B81" s="405"/>
      <c r="C81" s="406"/>
      <c r="O81" s="350"/>
      <c r="P81" s="350"/>
      <c r="AB81" s="349"/>
      <c r="AG81" s="350"/>
      <c r="AO81" s="349"/>
      <c r="AT81" s="350"/>
    </row>
    <row r="82" spans="2:46" x14ac:dyDescent="0.3">
      <c r="O82" s="350"/>
      <c r="P82" s="350"/>
      <c r="AB82" s="349"/>
      <c r="AG82" s="350"/>
      <c r="AO82" s="349"/>
      <c r="AT82" s="350"/>
    </row>
    <row r="83" spans="2:46" x14ac:dyDescent="0.3">
      <c r="B83" s="405"/>
      <c r="C83" s="406"/>
      <c r="O83" s="350"/>
      <c r="P83" s="350"/>
      <c r="AB83" s="349"/>
      <c r="AG83" s="350"/>
      <c r="AO83" s="349"/>
      <c r="AT83" s="350"/>
    </row>
    <row r="84" spans="2:46" x14ac:dyDescent="0.3">
      <c r="O84" s="350"/>
      <c r="P84" s="350"/>
      <c r="AB84" s="349"/>
      <c r="AG84" s="350"/>
      <c r="AO84" s="349"/>
      <c r="AT84" s="350"/>
    </row>
    <row r="85" spans="2:46" x14ac:dyDescent="0.3">
      <c r="O85" s="350"/>
      <c r="P85" s="350"/>
      <c r="AB85" s="349"/>
      <c r="AG85" s="350"/>
      <c r="AO85" s="349"/>
      <c r="AT85" s="350"/>
    </row>
    <row r="86" spans="2:46" x14ac:dyDescent="0.3">
      <c r="B86" s="411"/>
      <c r="C86" s="412"/>
      <c r="D86" s="411"/>
      <c r="E86" s="412"/>
      <c r="F86" s="412"/>
      <c r="O86" s="350"/>
      <c r="P86" s="350"/>
      <c r="AB86" s="349"/>
      <c r="AG86" s="350"/>
      <c r="AO86" s="349"/>
      <c r="AT86" s="350"/>
    </row>
    <row r="87" spans="2:46" x14ac:dyDescent="0.3">
      <c r="C87" s="412"/>
      <c r="D87" s="411"/>
      <c r="E87" s="412"/>
      <c r="F87" s="412"/>
      <c r="O87" s="350"/>
      <c r="P87" s="350"/>
      <c r="AB87" s="349"/>
      <c r="AG87" s="350"/>
      <c r="AO87" s="349"/>
      <c r="AT87" s="350"/>
    </row>
    <row r="88" spans="2:46" x14ac:dyDescent="0.3">
      <c r="C88" s="412"/>
      <c r="D88" s="411"/>
      <c r="E88" s="412"/>
      <c r="F88" s="412"/>
      <c r="O88" s="350"/>
      <c r="P88" s="350"/>
      <c r="AB88" s="349"/>
      <c r="AG88" s="350"/>
      <c r="AO88" s="349"/>
      <c r="AT88" s="350"/>
    </row>
    <row r="89" spans="2:46" x14ac:dyDescent="0.3">
      <c r="B89" s="411"/>
      <c r="C89" s="412"/>
      <c r="D89" s="411"/>
      <c r="E89" s="412"/>
      <c r="F89" s="412"/>
      <c r="O89" s="350"/>
      <c r="P89" s="350"/>
      <c r="AB89" s="349"/>
      <c r="AG89" s="350"/>
      <c r="AO89" s="349"/>
      <c r="AT89" s="350"/>
    </row>
    <row r="90" spans="2:46" x14ac:dyDescent="0.3">
      <c r="C90" s="412"/>
      <c r="D90" s="411"/>
      <c r="E90" s="412"/>
      <c r="F90" s="412"/>
      <c r="O90" s="350"/>
      <c r="P90" s="350"/>
      <c r="AB90" s="349"/>
      <c r="AG90" s="350"/>
      <c r="AO90" s="349"/>
      <c r="AT90" s="350"/>
    </row>
    <row r="91" spans="2:46" x14ac:dyDescent="0.3">
      <c r="C91" s="412"/>
      <c r="D91" s="411"/>
      <c r="E91" s="412"/>
      <c r="F91" s="412"/>
      <c r="O91" s="350"/>
      <c r="P91" s="350"/>
      <c r="AB91" s="349"/>
      <c r="AG91" s="350"/>
      <c r="AO91" s="349"/>
      <c r="AT91" s="350"/>
    </row>
    <row r="92" spans="2:46" x14ac:dyDescent="0.3">
      <c r="C92" s="412"/>
      <c r="D92" s="411"/>
      <c r="E92" s="412"/>
      <c r="F92" s="412"/>
      <c r="O92" s="350"/>
      <c r="P92" s="350"/>
      <c r="AB92" s="349"/>
      <c r="AG92" s="350"/>
      <c r="AO92" s="349"/>
      <c r="AT92" s="350"/>
    </row>
    <row r="93" spans="2:46" x14ac:dyDescent="0.3">
      <c r="C93" s="412"/>
      <c r="D93" s="411"/>
      <c r="E93" s="412"/>
      <c r="F93" s="412"/>
      <c r="O93" s="350"/>
      <c r="P93" s="350"/>
      <c r="AB93" s="349"/>
      <c r="AG93" s="350"/>
      <c r="AO93" s="349"/>
      <c r="AT93" s="350"/>
    </row>
    <row r="94" spans="2:46" x14ac:dyDescent="0.3">
      <c r="C94" s="412"/>
      <c r="D94" s="411"/>
      <c r="E94" s="412"/>
      <c r="F94" s="412"/>
      <c r="O94" s="350"/>
      <c r="P94" s="350"/>
      <c r="AB94" s="349"/>
      <c r="AG94" s="350"/>
      <c r="AO94" s="349"/>
      <c r="AT94" s="350"/>
    </row>
    <row r="95" spans="2:46" x14ac:dyDescent="0.3">
      <c r="C95" s="412"/>
      <c r="D95" s="411"/>
      <c r="E95" s="411"/>
      <c r="F95" s="412"/>
      <c r="O95" s="350"/>
      <c r="P95" s="350"/>
      <c r="AB95" s="349"/>
      <c r="AG95" s="350"/>
      <c r="AO95" s="349"/>
      <c r="AT95" s="350"/>
    </row>
    <row r="96" spans="2:46" x14ac:dyDescent="0.3">
      <c r="O96" s="350"/>
      <c r="P96" s="350"/>
      <c r="AB96" s="349"/>
      <c r="AG96" s="350"/>
      <c r="AO96" s="349"/>
      <c r="AT96" s="350"/>
    </row>
    <row r="97" spans="2:46" x14ac:dyDescent="0.3">
      <c r="O97" s="350"/>
      <c r="P97" s="350"/>
      <c r="AB97" s="349"/>
      <c r="AG97" s="350"/>
      <c r="AO97" s="349"/>
      <c r="AT97" s="350"/>
    </row>
    <row r="98" spans="2:46" x14ac:dyDescent="0.3">
      <c r="B98" s="411"/>
      <c r="C98" s="411"/>
      <c r="D98" s="354"/>
      <c r="O98" s="350"/>
      <c r="P98" s="350"/>
      <c r="AB98" s="349"/>
      <c r="AG98" s="350"/>
      <c r="AO98" s="349"/>
      <c r="AT98" s="350"/>
    </row>
    <row r="99" spans="2:46" x14ac:dyDescent="0.3">
      <c r="C99" s="411"/>
      <c r="D99" s="354"/>
      <c r="O99" s="350"/>
      <c r="P99" s="350"/>
      <c r="AB99" s="349"/>
      <c r="AG99" s="350"/>
      <c r="AO99" s="349"/>
      <c r="AT99" s="350"/>
    </row>
    <row r="100" spans="2:46" x14ac:dyDescent="0.3">
      <c r="C100" s="411"/>
      <c r="D100" s="412"/>
      <c r="O100" s="350"/>
      <c r="P100" s="350"/>
      <c r="AB100" s="349"/>
      <c r="AG100" s="350"/>
      <c r="AO100" s="349"/>
      <c r="AT100" s="350"/>
    </row>
    <row r="101" spans="2:46" x14ac:dyDescent="0.3">
      <c r="C101" s="411"/>
      <c r="D101" s="411"/>
      <c r="O101" s="350"/>
      <c r="P101" s="350"/>
      <c r="AB101" s="349"/>
      <c r="AG101" s="350"/>
      <c r="AO101" s="349"/>
      <c r="AT101" s="350"/>
    </row>
    <row r="102" spans="2:46" x14ac:dyDescent="0.3">
      <c r="C102" s="411"/>
      <c r="D102" s="411"/>
      <c r="O102" s="350"/>
      <c r="P102" s="350"/>
      <c r="AB102" s="349"/>
      <c r="AG102" s="350"/>
      <c r="AO102" s="349"/>
      <c r="AT102" s="350"/>
    </row>
    <row r="103" spans="2:46" x14ac:dyDescent="0.3">
      <c r="C103" s="411"/>
      <c r="D103" s="411"/>
      <c r="O103" s="350"/>
      <c r="P103" s="350"/>
      <c r="AB103" s="349"/>
      <c r="AG103" s="350"/>
      <c r="AO103" s="349"/>
      <c r="AT103" s="350"/>
    </row>
    <row r="104" spans="2:46" x14ac:dyDescent="0.3">
      <c r="B104" s="411"/>
      <c r="C104" s="411"/>
      <c r="D104" s="411"/>
      <c r="O104" s="350"/>
      <c r="P104" s="350"/>
      <c r="AB104" s="349"/>
      <c r="AG104" s="350"/>
      <c r="AO104" s="349"/>
      <c r="AT104" s="350"/>
    </row>
    <row r="105" spans="2:46" x14ac:dyDescent="0.3">
      <c r="B105" s="411"/>
      <c r="C105" s="411"/>
      <c r="D105" s="411"/>
      <c r="O105" s="350"/>
      <c r="P105" s="350"/>
      <c r="AB105" s="349"/>
      <c r="AG105" s="350"/>
      <c r="AO105" s="349"/>
      <c r="AT105" s="350"/>
    </row>
    <row r="106" spans="2:46" x14ac:dyDescent="0.3">
      <c r="B106" s="411"/>
      <c r="C106" s="411"/>
      <c r="O106" s="350"/>
      <c r="P106" s="350"/>
      <c r="AB106" s="349"/>
      <c r="AG106" s="350"/>
      <c r="AO106" s="349"/>
      <c r="AT106" s="350"/>
    </row>
    <row r="107" spans="2:46" x14ac:dyDescent="0.3">
      <c r="O107" s="350"/>
      <c r="P107" s="350"/>
      <c r="AB107" s="349"/>
      <c r="AG107" s="350"/>
      <c r="AO107" s="349"/>
      <c r="AT107" s="350"/>
    </row>
    <row r="108" spans="2:46" x14ac:dyDescent="0.3">
      <c r="O108" s="350"/>
      <c r="P108" s="350"/>
      <c r="AB108" s="349"/>
      <c r="AG108" s="350"/>
      <c r="AO108" s="349"/>
      <c r="AT108" s="350"/>
    </row>
    <row r="109" spans="2:46" x14ac:dyDescent="0.3">
      <c r="O109" s="350"/>
      <c r="P109" s="350"/>
      <c r="AB109" s="349"/>
      <c r="AG109" s="350"/>
      <c r="AO109" s="349"/>
      <c r="AT109" s="350"/>
    </row>
    <row r="110" spans="2:46" x14ac:dyDescent="0.3">
      <c r="B110" s="413"/>
      <c r="O110" s="350"/>
      <c r="P110" s="350"/>
      <c r="AB110" s="349"/>
      <c r="AG110" s="350"/>
      <c r="AO110" s="349"/>
      <c r="AT110" s="350"/>
    </row>
    <row r="111" spans="2:46" x14ac:dyDescent="0.3">
      <c r="O111" s="350"/>
      <c r="P111" s="350"/>
      <c r="AB111" s="349"/>
      <c r="AG111" s="350"/>
      <c r="AO111" s="349"/>
      <c r="AT111" s="350"/>
    </row>
    <row r="112" spans="2:46" x14ac:dyDescent="0.3">
      <c r="O112" s="350"/>
      <c r="P112" s="350"/>
      <c r="AB112" s="349"/>
      <c r="AG112" s="350"/>
      <c r="AO112" s="349"/>
      <c r="AT112" s="350"/>
    </row>
  </sheetData>
  <mergeCells count="1">
    <mergeCell ref="B19:H33"/>
  </mergeCells>
  <pageMargins left="0" right="0" top="0" bottom="0" header="0" footer="0"/>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BC143"/>
  </sheetPr>
  <dimension ref="B1:CE112"/>
  <sheetViews>
    <sheetView topLeftCell="A17" zoomScale="80" zoomScaleNormal="80" zoomScalePageLayoutView="200" workbookViewId="0">
      <selection activeCell="R48" sqref="R48"/>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'0_Total'!A83&amp;" "&amp;'0_Total'!B83</f>
        <v>Energy consumption per vkm [MJ/vkm]</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83"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83"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83"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83"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83"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83"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83"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3"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3"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3"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3"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3" s="401" customFormat="1" ht="72" x14ac:dyDescent="0.3">
      <c r="B44" s="399"/>
      <c r="C44" s="399" t="str">
        <f>'0_Total'!D2</f>
        <v>Private e-scooter</v>
      </c>
      <c r="D44" s="587" t="str">
        <f>Figure_2_GHG_per_pkm_General!D44</f>
        <v>Shared e-scooter (first generation)</v>
      </c>
      <c r="E44" s="587" t="str">
        <f>Figure_2_GHG_per_pkm_General!E44</f>
        <v>Shared e-scooter (new generation)</v>
      </c>
      <c r="F44" s="399" t="str">
        <f>'0_Total'!AG2</f>
        <v>Private bike</v>
      </c>
      <c r="G44" s="399" t="str">
        <f>'0_Total'!AI2</f>
        <v>Shared bike</v>
      </c>
      <c r="H44" s="399" t="str">
        <f>'0_Total'!AH2</f>
        <v>Private e-bike</v>
      </c>
      <c r="I44" s="399" t="str">
        <f>'0_Total'!AJ2</f>
        <v>Shared e-bike</v>
      </c>
      <c r="J44" s="399" t="str">
        <f>'0_Total'!AK2</f>
        <v>Private moped - ICE</v>
      </c>
      <c r="K44" s="399" t="str">
        <f>'0_Total'!AL2</f>
        <v>Private moped - BEV</v>
      </c>
      <c r="L44" s="399" t="str">
        <f>'0_Total'!AM2</f>
        <v>Shared moped - ICE</v>
      </c>
      <c r="M44" s="399" t="str">
        <f>'0_Total'!AN2</f>
        <v>Shared moped - BEV</v>
      </c>
      <c r="N44" s="399" t="str">
        <f>'0_Total'!AO2</f>
        <v>Private car - ICE</v>
      </c>
      <c r="O44" s="399" t="str">
        <f>'0_Total'!AP2</f>
        <v>Private car - HEV</v>
      </c>
      <c r="P44" s="399" t="str">
        <f>'0_Total'!AQ2</f>
        <v>Private car - PHEV</v>
      </c>
      <c r="Q44" s="399" t="str">
        <f>'0_Total'!AX2</f>
        <v>Private car - BEV</v>
      </c>
      <c r="R44" s="399" t="str">
        <f>'0_Total'!BB2</f>
        <v>Private car - FCEV</v>
      </c>
      <c r="S44" s="399" t="str">
        <f>'0_Total'!CI2</f>
        <v>Taxi  HEV</v>
      </c>
      <c r="T44" s="399" t="str">
        <f>'0_Total'!CJ2</f>
        <v>Taxi  PHEV</v>
      </c>
      <c r="U44" s="399" t="str">
        <f>'0_Total'!CK2</f>
        <v>Taxi  BEV</v>
      </c>
      <c r="V44" s="399" t="str">
        <f>'0_Total'!CL2</f>
        <v>Taxi  BEV (two packs)</v>
      </c>
      <c r="W44" s="399" t="str">
        <f>'0_Total'!CM2</f>
        <v>Taxi - FCEV</v>
      </c>
      <c r="X44" s="399" t="str">
        <f>'0_Total'!BI2</f>
        <v>Ridesourcing - car - ICE</v>
      </c>
      <c r="Y44" s="399" t="str">
        <f>'0_Total'!BJ2</f>
        <v>Ridesourcing - car - HEV</v>
      </c>
      <c r="Z44" s="399" t="str">
        <f>'0_Total'!BK2</f>
        <v>Ridesourcing - car - PHEV</v>
      </c>
      <c r="AA44" s="399" t="str">
        <f>'0_Total'!BT2</f>
        <v>Ridesourcing - car - BEV</v>
      </c>
      <c r="AB44" s="399" t="str">
        <f>'0_Total'!CC2</f>
        <v>Ridesourcing - car - BEV (two packs)</v>
      </c>
      <c r="AC44" s="399" t="str">
        <f>'0_Total'!CG2</f>
        <v>Ridesourcing - car - FCEV</v>
      </c>
      <c r="AD44" s="399" t="str">
        <f>'0_Total'!DQ2</f>
        <v>Bus - ICE</v>
      </c>
      <c r="AE44" s="399" t="str">
        <f>'0_Total'!DR2</f>
        <v>Bus - HEV</v>
      </c>
      <c r="AF44" s="399" t="str">
        <f>'0_Total'!DU2</f>
        <v>Bus - BEV</v>
      </c>
      <c r="AG44" s="399" t="str">
        <f>'0_Total'!DT2</f>
        <v>Bus - BEV (two packs)</v>
      </c>
      <c r="AH44" s="399" t="str">
        <f>'0_Total'!DW2</f>
        <v>Bus - FCEV</v>
      </c>
      <c r="AI44" s="399" t="str">
        <f>'0_Total'!ED2</f>
        <v>Metro/urban train</v>
      </c>
      <c r="AK44" s="400"/>
      <c r="AN44" s="399"/>
      <c r="AO44" s="399"/>
      <c r="AP44" s="399"/>
      <c r="AQ44" s="399"/>
      <c r="AR44" s="399"/>
      <c r="AS44" s="399"/>
      <c r="AT44" s="399"/>
      <c r="BM44" s="399"/>
      <c r="BN44" s="399"/>
      <c r="BO44" s="399"/>
      <c r="BP44" s="399"/>
      <c r="BQ44" s="399"/>
      <c r="BR44" s="399"/>
      <c r="BS44" s="399"/>
      <c r="BT44" s="399"/>
      <c r="BU44" s="399"/>
      <c r="BV44" s="399"/>
      <c r="BZ44" s="399"/>
      <c r="CB44" s="399"/>
      <c r="CC44" s="399"/>
      <c r="CD44" s="399"/>
      <c r="CE44" s="399"/>
    </row>
    <row r="45" spans="2:83" x14ac:dyDescent="0.3">
      <c r="B45" s="358" t="s">
        <v>1129</v>
      </c>
      <c r="C45" s="357">
        <f ca="1">'0_Total'!D85+'0_Total'!D84</f>
        <v>0.302000803931392</v>
      </c>
      <c r="D45" s="357">
        <f ca="1">'0_Total'!W85+'0_Total'!W84</f>
        <v>0.82477460935745672</v>
      </c>
      <c r="E45" s="357">
        <f ca="1">'0_Total'!AE85+'0_Total'!AE84</f>
        <v>0.76247684020612139</v>
      </c>
      <c r="F45" s="357">
        <f ca="1">'0_Total'!AG85+'0_Total'!AG84</f>
        <v>9.4977638889436972E-2</v>
      </c>
      <c r="G45" s="357">
        <f ca="1">'0_Total'!AI85+'0_Total'!AI84</f>
        <v>0.2979787140022731</v>
      </c>
      <c r="H45" s="357">
        <f ca="1">'0_Total'!AH85+'0_Total'!AH84</f>
        <v>0.16262911800293872</v>
      </c>
      <c r="I45" s="357">
        <f ca="1">'0_Total'!AJ85+'0_Total'!AJ84</f>
        <v>0.48099386202586614</v>
      </c>
      <c r="J45" s="357">
        <f ca="1">'0_Total'!AK85+'0_Total'!AK84</f>
        <v>0.10294124304401861</v>
      </c>
      <c r="K45" s="357">
        <f ca="1">'0_Total'!AL85+'0_Total'!AL84</f>
        <v>0.13000839895620495</v>
      </c>
      <c r="L45" s="357">
        <f ca="1">'0_Total'!AM85+'0_Total'!AM84</f>
        <v>0.25722187196108681</v>
      </c>
      <c r="M45" s="357">
        <f ca="1">'0_Total'!AN85+'0_Total'!AN84</f>
        <v>0.46214333172454819</v>
      </c>
      <c r="N45" s="357">
        <f ca="1">'0_Total'!AO85+'0_Total'!AO84</f>
        <v>0.43849733915083422</v>
      </c>
      <c r="O45" s="357">
        <f ca="1">'0_Total'!AP85+'0_Total'!AP84</f>
        <v>0.47220761399403099</v>
      </c>
      <c r="P45" s="357">
        <f ca="1">'0_Total'!AQ85+'0_Total'!AQ84</f>
        <v>0.58589600790773255</v>
      </c>
      <c r="Q45" s="357">
        <f ca="1">'0_Total'!AX85+'0_Total'!AX84</f>
        <v>0.83829271545985373</v>
      </c>
      <c r="R45" s="357">
        <f ca="1">'0_Total'!BB85+'0_Total'!BB84</f>
        <v>0.77883535749551447</v>
      </c>
      <c r="S45" s="357">
        <f ca="1">'0_Total'!CI85+'0_Total'!CI84</f>
        <v>0.21427772792732969</v>
      </c>
      <c r="T45" s="357">
        <f ca="1">'0_Total'!CJ85+'0_Total'!CJ84</f>
        <v>0.26586215278641023</v>
      </c>
      <c r="U45" s="357">
        <f ca="1">'0_Total'!CK85+'0_Total'!CK84</f>
        <v>0.41233337580958246</v>
      </c>
      <c r="V45" s="357">
        <f ca="1">'0_Total'!CL85+'0_Total'!CL84</f>
        <v>0.63598071289132418</v>
      </c>
      <c r="W45" s="357">
        <f ca="1">'0_Total'!CM85+'0_Total'!CM84</f>
        <v>0.35340359934517473</v>
      </c>
      <c r="X45" s="357">
        <f ca="1">'0_Total'!BI85+'0_Total'!BI84</f>
        <v>0.19899554986150472</v>
      </c>
      <c r="Y45" s="357">
        <f ca="1">'0_Total'!BJ85+'0_Total'!BJ84</f>
        <v>0.21429318829541444</v>
      </c>
      <c r="Z45" s="357">
        <f ca="1">'0_Total'!BK85+'0_Total'!BK84</f>
        <v>0.26588076318183157</v>
      </c>
      <c r="AA45" s="357">
        <f ca="1">'0_Total'!BT85+'0_Total'!BT84</f>
        <v>0.41233079292936087</v>
      </c>
      <c r="AB45" s="357">
        <f ca="1">'0_Total'!CC85+'0_Total'!CC84</f>
        <v>0.63602438414695284</v>
      </c>
      <c r="AC45" s="357">
        <f ca="1">'0_Total'!CG85+'0_Total'!CG84</f>
        <v>0.35340359934517473</v>
      </c>
      <c r="AD45" s="357">
        <f ca="1">'0_Total'!DQ85+'0_Total'!DQ84</f>
        <v>1.4981847363005312</v>
      </c>
      <c r="AE45" s="357">
        <f ca="1">'0_Total'!DR85+'0_Total'!DR84</f>
        <v>1.4898068160136055</v>
      </c>
      <c r="AF45" s="357">
        <f ca="1">'0_Total'!DU85+'0_Total'!DU84</f>
        <v>2.6249711667241717</v>
      </c>
      <c r="AG45" s="357">
        <f ca="1">'0_Total'!DT85+'0_Total'!DT84</f>
        <v>3.3034448453700818</v>
      </c>
      <c r="AH45" s="357">
        <f ca="1">'0_Total'!DW85+'0_Total'!DW84</f>
        <v>2.0702323677937664</v>
      </c>
      <c r="AI45" s="357">
        <f ca="1">'0_Total'!ED85+'0_Total'!ED84</f>
        <v>4.7685247725061295</v>
      </c>
      <c r="AK45" s="356"/>
      <c r="AN45" s="357"/>
      <c r="AO45" s="357"/>
      <c r="AP45" s="357"/>
      <c r="AQ45" s="357"/>
      <c r="AR45" s="357"/>
      <c r="AS45" s="357"/>
      <c r="AT45" s="357"/>
      <c r="BF45" s="350"/>
      <c r="BM45" s="357"/>
      <c r="BN45" s="357"/>
      <c r="BO45" s="357"/>
      <c r="BP45" s="357"/>
      <c r="BQ45" s="357"/>
      <c r="BR45" s="357"/>
      <c r="BS45" s="357"/>
      <c r="BT45" s="357"/>
      <c r="BU45" s="357"/>
      <c r="BV45" s="357"/>
      <c r="BZ45" s="357"/>
      <c r="CB45" s="357"/>
      <c r="CC45" s="357"/>
      <c r="CD45" s="357"/>
      <c r="CE45" s="357"/>
    </row>
    <row r="46" spans="2:83" x14ac:dyDescent="0.3">
      <c r="B46" s="358" t="s">
        <v>1130</v>
      </c>
      <c r="C46" s="508">
        <f>C57*(1-C60)</f>
        <v>0.10272971336374727</v>
      </c>
      <c r="D46" s="508">
        <f t="shared" ref="D46:AI46" si="0">D57*(1-D60)</f>
        <v>0.10272971336374727</v>
      </c>
      <c r="E46" s="508">
        <f t="shared" ref="E46" si="1">E57*(1-E60)</f>
        <v>0.11113487172987203</v>
      </c>
      <c r="F46" s="508">
        <f t="shared" si="0"/>
        <v>0</v>
      </c>
      <c r="G46" s="508">
        <f t="shared" si="0"/>
        <v>0</v>
      </c>
      <c r="H46" s="508">
        <f t="shared" si="0"/>
        <v>0.19612036187624479</v>
      </c>
      <c r="I46" s="508">
        <f t="shared" si="0"/>
        <v>0.19612036187624482</v>
      </c>
      <c r="J46" s="508">
        <f t="shared" si="0"/>
        <v>0.79332529947476416</v>
      </c>
      <c r="K46" s="508">
        <f t="shared" si="0"/>
        <v>0.32699806902134998</v>
      </c>
      <c r="L46" s="508">
        <f t="shared" si="0"/>
        <v>0.79332529947476405</v>
      </c>
      <c r="M46" s="508">
        <f t="shared" si="0"/>
        <v>0.32699806902134998</v>
      </c>
      <c r="N46" s="508">
        <f t="shared" si="0"/>
        <v>2.7820834252890769</v>
      </c>
      <c r="O46" s="508">
        <f t="shared" si="0"/>
        <v>2.0723682657765576</v>
      </c>
      <c r="P46" s="508">
        <f t="shared" si="0"/>
        <v>1.8778581378302071</v>
      </c>
      <c r="Q46" s="508">
        <f t="shared" si="0"/>
        <v>1.7776559507063292</v>
      </c>
      <c r="R46" s="508">
        <f t="shared" si="0"/>
        <v>1.9443755986699489</v>
      </c>
      <c r="S46" s="508">
        <f>S57*(1-S60)</f>
        <v>1.0802854408270217</v>
      </c>
      <c r="T46" s="508">
        <f>T57*(1-T60)</f>
        <v>1.025111062611278</v>
      </c>
      <c r="U46" s="508">
        <f>U57*(1-U60)</f>
        <v>0.92665761875482222</v>
      </c>
      <c r="V46" s="508">
        <f>V57*(1-V60)</f>
        <v>0.92665761875482222</v>
      </c>
      <c r="W46" s="508">
        <f>W57*(1-W60)</f>
        <v>1.0135653423332933</v>
      </c>
      <c r="X46" s="508">
        <f t="shared" si="0"/>
        <v>1.4502462082335359</v>
      </c>
      <c r="Y46" s="508">
        <f t="shared" si="0"/>
        <v>1.0802854408270217</v>
      </c>
      <c r="Z46" s="508">
        <f t="shared" si="0"/>
        <v>1.025111062611278</v>
      </c>
      <c r="AA46" s="508">
        <f t="shared" si="0"/>
        <v>0.92665761875482222</v>
      </c>
      <c r="AB46" s="508">
        <f t="shared" si="0"/>
        <v>0.92665761875482222</v>
      </c>
      <c r="AC46" s="508">
        <f t="shared" si="0"/>
        <v>1.0135653423332933</v>
      </c>
      <c r="AD46" s="508">
        <f t="shared" si="0"/>
        <v>14.775703441959346</v>
      </c>
      <c r="AE46" s="508">
        <f t="shared" si="0"/>
        <v>10.877014507162981</v>
      </c>
      <c r="AF46" s="508">
        <f t="shared" si="0"/>
        <v>11.548687595055442</v>
      </c>
      <c r="AG46" s="508">
        <f t="shared" si="0"/>
        <v>11.548687595055442</v>
      </c>
      <c r="AH46" s="508">
        <f>AH57*(1-AH60)</f>
        <v>10.533703159370685</v>
      </c>
      <c r="AI46" s="508">
        <f t="shared" si="0"/>
        <v>165.4986059028692</v>
      </c>
      <c r="AK46" s="356"/>
      <c r="AN46" s="357"/>
      <c r="AO46" s="357"/>
      <c r="AP46" s="357"/>
      <c r="AQ46" s="357"/>
      <c r="AR46" s="357"/>
      <c r="AS46" s="357"/>
      <c r="AT46" s="357"/>
      <c r="BF46" s="350"/>
      <c r="BM46" s="357"/>
      <c r="BN46" s="357"/>
      <c r="BO46" s="357"/>
      <c r="BP46" s="357"/>
      <c r="BQ46" s="357"/>
      <c r="BR46" s="357"/>
      <c r="BS46" s="357"/>
      <c r="BT46" s="357"/>
      <c r="BU46" s="357"/>
      <c r="BV46" s="357"/>
      <c r="BZ46" s="357"/>
      <c r="CB46" s="357"/>
      <c r="CC46" s="357"/>
      <c r="CD46" s="357"/>
      <c r="CE46" s="357"/>
    </row>
    <row r="47" spans="2:83" x14ac:dyDescent="0.3">
      <c r="B47" s="358" t="s">
        <v>1131</v>
      </c>
      <c r="C47" s="357">
        <f>'0_Total'!D88</f>
        <v>2.7627731661023575E-2</v>
      </c>
      <c r="D47" s="357">
        <f>'0_Total'!W88</f>
        <v>2.7627731661023575E-2</v>
      </c>
      <c r="E47" s="357">
        <f>'0_Total'!AE88</f>
        <v>2.7752305233719292E-2</v>
      </c>
      <c r="F47" s="357">
        <f>'0_Total'!AG88</f>
        <v>2.7716152958755239E-2</v>
      </c>
      <c r="G47" s="357">
        <f>'0_Total'!AI88</f>
        <v>2.7770390396550708E-2</v>
      </c>
      <c r="H47" s="357">
        <f>'0_Total'!AH88</f>
        <v>2.7740166028967599E-2</v>
      </c>
      <c r="I47" s="357">
        <f>'0_Total'!AJ88</f>
        <v>2.7808427605798137E-2</v>
      </c>
      <c r="J47" s="357">
        <f>'0_Total'!AK88</f>
        <v>3.3347863362650804E-2</v>
      </c>
      <c r="K47" s="357">
        <f>'0_Total'!AL88</f>
        <v>3.3229403147663539E-2</v>
      </c>
      <c r="L47" s="357">
        <f>'0_Total'!AM88</f>
        <v>3.3347863362650804E-2</v>
      </c>
      <c r="M47" s="357">
        <f>'0_Total'!AN88</f>
        <v>3.3229403147663539E-2</v>
      </c>
      <c r="N47" s="357">
        <f>'0_Total'!AO88</f>
        <v>5.4761204104258526E-2</v>
      </c>
      <c r="O47" s="357">
        <f>'0_Total'!AP88</f>
        <v>5.5816493732271613E-2</v>
      </c>
      <c r="P47" s="357">
        <f>'0_Total'!AQ88</f>
        <v>5.6782761438129888E-2</v>
      </c>
      <c r="Q47" s="357">
        <f>'0_Total'!AX88</f>
        <v>5.353531158227285E-2</v>
      </c>
      <c r="R47" s="357">
        <f>'0_Total'!BB88</f>
        <v>5.698971863071621E-2</v>
      </c>
      <c r="S47" s="357">
        <f>'0_Total'!CI88</f>
        <v>4.9176955684349148E-2</v>
      </c>
      <c r="T47" s="357">
        <f>'0_Total'!CJ88</f>
        <v>5.0028282970834295E-2</v>
      </c>
      <c r="U47" s="357">
        <f>'0_Total'!CK88</f>
        <v>4.7167126940241617E-2</v>
      </c>
      <c r="V47" s="357">
        <f>'0_Total'!CL88</f>
        <v>4.7167126940241617E-2</v>
      </c>
      <c r="W47" s="357">
        <f>'0_Total'!CM88</f>
        <v>5.0210621989426052E-2</v>
      </c>
      <c r="X47" s="357">
        <f>'0_Total'!BI88</f>
        <v>4.8247195898292433E-2</v>
      </c>
      <c r="Y47" s="357">
        <f>'0_Total'!BJ88</f>
        <v>4.9176955684349148E-2</v>
      </c>
      <c r="Z47" s="357">
        <f>'0_Total'!BK88</f>
        <v>5.0028282970834295E-2</v>
      </c>
      <c r="AA47" s="357">
        <f>'0_Total'!BT88</f>
        <v>4.7167126940241617E-2</v>
      </c>
      <c r="AB47" s="357">
        <f>'0_Total'!CC88</f>
        <v>4.7167126940241617E-2</v>
      </c>
      <c r="AC47" s="357">
        <f>'0_Total'!CG88</f>
        <v>5.0210621989426052E-2</v>
      </c>
      <c r="AD47" s="357">
        <f>'0_Total'!DQ88</f>
        <v>0.16130928404998809</v>
      </c>
      <c r="AE47" s="357">
        <f>'0_Total'!DR88</f>
        <v>0.15929257629807092</v>
      </c>
      <c r="AF47" s="357">
        <f>'0_Total'!DU88</f>
        <v>0.17581655332423693</v>
      </c>
      <c r="AG47" s="357">
        <f>'0_Total'!DT88</f>
        <v>0.17581655332423693</v>
      </c>
      <c r="AH47" s="357">
        <f>'0_Total'!DW88</f>
        <v>0.18191161529232561</v>
      </c>
      <c r="AI47" s="357">
        <f>'0_Total'!ED88</f>
        <v>11.484770345320273</v>
      </c>
      <c r="AK47" s="356"/>
      <c r="AN47" s="357"/>
      <c r="AO47" s="357"/>
      <c r="AP47" s="357"/>
      <c r="AQ47" s="357"/>
      <c r="AR47" s="357"/>
      <c r="AS47" s="357"/>
      <c r="AT47" s="357"/>
      <c r="BF47" s="350"/>
      <c r="BM47" s="357"/>
      <c r="BN47" s="357"/>
      <c r="BO47" s="357"/>
      <c r="BP47" s="357"/>
      <c r="BQ47" s="357"/>
      <c r="BR47" s="357"/>
      <c r="BS47" s="357"/>
      <c r="BT47" s="357"/>
      <c r="BU47" s="357"/>
      <c r="BV47" s="357"/>
      <c r="BZ47" s="357"/>
      <c r="CB47" s="357"/>
      <c r="CC47" s="357"/>
      <c r="CD47" s="357"/>
      <c r="CE47" s="357"/>
    </row>
    <row r="48" spans="2:83" x14ac:dyDescent="0.3">
      <c r="B48" s="358" t="s">
        <v>850</v>
      </c>
      <c r="C48" s="508">
        <f>C58+C57*C60</f>
        <v>0</v>
      </c>
      <c r="D48" s="508">
        <f t="shared" ref="D48:AI48" si="2">D58+D57*D60</f>
        <v>0.50111855552115991</v>
      </c>
      <c r="E48" s="508">
        <f t="shared" ref="E48" si="3">E58+E57*E60</f>
        <v>0.35645658958233067</v>
      </c>
      <c r="F48" s="508">
        <f t="shared" si="2"/>
        <v>0</v>
      </c>
      <c r="G48" s="508">
        <f t="shared" si="2"/>
        <v>0.35645658958233067</v>
      </c>
      <c r="H48" s="508">
        <f t="shared" si="2"/>
        <v>0</v>
      </c>
      <c r="I48" s="508">
        <f t="shared" si="2"/>
        <v>0.35645658958233067</v>
      </c>
      <c r="J48" s="508">
        <f t="shared" si="2"/>
        <v>0</v>
      </c>
      <c r="K48" s="508">
        <f t="shared" si="2"/>
        <v>0</v>
      </c>
      <c r="L48" s="508">
        <f t="shared" si="2"/>
        <v>0</v>
      </c>
      <c r="M48" s="508">
        <f t="shared" si="2"/>
        <v>0.19504228486580358</v>
      </c>
      <c r="N48" s="508">
        <f t="shared" si="2"/>
        <v>0</v>
      </c>
      <c r="O48" s="508">
        <f t="shared" si="2"/>
        <v>0</v>
      </c>
      <c r="P48" s="508">
        <f t="shared" si="2"/>
        <v>0</v>
      </c>
      <c r="Q48" s="508">
        <f t="shared" si="2"/>
        <v>0</v>
      </c>
      <c r="R48" s="508">
        <f t="shared" ref="R48:W48" si="4">R58+R57*R60</f>
        <v>0</v>
      </c>
      <c r="S48" s="508">
        <f t="shared" si="4"/>
        <v>0.9920828249495357</v>
      </c>
      <c r="T48" s="508">
        <f t="shared" si="4"/>
        <v>0.94141329730765211</v>
      </c>
      <c r="U48" s="508">
        <f t="shared" si="4"/>
        <v>0.85099833195150709</v>
      </c>
      <c r="V48" s="508">
        <f t="shared" si="4"/>
        <v>0.85099833195150709</v>
      </c>
      <c r="W48" s="508">
        <f t="shared" si="4"/>
        <v>0.93081025633665559</v>
      </c>
      <c r="X48" s="508">
        <f t="shared" si="2"/>
        <v>1.331837217055541</v>
      </c>
      <c r="Y48" s="508">
        <f t="shared" si="2"/>
        <v>0.9920828249495357</v>
      </c>
      <c r="Z48" s="508">
        <f t="shared" si="2"/>
        <v>0.94141329730765211</v>
      </c>
      <c r="AA48" s="508">
        <f t="shared" si="2"/>
        <v>0.85099833195150709</v>
      </c>
      <c r="AB48" s="508">
        <f t="shared" si="2"/>
        <v>0.85099833195150709</v>
      </c>
      <c r="AC48" s="508">
        <f t="shared" si="2"/>
        <v>0.93081025633665559</v>
      </c>
      <c r="AD48" s="508">
        <f t="shared" si="2"/>
        <v>1.641744826884372</v>
      </c>
      <c r="AE48" s="508">
        <f t="shared" si="2"/>
        <v>1.2085571674625535</v>
      </c>
      <c r="AF48" s="508">
        <f t="shared" si="2"/>
        <v>1.2831875105617161</v>
      </c>
      <c r="AG48" s="508">
        <f t="shared" si="2"/>
        <v>1.2831875105617161</v>
      </c>
      <c r="AH48" s="508">
        <f>AH58+AH57*AH60</f>
        <v>1.1704114621522983</v>
      </c>
      <c r="AI48" s="508">
        <f t="shared" si="2"/>
        <v>0</v>
      </c>
      <c r="AK48" s="356"/>
      <c r="AN48" s="357"/>
      <c r="AO48" s="357"/>
      <c r="AP48" s="357"/>
      <c r="AQ48" s="357"/>
      <c r="AR48" s="357"/>
      <c r="AS48" s="357"/>
      <c r="AT48" s="357"/>
      <c r="BF48" s="350"/>
      <c r="BM48" s="357"/>
      <c r="BN48" s="357"/>
      <c r="BO48" s="357"/>
      <c r="BP48" s="357"/>
      <c r="BQ48" s="357"/>
      <c r="BR48" s="357"/>
      <c r="BS48" s="357"/>
      <c r="BT48" s="357"/>
      <c r="BU48" s="357"/>
      <c r="BV48" s="357"/>
      <c r="BZ48" s="357"/>
      <c r="CB48" s="357"/>
      <c r="CC48" s="357"/>
      <c r="CD48" s="357"/>
      <c r="CE48" s="357"/>
    </row>
    <row r="49" spans="2:83" hidden="1" x14ac:dyDescent="0.3">
      <c r="B49" s="358" t="s">
        <v>1063</v>
      </c>
      <c r="C49" s="357">
        <v>225.8831960379388</v>
      </c>
      <c r="D49" s="357">
        <v>92.000625319612908</v>
      </c>
      <c r="E49" s="357">
        <v>92.000625319612908</v>
      </c>
      <c r="F49" s="357">
        <v>109.2715625573851</v>
      </c>
      <c r="G49" s="357">
        <v>109.74665673023698</v>
      </c>
      <c r="H49" s="357">
        <v>134.5247173832434</v>
      </c>
      <c r="I49" s="357">
        <v>146.93726718801878</v>
      </c>
      <c r="J49" s="357">
        <v>170.94671713201515</v>
      </c>
      <c r="K49" s="357">
        <v>198.6553751289735</v>
      </c>
      <c r="N49" s="349"/>
      <c r="O49" s="355"/>
      <c r="P49" s="354"/>
      <c r="Q49" s="354"/>
      <c r="R49" s="354"/>
      <c r="S49" s="354"/>
      <c r="T49" s="354"/>
      <c r="U49" s="354"/>
      <c r="V49" s="354"/>
      <c r="W49" s="354"/>
      <c r="X49" s="354"/>
      <c r="Y49" s="354"/>
      <c r="Z49" s="354"/>
      <c r="AA49" s="354"/>
      <c r="AB49" s="354"/>
      <c r="AC49" s="354"/>
      <c r="AD49" s="354"/>
      <c r="AE49" s="354"/>
      <c r="AF49" s="354"/>
      <c r="AG49" s="354"/>
      <c r="AH49" s="354"/>
      <c r="AK49" s="355"/>
      <c r="AL49" s="354"/>
      <c r="AM49" s="354"/>
      <c r="AN49" s="354"/>
      <c r="AO49" s="354"/>
      <c r="AP49" s="354"/>
      <c r="AQ49" s="354"/>
      <c r="AR49" s="354"/>
      <c r="AS49" s="354"/>
      <c r="AT49" s="354"/>
      <c r="AU49" s="354"/>
      <c r="AV49" s="354"/>
      <c r="AX49" s="350"/>
    </row>
    <row r="50" spans="2:83" hidden="1" x14ac:dyDescent="0.3">
      <c r="B50" s="358" t="s">
        <v>1062</v>
      </c>
      <c r="C50" s="357">
        <v>235.34686736744837</v>
      </c>
      <c r="D50" s="357">
        <v>20.138098699878793</v>
      </c>
      <c r="E50" s="357">
        <v>20.138098699878793</v>
      </c>
      <c r="F50" s="357">
        <v>29.082532108575009</v>
      </c>
      <c r="G50" s="357">
        <v>47.360170627588715</v>
      </c>
      <c r="H50" s="357">
        <v>92.462424726943624</v>
      </c>
      <c r="I50" s="357">
        <v>123.41082373994841</v>
      </c>
      <c r="J50" s="357">
        <v>147.75164600715308</v>
      </c>
      <c r="K50" s="357">
        <v>190.45060506651421</v>
      </c>
      <c r="N50" s="349"/>
      <c r="O50" s="355"/>
      <c r="P50" s="354"/>
      <c r="Q50" s="354"/>
      <c r="R50" s="354"/>
      <c r="S50" s="354"/>
      <c r="T50" s="354"/>
      <c r="U50" s="354"/>
      <c r="V50" s="354"/>
      <c r="W50" s="354"/>
      <c r="X50" s="354"/>
      <c r="Y50" s="354"/>
      <c r="Z50" s="354"/>
      <c r="AA50" s="354"/>
      <c r="AB50" s="354"/>
      <c r="AC50" s="354"/>
      <c r="AD50" s="354"/>
      <c r="AE50" s="354"/>
      <c r="AF50" s="354"/>
      <c r="AG50" s="354"/>
      <c r="AH50" s="354"/>
      <c r="AK50" s="355"/>
      <c r="AL50" s="354"/>
      <c r="AM50" s="354"/>
      <c r="AN50" s="354"/>
      <c r="AO50" s="354"/>
      <c r="AP50" s="354"/>
      <c r="AQ50" s="354"/>
      <c r="AR50" s="354"/>
      <c r="AS50" s="354"/>
      <c r="AT50" s="354"/>
      <c r="AU50" s="354"/>
      <c r="AV50" s="354"/>
      <c r="AX50" s="350"/>
    </row>
    <row r="51" spans="2:83" hidden="1" x14ac:dyDescent="0.3">
      <c r="B51" s="358" t="s">
        <v>1061</v>
      </c>
      <c r="C51" s="357">
        <v>169.63000923799299</v>
      </c>
      <c r="D51" s="357">
        <v>57.028326808897397</v>
      </c>
      <c r="E51" s="357">
        <v>57.028326808897397</v>
      </c>
      <c r="F51" s="357">
        <v>66.108608232937002</v>
      </c>
      <c r="G51" s="357">
        <v>73.1615339584623</v>
      </c>
      <c r="H51" s="357">
        <v>87.042263228114194</v>
      </c>
      <c r="I51" s="357">
        <v>82.788852695901895</v>
      </c>
      <c r="J51" s="357">
        <v>106.35742590613199</v>
      </c>
      <c r="K51" s="357">
        <v>130.467437832401</v>
      </c>
      <c r="N51" s="349"/>
      <c r="O51" s="355"/>
      <c r="P51" s="354"/>
      <c r="Q51" s="354"/>
      <c r="R51" s="354"/>
      <c r="S51" s="354"/>
      <c r="T51" s="354"/>
      <c r="U51" s="354"/>
      <c r="V51" s="354"/>
      <c r="W51" s="354"/>
      <c r="X51" s="354"/>
      <c r="Y51" s="354"/>
      <c r="Z51" s="354"/>
      <c r="AA51" s="354"/>
      <c r="AB51" s="354"/>
      <c r="AC51" s="354"/>
      <c r="AD51" s="354"/>
      <c r="AE51" s="354"/>
      <c r="AF51" s="354"/>
      <c r="AG51" s="354"/>
      <c r="AH51" s="354"/>
      <c r="AK51" s="355"/>
      <c r="AL51" s="354"/>
      <c r="AM51" s="354"/>
      <c r="AN51" s="354"/>
      <c r="AO51" s="354"/>
      <c r="AP51" s="354"/>
      <c r="AQ51" s="354"/>
      <c r="AR51" s="354"/>
      <c r="AS51" s="354"/>
      <c r="AT51" s="354"/>
      <c r="AU51" s="354"/>
      <c r="AV51" s="354"/>
      <c r="AX51" s="350"/>
    </row>
    <row r="52" spans="2:83" hidden="1" x14ac:dyDescent="0.3">
      <c r="B52" s="358" t="s">
        <v>1060</v>
      </c>
      <c r="C52" s="357">
        <v>129.54562060471599</v>
      </c>
      <c r="D52" s="357">
        <v>64.575287204428093</v>
      </c>
      <c r="E52" s="357">
        <v>64.575287204428093</v>
      </c>
      <c r="F52" s="357">
        <v>72.039757217874197</v>
      </c>
      <c r="G52" s="357">
        <v>74.833619113601898</v>
      </c>
      <c r="H52" s="357">
        <v>76.416043285393002</v>
      </c>
      <c r="I52" s="357">
        <v>56.436216180368902</v>
      </c>
      <c r="J52" s="357">
        <v>77.511185806366001</v>
      </c>
      <c r="K52" s="357">
        <v>94.288071043957402</v>
      </c>
      <c r="N52" s="349"/>
      <c r="O52" s="355"/>
      <c r="P52" s="354"/>
      <c r="Q52" s="354"/>
      <c r="R52" s="354"/>
      <c r="S52" s="354"/>
      <c r="T52" s="354"/>
      <c r="U52" s="354"/>
      <c r="V52" s="354"/>
      <c r="W52" s="354"/>
      <c r="X52" s="354"/>
      <c r="Y52" s="354"/>
      <c r="Z52" s="354"/>
      <c r="AA52" s="354"/>
      <c r="AB52" s="354"/>
      <c r="AC52" s="354"/>
      <c r="AD52" s="354"/>
      <c r="AE52" s="354"/>
      <c r="AF52" s="354"/>
      <c r="AG52" s="354"/>
      <c r="AH52" s="354"/>
      <c r="AK52" s="355"/>
      <c r="AL52" s="354"/>
      <c r="AM52" s="354"/>
      <c r="AN52" s="354"/>
      <c r="AO52" s="354"/>
      <c r="AP52" s="354"/>
      <c r="AQ52" s="354"/>
      <c r="AR52" s="354"/>
      <c r="AS52" s="354"/>
      <c r="AT52" s="354"/>
      <c r="AU52" s="354"/>
      <c r="AV52" s="354"/>
      <c r="AX52" s="350"/>
    </row>
    <row r="53" spans="2:83" hidden="1" x14ac:dyDescent="0.3">
      <c r="B53" s="358" t="s">
        <v>1059</v>
      </c>
      <c r="C53" s="357">
        <v>89.461231971439403</v>
      </c>
      <c r="D53" s="357">
        <v>72.122247599958797</v>
      </c>
      <c r="E53" s="357">
        <v>72.122247599958797</v>
      </c>
      <c r="F53" s="357">
        <v>77.970906202811506</v>
      </c>
      <c r="G53" s="357">
        <v>76.505704268741596</v>
      </c>
      <c r="H53" s="357">
        <v>65.789823342671895</v>
      </c>
      <c r="I53" s="357">
        <v>30.0835796648349</v>
      </c>
      <c r="J53" s="357">
        <v>48.664945706598999</v>
      </c>
      <c r="K53" s="357">
        <v>58.108704255513402</v>
      </c>
      <c r="N53" s="349"/>
      <c r="O53" s="355"/>
      <c r="P53" s="354"/>
      <c r="Q53" s="354"/>
      <c r="R53" s="354"/>
      <c r="S53" s="354"/>
      <c r="T53" s="354"/>
      <c r="U53" s="354"/>
      <c r="V53" s="354"/>
      <c r="W53" s="354"/>
      <c r="X53" s="354"/>
      <c r="Y53" s="354"/>
      <c r="Z53" s="354"/>
      <c r="AA53" s="354"/>
      <c r="AB53" s="354"/>
      <c r="AC53" s="354"/>
      <c r="AD53" s="354"/>
      <c r="AE53" s="354"/>
      <c r="AF53" s="354"/>
      <c r="AG53" s="354"/>
      <c r="AH53" s="354"/>
      <c r="AK53" s="355"/>
      <c r="AL53" s="354"/>
      <c r="AM53" s="354"/>
      <c r="AN53" s="354"/>
      <c r="AO53" s="354"/>
      <c r="AP53" s="354"/>
      <c r="AQ53" s="354"/>
      <c r="AR53" s="354"/>
      <c r="AS53" s="354"/>
      <c r="AT53" s="354"/>
      <c r="AU53" s="354"/>
      <c r="AV53" s="354"/>
      <c r="AX53" s="350"/>
    </row>
    <row r="54" spans="2:83" hidden="1" x14ac:dyDescent="0.3">
      <c r="B54" s="358" t="s">
        <v>1058</v>
      </c>
      <c r="C54" s="357">
        <v>49.376843338162402</v>
      </c>
      <c r="D54" s="357">
        <v>79.669207995489501</v>
      </c>
      <c r="E54" s="357">
        <v>79.669207995489501</v>
      </c>
      <c r="F54" s="357">
        <v>83.9020551877488</v>
      </c>
      <c r="G54" s="357">
        <v>78.177789423881194</v>
      </c>
      <c r="H54" s="357">
        <v>55.163603399950702</v>
      </c>
      <c r="I54" s="357">
        <v>3.7309431493018801</v>
      </c>
      <c r="J54" s="357">
        <v>19.818705606832999</v>
      </c>
      <c r="K54" s="357">
        <v>21.929337467069399</v>
      </c>
      <c r="N54" s="349"/>
      <c r="O54" s="355"/>
      <c r="P54" s="354"/>
      <c r="Q54" s="354"/>
      <c r="R54" s="354"/>
      <c r="S54" s="354"/>
      <c r="T54" s="354"/>
      <c r="U54" s="354"/>
      <c r="V54" s="354"/>
      <c r="W54" s="354"/>
      <c r="X54" s="354"/>
      <c r="Y54" s="354"/>
      <c r="Z54" s="354"/>
      <c r="AA54" s="354"/>
      <c r="AB54" s="354"/>
      <c r="AC54" s="354"/>
      <c r="AD54" s="354"/>
      <c r="AE54" s="354"/>
      <c r="AF54" s="354"/>
      <c r="AG54" s="354"/>
      <c r="AH54" s="354"/>
      <c r="AK54" s="355"/>
      <c r="AL54" s="354"/>
      <c r="AM54" s="354"/>
      <c r="AN54" s="354"/>
      <c r="AO54" s="354"/>
      <c r="AP54" s="354"/>
      <c r="AQ54" s="354"/>
      <c r="AR54" s="354"/>
      <c r="AS54" s="354"/>
      <c r="AT54" s="354"/>
      <c r="AU54" s="354"/>
      <c r="AV54" s="354"/>
      <c r="AX54" s="350"/>
    </row>
    <row r="55" spans="2:83" x14ac:dyDescent="0.3">
      <c r="N55" s="349"/>
      <c r="O55" s="355"/>
      <c r="P55" s="354"/>
      <c r="Q55" s="354"/>
      <c r="R55" s="354"/>
      <c r="S55" s="354"/>
      <c r="T55" s="354"/>
      <c r="U55" s="354"/>
      <c r="V55" s="354"/>
      <c r="W55" s="354"/>
      <c r="X55" s="354"/>
      <c r="Y55" s="354"/>
      <c r="Z55" s="354"/>
      <c r="AA55" s="354"/>
      <c r="AB55" s="354"/>
      <c r="AC55" s="354"/>
      <c r="AD55" s="354"/>
      <c r="AE55" s="354"/>
      <c r="AF55" s="354"/>
      <c r="AG55" s="354"/>
      <c r="AH55" s="354"/>
      <c r="AK55" s="355"/>
      <c r="AL55" s="354"/>
      <c r="AM55" s="354"/>
      <c r="AN55" s="354"/>
      <c r="AO55" s="354"/>
      <c r="AP55" s="354"/>
      <c r="AQ55" s="354"/>
      <c r="AR55" s="354"/>
      <c r="AS55" s="354"/>
      <c r="AT55" s="354"/>
      <c r="AU55" s="354"/>
      <c r="AV55" s="354"/>
      <c r="AX55" s="350"/>
    </row>
    <row r="56" spans="2:83" x14ac:dyDescent="0.3">
      <c r="N56" s="349"/>
      <c r="O56" s="355"/>
      <c r="P56" s="354"/>
      <c r="Q56" s="354"/>
      <c r="R56" s="354"/>
      <c r="S56" s="354"/>
      <c r="T56" s="354"/>
      <c r="U56" s="354"/>
      <c r="V56" s="354"/>
      <c r="W56" s="354"/>
      <c r="X56" s="354"/>
      <c r="Y56" s="354"/>
      <c r="Z56" s="354"/>
      <c r="AA56" s="354"/>
      <c r="AB56" s="354"/>
      <c r="AC56" s="354"/>
      <c r="AD56" s="354"/>
      <c r="AE56" s="354"/>
      <c r="AF56" s="354"/>
      <c r="AG56" s="354"/>
      <c r="AH56" s="354"/>
      <c r="AK56" s="355"/>
      <c r="AL56" s="354"/>
      <c r="AM56" s="354"/>
      <c r="AN56" s="354"/>
      <c r="AO56" s="354"/>
      <c r="AP56" s="354"/>
      <c r="AQ56" s="354"/>
      <c r="AR56" s="354"/>
      <c r="AS56" s="354"/>
      <c r="AT56" s="354"/>
      <c r="AU56" s="354"/>
      <c r="AV56" s="354"/>
      <c r="AX56" s="350"/>
    </row>
    <row r="57" spans="2:83" x14ac:dyDescent="0.3">
      <c r="B57" s="358" t="s">
        <v>1130</v>
      </c>
      <c r="C57" s="357">
        <f>'0_Total'!D86</f>
        <v>0.10272971336374727</v>
      </c>
      <c r="D57" s="357">
        <f>'0_Total'!W86</f>
        <v>0.10272971336374727</v>
      </c>
      <c r="E57" s="357">
        <f>'0_Total'!AE86</f>
        <v>0.11113487172987203</v>
      </c>
      <c r="F57" s="357">
        <f>'0_Total'!AG86</f>
        <v>0</v>
      </c>
      <c r="G57" s="357">
        <f>'0_Total'!AI86</f>
        <v>0</v>
      </c>
      <c r="H57" s="357">
        <f>'0_Total'!AH86</f>
        <v>0.19612036187624479</v>
      </c>
      <c r="I57" s="357">
        <f>'0_Total'!AJ86</f>
        <v>0.19612036187624482</v>
      </c>
      <c r="J57" s="357">
        <f>'0_Total'!AK86</f>
        <v>0.79332529947476416</v>
      </c>
      <c r="K57" s="357">
        <f>'0_Total'!AL86</f>
        <v>0.32699806902134998</v>
      </c>
      <c r="L57" s="357">
        <f>'0_Total'!AM86</f>
        <v>0.79332529947476405</v>
      </c>
      <c r="M57" s="357">
        <f>'0_Total'!AN86</f>
        <v>0.32699806902134998</v>
      </c>
      <c r="N57" s="450">
        <f>'0_Total'!AO86</f>
        <v>2.7820834252890769</v>
      </c>
      <c r="O57" s="357">
        <f>'0_Total'!AP86</f>
        <v>2.0723682657765576</v>
      </c>
      <c r="P57" s="357">
        <f>'0_Total'!AQ86</f>
        <v>1.8778581378302071</v>
      </c>
      <c r="Q57" s="357">
        <f>'0_Total'!AX86</f>
        <v>1.7776559507063292</v>
      </c>
      <c r="R57" s="357">
        <f>'0_Total'!BB86</f>
        <v>1.9443755986699489</v>
      </c>
      <c r="S57" s="450">
        <f>'0_Total'!CI86</f>
        <v>1.7590854879367213</v>
      </c>
      <c r="T57" s="450">
        <f>'0_Total'!CJ86</f>
        <v>1.6692421517616596</v>
      </c>
      <c r="U57" s="450">
        <f>'0_Total'!CK86</f>
        <v>1.5089252412674308</v>
      </c>
      <c r="V57" s="450">
        <f>'0_Total'!CL86</f>
        <v>1.5089252412674308</v>
      </c>
      <c r="W57" s="450">
        <f>'0_Total'!CM86</f>
        <v>1.6504416493932939</v>
      </c>
      <c r="X57" s="450">
        <f>'0_Total'!BI86</f>
        <v>2.3615120249013515</v>
      </c>
      <c r="Y57" s="357">
        <f>'0_Total'!BJ86</f>
        <v>1.7590854879367213</v>
      </c>
      <c r="Z57" s="357">
        <f>'0_Total'!BK86</f>
        <v>1.6692421517616596</v>
      </c>
      <c r="AA57" s="357">
        <f>'0_Total'!BT86</f>
        <v>1.5089252412674308</v>
      </c>
      <c r="AB57" s="357">
        <f>'0_Total'!CC86</f>
        <v>1.5089252412674308</v>
      </c>
      <c r="AC57" s="357">
        <f>'0_Total'!CG86</f>
        <v>1.6504416493932939</v>
      </c>
      <c r="AD57" s="357">
        <f>'0_Total'!DQ86</f>
        <v>14.775703441959346</v>
      </c>
      <c r="AE57" s="357">
        <f>'0_Total'!DR86</f>
        <v>10.877014507162981</v>
      </c>
      <c r="AF57" s="357">
        <f>'0_Total'!DU86</f>
        <v>11.548687595055442</v>
      </c>
      <c r="AG57" s="357">
        <f>'0_Total'!DT86</f>
        <v>11.548687595055442</v>
      </c>
      <c r="AH57" s="357">
        <f>'0_Total'!DW86</f>
        <v>10.533703159370685</v>
      </c>
      <c r="AI57" s="357">
        <f>'0_Total'!ED86</f>
        <v>165.4986059028692</v>
      </c>
      <c r="AK57" s="356"/>
      <c r="AN57" s="357"/>
      <c r="AO57" s="357"/>
      <c r="AP57" s="357"/>
      <c r="AQ57" s="357"/>
      <c r="AR57" s="357"/>
      <c r="AS57" s="357"/>
      <c r="AT57" s="357"/>
      <c r="BF57" s="350"/>
      <c r="BM57" s="357"/>
      <c r="BN57" s="357"/>
      <c r="BO57" s="357"/>
      <c r="BP57" s="357"/>
      <c r="BQ57" s="357"/>
      <c r="BR57" s="357"/>
      <c r="BS57" s="357"/>
      <c r="BT57" s="357"/>
      <c r="BU57" s="357"/>
      <c r="BV57" s="357"/>
      <c r="BZ57" s="357"/>
      <c r="CB57" s="357"/>
      <c r="CC57" s="357"/>
      <c r="CD57" s="357"/>
      <c r="CE57" s="357"/>
    </row>
    <row r="58" spans="2:83" x14ac:dyDescent="0.3">
      <c r="B58" s="358" t="s">
        <v>850</v>
      </c>
      <c r="C58" s="357">
        <f>'0_Total'!D87</f>
        <v>0</v>
      </c>
      <c r="D58" s="357">
        <f>'0_Total'!W87</f>
        <v>0.50111855552115991</v>
      </c>
      <c r="E58" s="357">
        <f>'0_Total'!AE87</f>
        <v>0.35645658958233067</v>
      </c>
      <c r="F58" s="357">
        <f>'0_Total'!AG87</f>
        <v>0</v>
      </c>
      <c r="G58" s="357">
        <f>'0_Total'!AI87</f>
        <v>0.35645658958233067</v>
      </c>
      <c r="H58" s="357">
        <f>'0_Total'!AH87</f>
        <v>0</v>
      </c>
      <c r="I58" s="357">
        <f>'0_Total'!AJ87</f>
        <v>0.35645658958233067</v>
      </c>
      <c r="J58" s="357">
        <f>'0_Total'!AK87</f>
        <v>0</v>
      </c>
      <c r="K58" s="357">
        <f>'0_Total'!AL87</f>
        <v>0</v>
      </c>
      <c r="L58" s="357">
        <f>'0_Total'!AM87</f>
        <v>0</v>
      </c>
      <c r="M58" s="357">
        <f>'0_Total'!AN87</f>
        <v>0.19504228486580358</v>
      </c>
      <c r="N58" s="357">
        <f>'0_Total'!AO87</f>
        <v>0</v>
      </c>
      <c r="O58" s="357">
        <f>'0_Total'!AP87</f>
        <v>0</v>
      </c>
      <c r="P58" s="357">
        <f>'0_Total'!AQ87</f>
        <v>0</v>
      </c>
      <c r="Q58" s="357">
        <f>'0_Total'!AX87</f>
        <v>0</v>
      </c>
      <c r="R58" s="357">
        <f>'0_Total'!BB87</f>
        <v>0</v>
      </c>
      <c r="S58" s="357">
        <f>'0_Total'!CI87</f>
        <v>0.31328277783983632</v>
      </c>
      <c r="T58" s="357">
        <f>'0_Total'!CJ87</f>
        <v>0.29728220815727063</v>
      </c>
      <c r="U58" s="357">
        <f>'0_Total'!CK87</f>
        <v>0.26873070943889849</v>
      </c>
      <c r="V58" s="357">
        <f>'0_Total'!CL87</f>
        <v>0.26873070943889849</v>
      </c>
      <c r="W58" s="357">
        <f>'0_Total'!CM87</f>
        <v>0.29393394927665512</v>
      </c>
      <c r="X58" s="357">
        <f>'0_Total'!BI87</f>
        <v>0.42057140038772545</v>
      </c>
      <c r="Y58" s="357">
        <f>'0_Total'!BJ87</f>
        <v>0.31328277783983632</v>
      </c>
      <c r="Z58" s="357">
        <f>'0_Total'!BK87</f>
        <v>0.29728220815727063</v>
      </c>
      <c r="AA58" s="357">
        <f>'0_Total'!BT87</f>
        <v>0.26873070943889849</v>
      </c>
      <c r="AB58" s="357">
        <f>'0_Total'!CC87</f>
        <v>0.26873070943889849</v>
      </c>
      <c r="AC58" s="357">
        <f>'0_Total'!CG87</f>
        <v>0.29393394927665512</v>
      </c>
      <c r="AD58" s="357">
        <f>'0_Total'!DQ87</f>
        <v>1.641744826884372</v>
      </c>
      <c r="AE58" s="357">
        <f>'0_Total'!DR87</f>
        <v>1.2085571674625535</v>
      </c>
      <c r="AF58" s="357">
        <f>'0_Total'!DU87</f>
        <v>1.2831875105617161</v>
      </c>
      <c r="AG58" s="357">
        <f>'0_Total'!DT87</f>
        <v>1.2831875105617161</v>
      </c>
      <c r="AH58" s="357">
        <f>'0_Total'!DW87</f>
        <v>1.1704114621522983</v>
      </c>
      <c r="AI58" s="357">
        <f>'0_Total'!ED87</f>
        <v>0</v>
      </c>
      <c r="AK58" s="356"/>
      <c r="AN58" s="357"/>
      <c r="AO58" s="357"/>
      <c r="AP58" s="357"/>
      <c r="AQ58" s="357"/>
      <c r="AR58" s="357"/>
      <c r="AS58" s="357"/>
      <c r="AT58" s="357"/>
      <c r="BF58" s="350"/>
      <c r="BM58" s="357"/>
      <c r="BN58" s="357"/>
      <c r="BO58" s="357"/>
      <c r="BP58" s="357"/>
      <c r="BQ58" s="357"/>
      <c r="BR58" s="357"/>
      <c r="BS58" s="357"/>
      <c r="BT58" s="357"/>
      <c r="BU58" s="357"/>
      <c r="BV58" s="357"/>
      <c r="BZ58" s="357"/>
      <c r="CB58" s="357"/>
      <c r="CC58" s="357"/>
      <c r="CD58" s="357"/>
      <c r="CE58" s="357"/>
    </row>
    <row r="59" spans="2:83" x14ac:dyDescent="0.3">
      <c r="N59" s="349"/>
      <c r="O59" s="350"/>
      <c r="P59" s="350"/>
      <c r="Q59" s="350"/>
      <c r="AB59" s="349"/>
      <c r="AJ59" s="350"/>
      <c r="AO59" s="349"/>
      <c r="AW59" s="350"/>
    </row>
    <row r="60" spans="2:83" s="507" customFormat="1" x14ac:dyDescent="0.3">
      <c r="B60" s="507" t="str">
        <f>Tech_Spec_TNC!P12&amp;" vkm (excluding commute)"</f>
        <v>Deadheading, % of total vkm (excluding commute)</v>
      </c>
      <c r="C60" s="358"/>
      <c r="D60" s="358"/>
      <c r="E60" s="358"/>
      <c r="F60" s="358"/>
      <c r="G60" s="358"/>
      <c r="H60" s="358"/>
      <c r="I60" s="358"/>
      <c r="J60" s="358"/>
      <c r="K60" s="358"/>
      <c r="O60" s="358"/>
      <c r="P60" s="358"/>
      <c r="Q60" s="358"/>
      <c r="S60" s="358">
        <f>Tech_Spec_TNC!$O$14/SUM(Tech_Spec_TNC!$O$13,Tech_Spec_TNC!$O$14)</f>
        <v>0.38588235294117645</v>
      </c>
      <c r="T60" s="521">
        <f>Tech_Spec_TNC!$O$14/SUM(Tech_Spec_TNC!$O$13,Tech_Spec_TNC!$O$14)</f>
        <v>0.38588235294117645</v>
      </c>
      <c r="U60" s="521">
        <f>Tech_Spec_TNC!$O$14/SUM(Tech_Spec_TNC!$O$13,Tech_Spec_TNC!$O$14)</f>
        <v>0.38588235294117645</v>
      </c>
      <c r="V60" s="521">
        <f>Tech_Spec_TNC!$O$14/SUM(Tech_Spec_TNC!$O$13,Tech_Spec_TNC!$O$14)</f>
        <v>0.38588235294117645</v>
      </c>
      <c r="W60" s="521">
        <f>Tech_Spec_TNC!$O$14/SUM(Tech_Spec_TNC!$O$13,Tech_Spec_TNC!$O$14)</f>
        <v>0.38588235294117645</v>
      </c>
      <c r="X60" s="358">
        <f>Tech_Spec_TNC!$O$14/SUM(Tech_Spec_TNC!$O$13,Tech_Spec_TNC!$O$14)</f>
        <v>0.38588235294117645</v>
      </c>
      <c r="Y60" s="507">
        <f>X60</f>
        <v>0.38588235294117645</v>
      </c>
      <c r="Z60" s="507">
        <f>Y60</f>
        <v>0.38588235294117645</v>
      </c>
      <c r="AA60" s="507">
        <f>Z60</f>
        <v>0.38588235294117645</v>
      </c>
      <c r="AB60" s="507">
        <f>AA60</f>
        <v>0.38588235294117645</v>
      </c>
      <c r="AC60" s="507">
        <f>AB60</f>
        <v>0.38588235294117645</v>
      </c>
      <c r="AJ60" s="358"/>
      <c r="AW60" s="358"/>
    </row>
    <row r="61" spans="2:83" x14ac:dyDescent="0.3">
      <c r="B61" s="352"/>
      <c r="C61" s="351"/>
      <c r="D61" s="351"/>
      <c r="E61" s="351"/>
      <c r="F61" s="351"/>
      <c r="G61" s="351"/>
      <c r="H61" s="351"/>
      <c r="I61" s="351"/>
      <c r="J61" s="351"/>
      <c r="K61" s="351"/>
      <c r="N61" s="349"/>
      <c r="O61" s="350"/>
      <c r="P61" s="350"/>
      <c r="Q61" s="350"/>
      <c r="AB61" s="349"/>
      <c r="AJ61" s="350"/>
      <c r="AO61" s="349"/>
      <c r="AW61" s="350"/>
    </row>
    <row r="62" spans="2:83" x14ac:dyDescent="0.3">
      <c r="B62" s="352"/>
      <c r="C62" s="351"/>
      <c r="D62" s="351"/>
      <c r="E62" s="351"/>
      <c r="F62" s="351"/>
      <c r="G62" s="351"/>
      <c r="H62" s="351"/>
      <c r="I62" s="351"/>
      <c r="J62" s="351"/>
      <c r="K62" s="351"/>
      <c r="N62" s="349"/>
      <c r="O62" s="350"/>
      <c r="P62" s="350"/>
      <c r="Q62" s="350"/>
      <c r="AB62" s="349"/>
      <c r="AJ62" s="350"/>
      <c r="AO62" s="349"/>
      <c r="AW62" s="350"/>
    </row>
    <row r="63" spans="2:83" x14ac:dyDescent="0.3">
      <c r="B63" s="352"/>
      <c r="C63" s="351"/>
      <c r="D63" s="351"/>
      <c r="E63" s="351"/>
      <c r="F63" s="351"/>
      <c r="G63" s="351"/>
      <c r="H63" s="351"/>
      <c r="I63" s="351"/>
      <c r="J63" s="351"/>
      <c r="K63" s="351"/>
      <c r="N63" s="349"/>
      <c r="O63" s="350"/>
      <c r="P63" s="350"/>
      <c r="Q63" s="350"/>
      <c r="AB63" s="349"/>
      <c r="AJ63" s="350"/>
      <c r="AO63" s="349"/>
      <c r="AW63" s="350"/>
    </row>
    <row r="64" spans="2:83" x14ac:dyDescent="0.3">
      <c r="B64" s="352"/>
      <c r="C64" s="351"/>
      <c r="D64" s="351"/>
      <c r="E64" s="351"/>
      <c r="F64" s="351"/>
      <c r="G64" s="351"/>
      <c r="H64" s="351"/>
      <c r="I64" s="351"/>
      <c r="J64" s="351"/>
      <c r="K64" s="351"/>
      <c r="N64" s="349"/>
      <c r="O64" s="350"/>
      <c r="P64" s="350"/>
      <c r="Q64" s="350"/>
      <c r="AB64" s="349"/>
      <c r="AJ64" s="350"/>
      <c r="AO64" s="349"/>
      <c r="AW64" s="350"/>
    </row>
    <row r="65" spans="2:49" x14ac:dyDescent="0.3">
      <c r="N65" s="349"/>
      <c r="O65" s="350"/>
      <c r="P65" s="350"/>
      <c r="Q65" s="350"/>
      <c r="AB65" s="349"/>
      <c r="AJ65" s="350"/>
      <c r="AO65" s="349"/>
      <c r="AW65" s="350"/>
    </row>
    <row r="66" spans="2:49" x14ac:dyDescent="0.3">
      <c r="N66" s="349"/>
      <c r="O66" s="350"/>
      <c r="P66" s="350"/>
      <c r="Q66" s="350"/>
      <c r="AB66" s="349"/>
      <c r="AJ66" s="350"/>
      <c r="AO66" s="349"/>
      <c r="AW66" s="350"/>
    </row>
    <row r="67" spans="2:49" x14ac:dyDescent="0.3">
      <c r="N67" s="349"/>
      <c r="AB67" s="349"/>
      <c r="AJ67" s="350"/>
      <c r="AO67" s="349"/>
      <c r="AW67" s="350"/>
    </row>
    <row r="68" spans="2:49"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J68" s="402"/>
      <c r="AW68" s="402"/>
    </row>
    <row r="69" spans="2:49" x14ac:dyDescent="0.3">
      <c r="B69" s="405"/>
      <c r="C69" s="407"/>
      <c r="D69" s="407"/>
      <c r="E69" s="407"/>
      <c r="F69" s="407"/>
      <c r="G69" s="407"/>
      <c r="H69" s="407"/>
      <c r="I69" s="407"/>
      <c r="J69" s="407"/>
      <c r="K69" s="407"/>
      <c r="L69" s="407"/>
      <c r="M69" s="407"/>
      <c r="N69" s="409"/>
      <c r="O69" s="409"/>
      <c r="P69" s="409"/>
      <c r="Q69" s="409"/>
      <c r="R69" s="409"/>
      <c r="S69" s="409"/>
      <c r="T69" s="409"/>
      <c r="U69" s="409"/>
      <c r="V69" s="409"/>
      <c r="W69" s="409"/>
      <c r="X69" s="409"/>
      <c r="Y69" s="409"/>
      <c r="Z69" s="409"/>
      <c r="AA69" s="409"/>
      <c r="AB69" s="409"/>
      <c r="AC69" s="409"/>
      <c r="AD69" s="409"/>
      <c r="AE69" s="409"/>
      <c r="AF69" s="409"/>
      <c r="AG69" s="407"/>
      <c r="AH69" s="407"/>
      <c r="AJ69" s="350"/>
      <c r="AO69" s="349"/>
      <c r="AW69" s="350"/>
    </row>
    <row r="70" spans="2:49" x14ac:dyDescent="0.3">
      <c r="B70" s="405"/>
      <c r="C70" s="406"/>
      <c r="D70" s="406"/>
      <c r="E70" s="406"/>
      <c r="F70" s="406"/>
      <c r="G70" s="406"/>
      <c r="H70" s="406"/>
      <c r="I70" s="406"/>
      <c r="J70" s="406"/>
      <c r="K70" s="406"/>
      <c r="L70" s="406"/>
      <c r="M70" s="406"/>
      <c r="N70" s="410"/>
      <c r="O70" s="410"/>
      <c r="P70" s="410"/>
      <c r="Q70" s="410"/>
      <c r="R70" s="410"/>
      <c r="S70" s="410"/>
      <c r="T70" s="410"/>
      <c r="U70" s="410"/>
      <c r="V70" s="410"/>
      <c r="W70" s="410"/>
      <c r="X70" s="410"/>
      <c r="Y70" s="410"/>
      <c r="Z70" s="410"/>
      <c r="AA70" s="410"/>
      <c r="AB70" s="410"/>
      <c r="AC70" s="410"/>
      <c r="AD70" s="410"/>
      <c r="AE70" s="410"/>
      <c r="AF70" s="410"/>
      <c r="AG70" s="406"/>
      <c r="AH70" s="406"/>
      <c r="AJ70" s="350"/>
      <c r="AO70" s="349"/>
      <c r="AW70" s="350"/>
    </row>
    <row r="71" spans="2:49" x14ac:dyDescent="0.3">
      <c r="B71" s="405"/>
      <c r="C71" s="407"/>
      <c r="D71" s="407"/>
      <c r="E71" s="407"/>
      <c r="F71" s="407"/>
      <c r="G71" s="407"/>
      <c r="H71" s="407"/>
      <c r="I71" s="407"/>
      <c r="J71" s="407"/>
      <c r="K71" s="407"/>
      <c r="L71" s="407"/>
      <c r="M71" s="407"/>
      <c r="N71" s="409"/>
      <c r="O71" s="409"/>
      <c r="P71" s="409"/>
      <c r="Q71" s="409"/>
      <c r="R71" s="409"/>
      <c r="S71" s="409"/>
      <c r="T71" s="409"/>
      <c r="U71" s="409"/>
      <c r="V71" s="409"/>
      <c r="W71" s="409"/>
      <c r="X71" s="409"/>
      <c r="Y71" s="409"/>
      <c r="Z71" s="409"/>
      <c r="AA71" s="409"/>
      <c r="AB71" s="409"/>
      <c r="AC71" s="409"/>
      <c r="AD71" s="409"/>
      <c r="AE71" s="409"/>
      <c r="AF71" s="409"/>
      <c r="AG71" s="407"/>
      <c r="AH71" s="407"/>
      <c r="AJ71" s="350"/>
      <c r="AO71" s="349"/>
      <c r="AW71" s="350"/>
    </row>
    <row r="72" spans="2:49" x14ac:dyDescent="0.3">
      <c r="B72" s="405"/>
      <c r="C72" s="406"/>
      <c r="D72" s="406"/>
      <c r="E72" s="406"/>
      <c r="F72" s="406"/>
      <c r="G72" s="406"/>
      <c r="H72" s="406"/>
      <c r="I72" s="406"/>
      <c r="J72" s="406"/>
      <c r="K72" s="406"/>
      <c r="L72" s="406"/>
      <c r="M72" s="406"/>
      <c r="N72" s="410"/>
      <c r="O72" s="410"/>
      <c r="P72" s="410"/>
      <c r="Q72" s="410"/>
      <c r="R72" s="410"/>
      <c r="S72" s="410"/>
      <c r="T72" s="410"/>
      <c r="U72" s="410"/>
      <c r="V72" s="410"/>
      <c r="W72" s="410"/>
      <c r="X72" s="410"/>
      <c r="Y72" s="410"/>
      <c r="Z72" s="410"/>
      <c r="AA72" s="410"/>
      <c r="AB72" s="410"/>
      <c r="AC72" s="410"/>
      <c r="AD72" s="410"/>
      <c r="AE72" s="410"/>
      <c r="AF72" s="410"/>
      <c r="AG72" s="406"/>
      <c r="AH72" s="406"/>
      <c r="AJ72" s="350"/>
      <c r="AO72" s="349"/>
      <c r="AW72" s="350"/>
    </row>
    <row r="73" spans="2:49"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6"/>
      <c r="AJ73" s="350"/>
      <c r="AO73" s="349"/>
      <c r="AW73" s="350"/>
    </row>
    <row r="74" spans="2:49" x14ac:dyDescent="0.3">
      <c r="B74" s="405"/>
      <c r="C74" s="408"/>
      <c r="D74" s="408"/>
      <c r="E74" s="408"/>
      <c r="F74" s="408"/>
      <c r="G74" s="408"/>
      <c r="H74" s="408"/>
      <c r="I74" s="408"/>
      <c r="J74" s="408"/>
      <c r="K74" s="408"/>
      <c r="L74" s="408"/>
      <c r="M74" s="408"/>
      <c r="N74" s="407"/>
      <c r="O74" s="407"/>
      <c r="P74" s="406"/>
      <c r="Q74" s="406"/>
      <c r="R74" s="407"/>
      <c r="S74" s="406"/>
      <c r="T74" s="406"/>
      <c r="U74" s="406"/>
      <c r="V74" s="406"/>
      <c r="W74" s="406"/>
      <c r="X74" s="406"/>
      <c r="Y74" s="406"/>
      <c r="Z74" s="406"/>
      <c r="AA74" s="406"/>
      <c r="AB74" s="406"/>
      <c r="AC74" s="407"/>
      <c r="AD74" s="406"/>
      <c r="AE74" s="406"/>
      <c r="AF74" s="406"/>
      <c r="AG74" s="406"/>
      <c r="AH74" s="406"/>
      <c r="AJ74" s="350"/>
      <c r="AO74" s="349"/>
      <c r="AW74" s="350"/>
    </row>
    <row r="75" spans="2:49"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6"/>
      <c r="AE75" s="406"/>
      <c r="AF75" s="406"/>
      <c r="AG75" s="406"/>
      <c r="AH75" s="406"/>
      <c r="AJ75" s="350"/>
      <c r="AO75" s="349"/>
      <c r="AW75" s="350"/>
    </row>
    <row r="76" spans="2:49"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H76" s="406"/>
      <c r="AJ76" s="350"/>
      <c r="AO76" s="349"/>
      <c r="AW76" s="350"/>
    </row>
    <row r="77" spans="2:49"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I77" s="350"/>
      <c r="AO77" s="349"/>
      <c r="AV77" s="350"/>
    </row>
    <row r="78" spans="2:49"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I78" s="350"/>
      <c r="AO78" s="349"/>
      <c r="AV78" s="350"/>
    </row>
    <row r="79" spans="2:49"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350"/>
      <c r="AO79" s="349"/>
      <c r="AU79" s="350"/>
    </row>
    <row r="80" spans="2:49" x14ac:dyDescent="0.3">
      <c r="B80" s="405"/>
      <c r="C80" s="406"/>
      <c r="N80" s="349"/>
      <c r="O80" s="350"/>
      <c r="P80" s="350"/>
      <c r="Q80" s="350"/>
      <c r="AB80" s="349"/>
      <c r="AH80" s="350"/>
      <c r="AO80" s="349"/>
      <c r="AU80" s="350"/>
    </row>
    <row r="81" spans="2:47" x14ac:dyDescent="0.3">
      <c r="B81" s="405"/>
      <c r="C81" s="406"/>
      <c r="N81" s="349"/>
      <c r="O81" s="350"/>
      <c r="P81" s="350"/>
      <c r="Q81" s="350"/>
      <c r="AB81" s="349"/>
      <c r="AH81" s="350"/>
      <c r="AO81" s="349"/>
      <c r="AU81" s="350"/>
    </row>
    <row r="82" spans="2:47" x14ac:dyDescent="0.3">
      <c r="N82" s="349"/>
      <c r="O82" s="350"/>
      <c r="P82" s="350"/>
      <c r="Q82" s="350"/>
      <c r="AB82" s="349"/>
      <c r="AH82" s="350"/>
      <c r="AO82" s="349"/>
      <c r="AU82" s="350"/>
    </row>
    <row r="83" spans="2:47" x14ac:dyDescent="0.3">
      <c r="B83" s="405"/>
      <c r="C83" s="406"/>
      <c r="N83" s="349"/>
      <c r="O83" s="350"/>
      <c r="P83" s="350"/>
      <c r="Q83" s="350"/>
      <c r="AB83" s="349"/>
      <c r="AH83" s="350"/>
      <c r="AO83" s="349"/>
      <c r="AU83" s="350"/>
    </row>
    <row r="84" spans="2:47" x14ac:dyDescent="0.3">
      <c r="N84" s="349"/>
      <c r="O84" s="350"/>
      <c r="P84" s="350"/>
      <c r="Q84" s="350"/>
      <c r="AB84" s="349"/>
      <c r="AH84" s="350"/>
      <c r="AO84" s="349"/>
      <c r="AU84" s="350"/>
    </row>
    <row r="85" spans="2:47" x14ac:dyDescent="0.3">
      <c r="O85" s="350"/>
      <c r="P85" s="350"/>
      <c r="AB85" s="349"/>
      <c r="AG85" s="350"/>
      <c r="AO85" s="349"/>
      <c r="AT85" s="350"/>
    </row>
    <row r="86" spans="2:47" x14ac:dyDescent="0.3">
      <c r="B86" s="411"/>
      <c r="C86" s="412"/>
      <c r="D86" s="411"/>
      <c r="E86" s="412"/>
      <c r="F86" s="412"/>
      <c r="O86" s="350"/>
      <c r="P86" s="350"/>
      <c r="AB86" s="349"/>
      <c r="AG86" s="350"/>
      <c r="AO86" s="349"/>
      <c r="AT86" s="350"/>
    </row>
    <row r="87" spans="2:47" x14ac:dyDescent="0.3">
      <c r="C87" s="412"/>
      <c r="D87" s="411"/>
      <c r="E87" s="412"/>
      <c r="F87" s="412"/>
      <c r="O87" s="350"/>
      <c r="P87" s="350"/>
      <c r="AB87" s="349"/>
      <c r="AG87" s="350"/>
      <c r="AO87" s="349"/>
      <c r="AT87" s="350"/>
    </row>
    <row r="88" spans="2:47" x14ac:dyDescent="0.3">
      <c r="C88" s="412"/>
      <c r="D88" s="411"/>
      <c r="E88" s="412"/>
      <c r="F88" s="412"/>
      <c r="O88" s="350"/>
      <c r="P88" s="350"/>
      <c r="AB88" s="349"/>
      <c r="AG88" s="350"/>
      <c r="AO88" s="349"/>
      <c r="AT88" s="350"/>
    </row>
    <row r="89" spans="2:47" x14ac:dyDescent="0.3">
      <c r="B89" s="411"/>
      <c r="C89" s="412"/>
      <c r="D89" s="411"/>
      <c r="E89" s="412"/>
      <c r="F89" s="412"/>
      <c r="O89" s="350"/>
      <c r="P89" s="350"/>
      <c r="AB89" s="349"/>
      <c r="AG89" s="350"/>
      <c r="AO89" s="349"/>
      <c r="AT89" s="350"/>
    </row>
    <row r="90" spans="2:47" x14ac:dyDescent="0.3">
      <c r="C90" s="412"/>
      <c r="D90" s="411"/>
      <c r="E90" s="412"/>
      <c r="F90" s="412"/>
      <c r="O90" s="350"/>
      <c r="P90" s="350"/>
      <c r="AB90" s="349"/>
      <c r="AG90" s="350"/>
      <c r="AO90" s="349"/>
      <c r="AT90" s="350"/>
    </row>
    <row r="91" spans="2:47" x14ac:dyDescent="0.3">
      <c r="C91" s="412"/>
      <c r="D91" s="411"/>
      <c r="E91" s="412"/>
      <c r="F91" s="412"/>
      <c r="O91" s="350"/>
      <c r="P91" s="350"/>
      <c r="AB91" s="349"/>
      <c r="AG91" s="350"/>
      <c r="AO91" s="349"/>
      <c r="AT91" s="350"/>
    </row>
    <row r="92" spans="2:47" x14ac:dyDescent="0.3">
      <c r="C92" s="412"/>
      <c r="D92" s="411"/>
      <c r="E92" s="412"/>
      <c r="F92" s="412"/>
      <c r="O92" s="350"/>
      <c r="P92" s="350"/>
      <c r="AB92" s="349"/>
      <c r="AG92" s="350"/>
      <c r="AO92" s="349"/>
      <c r="AT92" s="350"/>
    </row>
    <row r="93" spans="2:47" x14ac:dyDescent="0.3">
      <c r="C93" s="412"/>
      <c r="D93" s="411"/>
      <c r="E93" s="412"/>
      <c r="F93" s="412"/>
      <c r="O93" s="350"/>
      <c r="P93" s="350"/>
      <c r="AB93" s="349"/>
      <c r="AG93" s="350"/>
      <c r="AO93" s="349"/>
      <c r="AT93" s="350"/>
    </row>
    <row r="94" spans="2:47" x14ac:dyDescent="0.3">
      <c r="C94" s="412"/>
      <c r="D94" s="411"/>
      <c r="E94" s="412"/>
      <c r="F94" s="412"/>
      <c r="O94" s="350"/>
      <c r="P94" s="350"/>
      <c r="AB94" s="349"/>
      <c r="AG94" s="350"/>
      <c r="AO94" s="349"/>
      <c r="AT94" s="350"/>
    </row>
    <row r="95" spans="2:47" x14ac:dyDescent="0.3">
      <c r="C95" s="412"/>
      <c r="D95" s="411"/>
      <c r="E95" s="411"/>
      <c r="F95" s="412"/>
      <c r="O95" s="350"/>
      <c r="P95" s="350"/>
      <c r="AB95" s="349"/>
      <c r="AG95" s="350"/>
      <c r="AO95" s="349"/>
      <c r="AT95" s="350"/>
    </row>
    <row r="96" spans="2:47" x14ac:dyDescent="0.3">
      <c r="O96" s="350"/>
      <c r="P96" s="350"/>
      <c r="AB96" s="349"/>
      <c r="AG96" s="350"/>
      <c r="AO96" s="349"/>
      <c r="AT96" s="350"/>
    </row>
    <row r="97" spans="2:46" x14ac:dyDescent="0.3">
      <c r="O97" s="350"/>
      <c r="P97" s="350"/>
      <c r="AB97" s="349"/>
      <c r="AG97" s="350"/>
      <c r="AO97" s="349"/>
      <c r="AT97" s="350"/>
    </row>
    <row r="98" spans="2:46" x14ac:dyDescent="0.3">
      <c r="B98" s="411"/>
      <c r="C98" s="411"/>
      <c r="D98" s="354"/>
      <c r="O98" s="350"/>
      <c r="P98" s="350"/>
      <c r="AB98" s="349"/>
      <c r="AG98" s="350"/>
      <c r="AO98" s="349"/>
      <c r="AT98" s="350"/>
    </row>
    <row r="99" spans="2:46" x14ac:dyDescent="0.3">
      <c r="C99" s="411"/>
      <c r="D99" s="354"/>
      <c r="O99" s="350"/>
      <c r="P99" s="350"/>
      <c r="AB99" s="349"/>
      <c r="AG99" s="350"/>
      <c r="AO99" s="349"/>
      <c r="AT99" s="350"/>
    </row>
    <row r="100" spans="2:46" x14ac:dyDescent="0.3">
      <c r="C100" s="411"/>
      <c r="D100" s="412"/>
      <c r="O100" s="350"/>
      <c r="P100" s="350"/>
      <c r="AB100" s="349"/>
      <c r="AG100" s="350"/>
      <c r="AO100" s="349"/>
      <c r="AT100" s="350"/>
    </row>
    <row r="101" spans="2:46" x14ac:dyDescent="0.3">
      <c r="C101" s="411"/>
      <c r="D101" s="411"/>
      <c r="O101" s="350"/>
      <c r="P101" s="350"/>
      <c r="AB101" s="349"/>
      <c r="AG101" s="350"/>
      <c r="AO101" s="349"/>
      <c r="AT101" s="350"/>
    </row>
    <row r="102" spans="2:46" x14ac:dyDescent="0.3">
      <c r="C102" s="411"/>
      <c r="D102" s="411"/>
      <c r="O102" s="350"/>
      <c r="P102" s="350"/>
      <c r="AB102" s="349"/>
      <c r="AG102" s="350"/>
      <c r="AO102" s="349"/>
      <c r="AT102" s="350"/>
    </row>
    <row r="103" spans="2:46" x14ac:dyDescent="0.3">
      <c r="C103" s="411"/>
      <c r="D103" s="411"/>
      <c r="O103" s="350"/>
      <c r="P103" s="350"/>
      <c r="AB103" s="349"/>
      <c r="AG103" s="350"/>
      <c r="AO103" s="349"/>
      <c r="AT103" s="350"/>
    </row>
    <row r="104" spans="2:46" x14ac:dyDescent="0.3">
      <c r="B104" s="411"/>
      <c r="C104" s="411"/>
      <c r="D104" s="411"/>
      <c r="O104" s="350"/>
      <c r="P104" s="350"/>
      <c r="AB104" s="349"/>
      <c r="AG104" s="350"/>
      <c r="AO104" s="349"/>
      <c r="AT104" s="350"/>
    </row>
    <row r="105" spans="2:46" x14ac:dyDescent="0.3">
      <c r="B105" s="411"/>
      <c r="C105" s="411"/>
      <c r="D105" s="411"/>
      <c r="O105" s="350"/>
      <c r="P105" s="350"/>
      <c r="AB105" s="349"/>
      <c r="AG105" s="350"/>
      <c r="AO105" s="349"/>
      <c r="AT105" s="350"/>
    </row>
    <row r="106" spans="2:46" x14ac:dyDescent="0.3">
      <c r="B106" s="411"/>
      <c r="C106" s="411"/>
      <c r="O106" s="350"/>
      <c r="P106" s="350"/>
      <c r="AB106" s="349"/>
      <c r="AG106" s="350"/>
      <c r="AO106" s="349"/>
      <c r="AT106" s="350"/>
    </row>
    <row r="107" spans="2:46" x14ac:dyDescent="0.3">
      <c r="O107" s="350"/>
      <c r="P107" s="350"/>
      <c r="AB107" s="349"/>
      <c r="AG107" s="350"/>
      <c r="AO107" s="349"/>
      <c r="AT107" s="350"/>
    </row>
    <row r="108" spans="2:46" x14ac:dyDescent="0.3">
      <c r="O108" s="350"/>
      <c r="P108" s="350"/>
      <c r="AB108" s="349"/>
      <c r="AG108" s="350"/>
      <c r="AO108" s="349"/>
      <c r="AT108" s="350"/>
    </row>
    <row r="109" spans="2:46" x14ac:dyDescent="0.3">
      <c r="O109" s="350"/>
      <c r="P109" s="350"/>
      <c r="AB109" s="349"/>
      <c r="AG109" s="350"/>
      <c r="AO109" s="349"/>
      <c r="AT109" s="350"/>
    </row>
    <row r="110" spans="2:46" x14ac:dyDescent="0.3">
      <c r="B110" s="413"/>
      <c r="O110" s="350"/>
      <c r="P110" s="350"/>
      <c r="AB110" s="349"/>
      <c r="AG110" s="350"/>
      <c r="AO110" s="349"/>
      <c r="AT110" s="350"/>
    </row>
    <row r="111" spans="2:46" x14ac:dyDescent="0.3">
      <c r="O111" s="350"/>
      <c r="P111" s="350"/>
      <c r="AB111" s="349"/>
      <c r="AG111" s="350"/>
      <c r="AO111" s="349"/>
      <c r="AT111" s="350"/>
    </row>
    <row r="112" spans="2:46" x14ac:dyDescent="0.3">
      <c r="O112" s="350"/>
      <c r="P112" s="350"/>
      <c r="AB112" s="349"/>
      <c r="AG112" s="350"/>
      <c r="AO112" s="349"/>
      <c r="AT112" s="350"/>
    </row>
  </sheetData>
  <mergeCells count="1">
    <mergeCell ref="B19:H33"/>
  </mergeCells>
  <pageMargins left="0" right="0" top="0" bottom="0" header="0" footer="0"/>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BC143"/>
  </sheetPr>
  <dimension ref="B1:CC113"/>
  <sheetViews>
    <sheetView topLeftCell="D1" zoomScale="80" zoomScaleNormal="80" zoomScalePageLayoutView="200" workbookViewId="0">
      <selection activeCell="C12" sqref="C12"/>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'0_Total'!A98&amp;" "&amp;'0_Total'!B98&amp;"
(deadheading excluded, except for public transport)"</f>
        <v>GHG emissions per pkm [g CO₂/pkm]
(deadheading excluded, except for public transport)</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81"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81"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81"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81"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81"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81"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81"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1"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1"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1"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1"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1" s="401" customFormat="1" ht="72" x14ac:dyDescent="0.3">
      <c r="B44" s="399"/>
      <c r="C44" s="399" t="str">
        <f t="shared" ref="C44:V44" si="0">C71</f>
        <v>Private e-scooter</v>
      </c>
      <c r="D44" s="399" t="str">
        <f t="shared" si="0"/>
        <v xml:space="preserve">Shared e-scooter </v>
      </c>
      <c r="E44" s="399" t="str">
        <f t="shared" si="0"/>
        <v>Private bike</v>
      </c>
      <c r="F44" s="399" t="str">
        <f t="shared" si="0"/>
        <v>Shared bike</v>
      </c>
      <c r="G44" s="399" t="str">
        <f t="shared" si="0"/>
        <v>Private e-bike</v>
      </c>
      <c r="H44" s="399" t="str">
        <f t="shared" si="0"/>
        <v>Shared e-bike</v>
      </c>
      <c r="I44" s="399" t="str">
        <f t="shared" si="0"/>
        <v>Private moped - ICE</v>
      </c>
      <c r="J44" s="399" t="str">
        <f t="shared" si="0"/>
        <v>Private moped - BEV</v>
      </c>
      <c r="K44" s="399" t="str">
        <f t="shared" si="0"/>
        <v>Shared moped - ICE</v>
      </c>
      <c r="L44" s="399" t="str">
        <f t="shared" si="0"/>
        <v>Shared moped - BEV</v>
      </c>
      <c r="M44" s="399" t="str">
        <f t="shared" si="0"/>
        <v>Private car - ICE</v>
      </c>
      <c r="N44" s="399" t="str">
        <f t="shared" si="0"/>
        <v>Private car - HEV</v>
      </c>
      <c r="O44" s="399" t="str">
        <f t="shared" si="0"/>
        <v>Private car - PHEV</v>
      </c>
      <c r="P44" s="399" t="str">
        <f t="shared" si="0"/>
        <v>Private car - BEV</v>
      </c>
      <c r="Q44" s="399" t="str">
        <f t="shared" si="0"/>
        <v>Private car - FCEV</v>
      </c>
      <c r="R44" s="399" t="str">
        <f t="shared" si="0"/>
        <v>Taxi  HEV</v>
      </c>
      <c r="S44" s="399" t="str">
        <f t="shared" si="0"/>
        <v>Taxi  PHEV</v>
      </c>
      <c r="T44" s="399" t="str">
        <f t="shared" si="0"/>
        <v>Taxi  BEV</v>
      </c>
      <c r="U44" s="399" t="str">
        <f t="shared" si="0"/>
        <v>Taxi  BEV (two packs)</v>
      </c>
      <c r="V44" s="399" t="str">
        <f t="shared" si="0"/>
        <v>Taxi - FCEV</v>
      </c>
      <c r="W44" s="399" t="str">
        <f t="shared" ref="W44:AG44" si="1">W71</f>
        <v>Ridesourcing - car - ICE</v>
      </c>
      <c r="X44" s="399" t="str">
        <f t="shared" si="1"/>
        <v>Ridesourcing - car - HEV</v>
      </c>
      <c r="Y44" s="399" t="str">
        <f t="shared" si="1"/>
        <v>Ridesourcing - car - PHEV</v>
      </c>
      <c r="Z44" s="399" t="str">
        <f t="shared" si="1"/>
        <v>Ridesourcing - car - BEV</v>
      </c>
      <c r="AA44" s="399" t="str">
        <f t="shared" si="1"/>
        <v>Ridesourcing - car - BEV (two packs)</v>
      </c>
      <c r="AB44" s="399" t="str">
        <f t="shared" si="1"/>
        <v>Ridesourcing - car - FCEV</v>
      </c>
      <c r="AC44" s="399" t="str">
        <f t="shared" si="1"/>
        <v>Bus - ICE</v>
      </c>
      <c r="AD44" s="399" t="str">
        <f t="shared" si="1"/>
        <v>Bus - HEV</v>
      </c>
      <c r="AE44" s="399" t="str">
        <f t="shared" si="1"/>
        <v>Bus - BEV</v>
      </c>
      <c r="AF44" s="399" t="str">
        <f t="shared" si="1"/>
        <v>Bus - BEV (two packs)</v>
      </c>
      <c r="AG44" s="399" t="str">
        <f t="shared" si="1"/>
        <v>Metro/urban train</v>
      </c>
      <c r="AI44" s="400"/>
      <c r="AL44" s="399"/>
      <c r="AM44" s="399"/>
      <c r="AN44" s="399"/>
      <c r="AO44" s="399"/>
      <c r="AP44" s="399"/>
      <c r="AQ44" s="399"/>
      <c r="AR44" s="399"/>
      <c r="BK44" s="399"/>
      <c r="BL44" s="399"/>
      <c r="BM44" s="399"/>
      <c r="BN44" s="399"/>
      <c r="BO44" s="399"/>
      <c r="BP44" s="399"/>
      <c r="BQ44" s="399"/>
      <c r="BR44" s="399"/>
      <c r="BS44" s="399"/>
      <c r="BT44" s="399"/>
      <c r="BX44" s="399"/>
      <c r="BZ44" s="399"/>
      <c r="CA44" s="399"/>
      <c r="CB44" s="399"/>
      <c r="CC44" s="399"/>
    </row>
    <row r="45" spans="2:81" x14ac:dyDescent="0.3">
      <c r="B45" s="358" t="s">
        <v>1193</v>
      </c>
      <c r="C45" s="357">
        <f t="shared" ref="C45:M45" ca="1" si="2">C72</f>
        <v>37.029179275461942</v>
      </c>
      <c r="D45" s="357">
        <f t="shared" ca="1" si="2"/>
        <v>117.04803934532677</v>
      </c>
      <c r="E45" s="357">
        <f t="shared" ca="1" si="2"/>
        <v>16.93824515660598</v>
      </c>
      <c r="F45" s="357">
        <f t="shared" ca="1" si="2"/>
        <v>57.505037246899882</v>
      </c>
      <c r="G45" s="357">
        <f t="shared" ca="1" si="2"/>
        <v>24.735671254209745</v>
      </c>
      <c r="H45" s="357">
        <f t="shared" ca="1" si="2"/>
        <v>74.055035178949936</v>
      </c>
      <c r="I45" s="357">
        <f t="shared" ca="1" si="2"/>
        <v>73.116667945061394</v>
      </c>
      <c r="J45" s="357">
        <f t="shared" ca="1" si="2"/>
        <v>25.685414916413087</v>
      </c>
      <c r="K45" s="357">
        <f t="shared" ca="1" si="2"/>
        <v>85.084207329638076</v>
      </c>
      <c r="L45" s="357">
        <f t="shared" ca="1" si="2"/>
        <v>63.965388596873368</v>
      </c>
      <c r="M45" s="357">
        <f t="shared" ca="1" si="2"/>
        <v>242.95805508422671</v>
      </c>
      <c r="N45" s="357">
        <f t="shared" ref="N45:V45" ca="1" si="3">N72</f>
        <v>198.41664951334906</v>
      </c>
      <c r="O45" s="357">
        <f t="shared" ca="1" si="3"/>
        <v>131.03579889280746</v>
      </c>
      <c r="P45" s="357">
        <f t="shared" ca="1" si="3"/>
        <v>105.40940965441584</v>
      </c>
      <c r="Q45" s="357">
        <f t="shared" ca="1" si="3"/>
        <v>200.1132106258072</v>
      </c>
      <c r="R45" s="357">
        <f t="shared" ca="1" si="3"/>
        <v>176.23867917808408</v>
      </c>
      <c r="S45" s="357">
        <f t="shared" ca="1" si="3"/>
        <v>138.79023689694424</v>
      </c>
      <c r="T45" s="357">
        <f t="shared" ca="1" si="3"/>
        <v>72.085929411706061</v>
      </c>
      <c r="U45" s="357">
        <f t="shared" ca="1" si="3"/>
        <v>88.483677381517737</v>
      </c>
      <c r="V45" s="357">
        <f t="shared" ca="1" si="3"/>
        <v>167.40102377908784</v>
      </c>
      <c r="W45" s="357">
        <f t="shared" ref="W45:AB45" ca="1" si="4">W72</f>
        <v>222.96032365470072</v>
      </c>
      <c r="X45" s="357">
        <f t="shared" ca="1" si="4"/>
        <v>176.74790331496078</v>
      </c>
      <c r="Y45" s="357">
        <f t="shared" ca="1" si="4"/>
        <v>139.50475911329761</v>
      </c>
      <c r="Z45" s="357">
        <f t="shared" ca="1" si="4"/>
        <v>71.890095032257506</v>
      </c>
      <c r="AA45" s="357">
        <f t="shared" ca="1" si="4"/>
        <v>91.168482671730686</v>
      </c>
      <c r="AB45" s="357">
        <f t="shared" ca="1" si="4"/>
        <v>167.40102377908784</v>
      </c>
      <c r="AC45" s="500"/>
      <c r="AD45" s="500"/>
      <c r="AE45" s="500"/>
      <c r="AF45" s="500"/>
      <c r="AG45" s="500"/>
      <c r="AI45" s="356"/>
      <c r="AL45" s="357"/>
      <c r="AM45" s="357"/>
      <c r="AN45" s="357"/>
      <c r="AO45" s="357"/>
      <c r="AP45" s="357"/>
      <c r="AQ45" s="357"/>
      <c r="AR45" s="357"/>
      <c r="BD45" s="350"/>
      <c r="BK45" s="357"/>
      <c r="BL45" s="357"/>
      <c r="BM45" s="357"/>
      <c r="BN45" s="357"/>
      <c r="BO45" s="357"/>
      <c r="BP45" s="357"/>
      <c r="BQ45" s="357"/>
      <c r="BR45" s="357"/>
      <c r="BS45" s="357"/>
      <c r="BT45" s="357"/>
      <c r="BX45" s="357"/>
      <c r="BZ45" s="357"/>
      <c r="CA45" s="357"/>
      <c r="CB45" s="357"/>
      <c r="CC45" s="357"/>
    </row>
    <row r="46" spans="2:81" x14ac:dyDescent="0.3">
      <c r="B46" s="358" t="s">
        <v>1194</v>
      </c>
      <c r="C46" s="500"/>
      <c r="D46" s="500"/>
      <c r="E46" s="500"/>
      <c r="F46" s="500"/>
      <c r="G46" s="500"/>
      <c r="H46" s="500"/>
      <c r="I46" s="357">
        <f ca="1">I72/2</f>
        <v>36.558333972530697</v>
      </c>
      <c r="J46" s="357">
        <f ca="1">J72/2</f>
        <v>12.842707458206544</v>
      </c>
      <c r="K46" s="357">
        <f ca="1">K72/2</f>
        <v>42.542103664819038</v>
      </c>
      <c r="L46" s="357">
        <f ca="1">L72/2</f>
        <v>31.982694298436684</v>
      </c>
      <c r="M46" s="357">
        <f ca="1">M72/2</f>
        <v>121.47902754211336</v>
      </c>
      <c r="N46" s="357">
        <f t="shared" ref="N46:V46" ca="1" si="5">N72/2</f>
        <v>99.208324756674529</v>
      </c>
      <c r="O46" s="357">
        <f t="shared" ca="1" si="5"/>
        <v>65.517899446403732</v>
      </c>
      <c r="P46" s="357">
        <f t="shared" ca="1" si="5"/>
        <v>52.704704827207919</v>
      </c>
      <c r="Q46" s="357">
        <f t="shared" ca="1" si="5"/>
        <v>100.0566053129036</v>
      </c>
      <c r="R46" s="357">
        <f t="shared" ca="1" si="5"/>
        <v>88.119339589042042</v>
      </c>
      <c r="S46" s="357">
        <f t="shared" ca="1" si="5"/>
        <v>69.395118448472118</v>
      </c>
      <c r="T46" s="357">
        <f t="shared" ca="1" si="5"/>
        <v>36.042964705853031</v>
      </c>
      <c r="U46" s="357">
        <f t="shared" ca="1" si="5"/>
        <v>44.241838690758868</v>
      </c>
      <c r="V46" s="357">
        <f t="shared" ca="1" si="5"/>
        <v>83.700511889543918</v>
      </c>
      <c r="W46" s="357">
        <f t="shared" ref="W46:AB46" ca="1" si="6">W72/2</f>
        <v>111.48016182735036</v>
      </c>
      <c r="X46" s="357">
        <f t="shared" ca="1" si="6"/>
        <v>88.37395165748039</v>
      </c>
      <c r="Y46" s="357">
        <f t="shared" ca="1" si="6"/>
        <v>69.752379556648805</v>
      </c>
      <c r="Z46" s="357">
        <f t="shared" ca="1" si="6"/>
        <v>35.945047516128753</v>
      </c>
      <c r="AA46" s="357">
        <f t="shared" ca="1" si="6"/>
        <v>45.584241335865343</v>
      </c>
      <c r="AB46" s="357">
        <f t="shared" ca="1" si="6"/>
        <v>83.700511889543918</v>
      </c>
      <c r="AC46" s="500"/>
      <c r="AD46" s="500"/>
      <c r="AE46" s="500"/>
      <c r="AF46" s="500"/>
      <c r="AG46" s="500"/>
      <c r="AI46" s="356"/>
      <c r="AL46" s="357"/>
      <c r="AM46" s="357"/>
      <c r="AN46" s="357"/>
      <c r="AO46" s="357"/>
      <c r="AP46" s="357"/>
      <c r="AQ46" s="357"/>
      <c r="AR46" s="357"/>
      <c r="BD46" s="350"/>
      <c r="BK46" s="357"/>
      <c r="BL46" s="357"/>
      <c r="BM46" s="357"/>
      <c r="BN46" s="357"/>
      <c r="BO46" s="357"/>
      <c r="BP46" s="357"/>
      <c r="BQ46" s="357"/>
      <c r="BR46" s="357"/>
      <c r="BS46" s="357"/>
      <c r="BT46" s="357"/>
      <c r="BX46" s="357"/>
      <c r="BZ46" s="357"/>
      <c r="CA46" s="357"/>
      <c r="CB46" s="357"/>
      <c r="CC46" s="357"/>
    </row>
    <row r="47" spans="2:81" x14ac:dyDescent="0.3">
      <c r="B47" s="358" t="s">
        <v>1195</v>
      </c>
      <c r="C47" s="500"/>
      <c r="D47" s="500"/>
      <c r="E47" s="500"/>
      <c r="F47" s="500"/>
      <c r="G47" s="500"/>
      <c r="H47" s="500"/>
      <c r="I47" s="500"/>
      <c r="J47" s="500"/>
      <c r="K47" s="500"/>
      <c r="L47" s="500"/>
      <c r="M47" s="357">
        <f ca="1">M72/3</f>
        <v>80.98601836140891</v>
      </c>
      <c r="N47" s="357">
        <f t="shared" ref="N47:V47" ca="1" si="7">N72/3</f>
        <v>66.138883171116348</v>
      </c>
      <c r="O47" s="357">
        <f t="shared" ca="1" si="7"/>
        <v>43.678599630935821</v>
      </c>
      <c r="P47" s="357">
        <f t="shared" ca="1" si="7"/>
        <v>35.13646988480528</v>
      </c>
      <c r="Q47" s="357">
        <f t="shared" ca="1" si="7"/>
        <v>66.704403541935733</v>
      </c>
      <c r="R47" s="357">
        <f t="shared" ca="1" si="7"/>
        <v>58.746226392694695</v>
      </c>
      <c r="S47" s="357">
        <f t="shared" ca="1" si="7"/>
        <v>46.263412298981414</v>
      </c>
      <c r="T47" s="357">
        <f t="shared" ca="1" si="7"/>
        <v>24.028643137235353</v>
      </c>
      <c r="U47" s="357">
        <f t="shared" ca="1" si="7"/>
        <v>29.494559127172579</v>
      </c>
      <c r="V47" s="357">
        <f t="shared" ca="1" si="7"/>
        <v>55.800341259695948</v>
      </c>
      <c r="W47" s="357">
        <f t="shared" ref="W47:AB47" ca="1" si="8">W72/3</f>
        <v>74.320107884900239</v>
      </c>
      <c r="X47" s="357">
        <f t="shared" ca="1" si="8"/>
        <v>58.915967771653591</v>
      </c>
      <c r="Y47" s="357">
        <f t="shared" ca="1" si="8"/>
        <v>46.501586371099201</v>
      </c>
      <c r="Z47" s="357">
        <f t="shared" ca="1" si="8"/>
        <v>23.963365010752501</v>
      </c>
      <c r="AA47" s="357">
        <f t="shared" ca="1" si="8"/>
        <v>30.38949422391023</v>
      </c>
      <c r="AB47" s="357">
        <f t="shared" ca="1" si="8"/>
        <v>55.800341259695948</v>
      </c>
      <c r="AC47" s="500"/>
      <c r="AD47" s="500"/>
      <c r="AE47" s="500"/>
      <c r="AF47" s="500"/>
      <c r="AG47" s="500"/>
      <c r="AI47" s="356"/>
      <c r="AL47" s="357"/>
      <c r="AM47" s="357"/>
      <c r="AN47" s="357"/>
      <c r="AO47" s="357"/>
      <c r="AP47" s="357"/>
      <c r="AQ47" s="357"/>
      <c r="AR47" s="357"/>
      <c r="BD47" s="350"/>
      <c r="BK47" s="357"/>
      <c r="BL47" s="357"/>
      <c r="BM47" s="357"/>
      <c r="BN47" s="357"/>
      <c r="BO47" s="357"/>
      <c r="BP47" s="357"/>
      <c r="BQ47" s="357"/>
      <c r="BR47" s="357"/>
      <c r="BS47" s="357"/>
      <c r="BT47" s="357"/>
      <c r="BX47" s="357"/>
      <c r="BZ47" s="357"/>
      <c r="CA47" s="357"/>
      <c r="CB47" s="357"/>
      <c r="CC47" s="357"/>
    </row>
    <row r="48" spans="2:81" x14ac:dyDescent="0.3">
      <c r="B48" s="358" t="s">
        <v>1196</v>
      </c>
      <c r="C48" s="500"/>
      <c r="D48" s="500"/>
      <c r="E48" s="500"/>
      <c r="F48" s="500"/>
      <c r="G48" s="500"/>
      <c r="H48" s="500"/>
      <c r="I48" s="500"/>
      <c r="J48" s="500"/>
      <c r="K48" s="500"/>
      <c r="L48" s="500"/>
      <c r="M48" s="357">
        <f ca="1">M72/4</f>
        <v>60.739513771056679</v>
      </c>
      <c r="N48" s="357">
        <f t="shared" ref="N48:V48" ca="1" si="9">N72/4</f>
        <v>49.604162378337264</v>
      </c>
      <c r="O48" s="357">
        <f t="shared" ca="1" si="9"/>
        <v>32.758949723201866</v>
      </c>
      <c r="P48" s="357">
        <f t="shared" ca="1" si="9"/>
        <v>26.35235241360396</v>
      </c>
      <c r="Q48" s="357">
        <f t="shared" ca="1" si="9"/>
        <v>50.0283026564518</v>
      </c>
      <c r="R48" s="357">
        <f t="shared" ca="1" si="9"/>
        <v>44.059669794521021</v>
      </c>
      <c r="S48" s="357">
        <f t="shared" ca="1" si="9"/>
        <v>34.697559224236059</v>
      </c>
      <c r="T48" s="357">
        <f t="shared" ca="1" si="9"/>
        <v>18.021482352926515</v>
      </c>
      <c r="U48" s="357">
        <f t="shared" ca="1" si="9"/>
        <v>22.120919345379434</v>
      </c>
      <c r="V48" s="357">
        <f t="shared" ca="1" si="9"/>
        <v>41.850255944771959</v>
      </c>
      <c r="W48" s="357">
        <f t="shared" ref="W48:AB48" ca="1" si="10">W72/4</f>
        <v>55.740080913675179</v>
      </c>
      <c r="X48" s="357">
        <f t="shared" ca="1" si="10"/>
        <v>44.186975828740195</v>
      </c>
      <c r="Y48" s="357">
        <f t="shared" ca="1" si="10"/>
        <v>34.876189778324402</v>
      </c>
      <c r="Z48" s="357">
        <f t="shared" ca="1" si="10"/>
        <v>17.972523758064376</v>
      </c>
      <c r="AA48" s="357">
        <f t="shared" ca="1" si="10"/>
        <v>22.792120667932672</v>
      </c>
      <c r="AB48" s="357">
        <f t="shared" ca="1" si="10"/>
        <v>41.850255944771959</v>
      </c>
      <c r="AC48" s="500"/>
      <c r="AD48" s="500"/>
      <c r="AE48" s="500"/>
      <c r="AF48" s="500"/>
      <c r="AG48" s="500"/>
      <c r="AI48" s="356"/>
      <c r="AL48" s="357"/>
      <c r="AM48" s="357"/>
      <c r="AN48" s="357"/>
      <c r="AO48" s="357"/>
      <c r="AP48" s="357"/>
      <c r="AQ48" s="357"/>
      <c r="AR48" s="357"/>
      <c r="BD48" s="350"/>
      <c r="BK48" s="357"/>
      <c r="BL48" s="357"/>
      <c r="BM48" s="357"/>
      <c r="BN48" s="357"/>
      <c r="BO48" s="357"/>
      <c r="BP48" s="357"/>
      <c r="BQ48" s="357"/>
      <c r="BR48" s="357"/>
      <c r="BS48" s="357"/>
      <c r="BT48" s="357"/>
      <c r="BX48" s="357"/>
      <c r="BZ48" s="357"/>
      <c r="CA48" s="357"/>
      <c r="CB48" s="357"/>
      <c r="CC48" s="357"/>
    </row>
    <row r="49" spans="2:48" hidden="1" x14ac:dyDescent="0.3">
      <c r="B49" s="358" t="s">
        <v>1063</v>
      </c>
      <c r="C49" s="357">
        <v>225.8831960379388</v>
      </c>
      <c r="D49" s="357">
        <v>92.000625319612908</v>
      </c>
      <c r="E49" s="357">
        <v>109.2715625573851</v>
      </c>
      <c r="F49" s="357">
        <v>109.74665673023698</v>
      </c>
      <c r="G49" s="357">
        <v>134.5247173832434</v>
      </c>
      <c r="H49" s="357">
        <v>146.93726718801878</v>
      </c>
      <c r="I49" s="357">
        <v>170.94671713201515</v>
      </c>
      <c r="J49" s="357">
        <v>198.6553751289735</v>
      </c>
      <c r="N49" s="355"/>
      <c r="O49" s="354"/>
      <c r="P49" s="354"/>
      <c r="Q49" s="354"/>
      <c r="R49" s="354"/>
      <c r="S49" s="354"/>
      <c r="T49" s="354"/>
      <c r="U49" s="354"/>
      <c r="V49" s="354"/>
      <c r="W49" s="354"/>
      <c r="X49" s="354"/>
      <c r="Y49" s="354"/>
      <c r="Z49" s="354"/>
      <c r="AA49" s="354"/>
      <c r="AB49" s="354"/>
      <c r="AC49" s="354"/>
      <c r="AD49" s="354"/>
      <c r="AE49" s="354"/>
      <c r="AF49" s="354"/>
      <c r="AI49" s="355"/>
      <c r="AJ49" s="354"/>
      <c r="AK49" s="354"/>
      <c r="AL49" s="354"/>
      <c r="AM49" s="354"/>
      <c r="AN49" s="354"/>
      <c r="AO49" s="354"/>
      <c r="AP49" s="354"/>
      <c r="AQ49" s="354"/>
      <c r="AR49" s="354"/>
      <c r="AS49" s="354"/>
      <c r="AT49" s="354"/>
      <c r="AV49" s="350"/>
    </row>
    <row r="50" spans="2:48" hidden="1" x14ac:dyDescent="0.3">
      <c r="B50" s="358" t="s">
        <v>1062</v>
      </c>
      <c r="C50" s="357">
        <v>235.34686736744837</v>
      </c>
      <c r="D50" s="357">
        <v>20.138098699878793</v>
      </c>
      <c r="E50" s="357">
        <v>29.082532108575009</v>
      </c>
      <c r="F50" s="357">
        <v>47.360170627588715</v>
      </c>
      <c r="G50" s="357">
        <v>92.462424726943624</v>
      </c>
      <c r="H50" s="357">
        <v>123.41082373994841</v>
      </c>
      <c r="I50" s="357">
        <v>147.75164600715308</v>
      </c>
      <c r="J50" s="357">
        <v>190.45060506651421</v>
      </c>
      <c r="N50" s="355"/>
      <c r="O50" s="354"/>
      <c r="P50" s="354"/>
      <c r="Q50" s="354"/>
      <c r="R50" s="354"/>
      <c r="S50" s="354"/>
      <c r="T50" s="354"/>
      <c r="U50" s="354"/>
      <c r="V50" s="354"/>
      <c r="W50" s="354"/>
      <c r="X50" s="354"/>
      <c r="Y50" s="354"/>
      <c r="Z50" s="354"/>
      <c r="AA50" s="354"/>
      <c r="AB50" s="354"/>
      <c r="AC50" s="354"/>
      <c r="AD50" s="354"/>
      <c r="AE50" s="354"/>
      <c r="AF50" s="354"/>
      <c r="AI50" s="355"/>
      <c r="AJ50" s="354"/>
      <c r="AK50" s="354"/>
      <c r="AL50" s="354"/>
      <c r="AM50" s="354"/>
      <c r="AN50" s="354"/>
      <c r="AO50" s="354"/>
      <c r="AP50" s="354"/>
      <c r="AQ50" s="354"/>
      <c r="AR50" s="354"/>
      <c r="AS50" s="354"/>
      <c r="AT50" s="354"/>
      <c r="AV50" s="350"/>
    </row>
    <row r="51" spans="2:48" hidden="1" x14ac:dyDescent="0.3">
      <c r="B51" s="358" t="s">
        <v>1061</v>
      </c>
      <c r="C51" s="357">
        <v>169.63000923799299</v>
      </c>
      <c r="D51" s="357">
        <v>57.028326808897397</v>
      </c>
      <c r="E51" s="357">
        <v>66.108608232937002</v>
      </c>
      <c r="F51" s="357">
        <v>73.1615339584623</v>
      </c>
      <c r="G51" s="357">
        <v>87.042263228114194</v>
      </c>
      <c r="H51" s="357">
        <v>82.788852695901895</v>
      </c>
      <c r="I51" s="357">
        <v>106.35742590613199</v>
      </c>
      <c r="J51" s="357">
        <v>130.467437832401</v>
      </c>
      <c r="N51" s="355"/>
      <c r="O51" s="354"/>
      <c r="P51" s="354"/>
      <c r="Q51" s="354"/>
      <c r="R51" s="354"/>
      <c r="S51" s="354"/>
      <c r="T51" s="354"/>
      <c r="U51" s="354"/>
      <c r="V51" s="354"/>
      <c r="W51" s="354"/>
      <c r="X51" s="354"/>
      <c r="Y51" s="354"/>
      <c r="Z51" s="354"/>
      <c r="AA51" s="354"/>
      <c r="AB51" s="354"/>
      <c r="AC51" s="354"/>
      <c r="AD51" s="354"/>
      <c r="AE51" s="354"/>
      <c r="AF51" s="354"/>
      <c r="AI51" s="355"/>
      <c r="AJ51" s="354"/>
      <c r="AK51" s="354"/>
      <c r="AL51" s="354"/>
      <c r="AM51" s="354"/>
      <c r="AN51" s="354"/>
      <c r="AO51" s="354"/>
      <c r="AP51" s="354"/>
      <c r="AQ51" s="354"/>
      <c r="AR51" s="354"/>
      <c r="AS51" s="354"/>
      <c r="AT51" s="354"/>
      <c r="AV51" s="350"/>
    </row>
    <row r="52" spans="2:48" hidden="1" x14ac:dyDescent="0.3">
      <c r="B52" s="358" t="s">
        <v>1060</v>
      </c>
      <c r="C52" s="357">
        <v>129.54562060471599</v>
      </c>
      <c r="D52" s="357">
        <v>64.575287204428093</v>
      </c>
      <c r="E52" s="357">
        <v>72.039757217874197</v>
      </c>
      <c r="F52" s="357">
        <v>74.833619113601898</v>
      </c>
      <c r="G52" s="357">
        <v>76.416043285393002</v>
      </c>
      <c r="H52" s="357">
        <v>56.436216180368902</v>
      </c>
      <c r="I52" s="357">
        <v>77.511185806366001</v>
      </c>
      <c r="J52" s="357">
        <v>94.288071043957402</v>
      </c>
      <c r="N52" s="355"/>
      <c r="O52" s="354"/>
      <c r="P52" s="354"/>
      <c r="Q52" s="354"/>
      <c r="R52" s="354"/>
      <c r="S52" s="354"/>
      <c r="T52" s="354"/>
      <c r="U52" s="354"/>
      <c r="V52" s="354"/>
      <c r="W52" s="354"/>
      <c r="X52" s="354"/>
      <c r="Y52" s="354"/>
      <c r="Z52" s="354"/>
      <c r="AA52" s="354"/>
      <c r="AB52" s="354"/>
      <c r="AC52" s="354"/>
      <c r="AD52" s="354"/>
      <c r="AE52" s="354"/>
      <c r="AF52" s="354"/>
      <c r="AI52" s="355"/>
      <c r="AJ52" s="354"/>
      <c r="AK52" s="354"/>
      <c r="AL52" s="354"/>
      <c r="AM52" s="354"/>
      <c r="AN52" s="354"/>
      <c r="AO52" s="354"/>
      <c r="AP52" s="354"/>
      <c r="AQ52" s="354"/>
      <c r="AR52" s="354"/>
      <c r="AS52" s="354"/>
      <c r="AT52" s="354"/>
      <c r="AV52" s="350"/>
    </row>
    <row r="53" spans="2:48" hidden="1" x14ac:dyDescent="0.3">
      <c r="B53" s="358" t="s">
        <v>1059</v>
      </c>
      <c r="C53" s="357">
        <v>89.461231971439403</v>
      </c>
      <c r="D53" s="357">
        <v>72.122247599958797</v>
      </c>
      <c r="E53" s="357">
        <v>77.970906202811506</v>
      </c>
      <c r="F53" s="357">
        <v>76.505704268741596</v>
      </c>
      <c r="G53" s="357">
        <v>65.789823342671895</v>
      </c>
      <c r="H53" s="357">
        <v>30.0835796648349</v>
      </c>
      <c r="I53" s="357">
        <v>48.664945706598999</v>
      </c>
      <c r="J53" s="357">
        <v>58.108704255513402</v>
      </c>
      <c r="N53" s="355"/>
      <c r="O53" s="354"/>
      <c r="P53" s="354"/>
      <c r="Q53" s="354"/>
      <c r="R53" s="354"/>
      <c r="S53" s="354"/>
      <c r="T53" s="354"/>
      <c r="U53" s="354"/>
      <c r="V53" s="354"/>
      <c r="W53" s="354"/>
      <c r="X53" s="354"/>
      <c r="Y53" s="354"/>
      <c r="Z53" s="354"/>
      <c r="AA53" s="354"/>
      <c r="AB53" s="354"/>
      <c r="AC53" s="354"/>
      <c r="AD53" s="354"/>
      <c r="AE53" s="354"/>
      <c r="AF53" s="354"/>
      <c r="AI53" s="355"/>
      <c r="AJ53" s="354"/>
      <c r="AK53" s="354"/>
      <c r="AL53" s="354"/>
      <c r="AM53" s="354"/>
      <c r="AN53" s="354"/>
      <c r="AO53" s="354"/>
      <c r="AP53" s="354"/>
      <c r="AQ53" s="354"/>
      <c r="AR53" s="354"/>
      <c r="AS53" s="354"/>
      <c r="AT53" s="354"/>
      <c r="AV53" s="350"/>
    </row>
    <row r="54" spans="2:48" hidden="1" x14ac:dyDescent="0.3">
      <c r="B54" s="358" t="s">
        <v>1058</v>
      </c>
      <c r="C54" s="357">
        <v>49.376843338162402</v>
      </c>
      <c r="D54" s="357">
        <v>79.669207995489501</v>
      </c>
      <c r="E54" s="357">
        <v>83.9020551877488</v>
      </c>
      <c r="F54" s="357">
        <v>78.177789423881194</v>
      </c>
      <c r="G54" s="357">
        <v>55.163603399950702</v>
      </c>
      <c r="H54" s="357">
        <v>3.7309431493018801</v>
      </c>
      <c r="I54" s="357">
        <v>19.818705606832999</v>
      </c>
      <c r="J54" s="357">
        <v>21.929337467069399</v>
      </c>
      <c r="N54" s="355"/>
      <c r="O54" s="354"/>
      <c r="P54" s="354"/>
      <c r="Q54" s="354"/>
      <c r="R54" s="354"/>
      <c r="S54" s="354"/>
      <c r="T54" s="354"/>
      <c r="U54" s="354"/>
      <c r="V54" s="354"/>
      <c r="W54" s="354"/>
      <c r="X54" s="354"/>
      <c r="Y54" s="354"/>
      <c r="Z54" s="354"/>
      <c r="AA54" s="354"/>
      <c r="AB54" s="354"/>
      <c r="AC54" s="354"/>
      <c r="AD54" s="354"/>
      <c r="AE54" s="354"/>
      <c r="AF54" s="354"/>
      <c r="AI54" s="355"/>
      <c r="AJ54" s="354"/>
      <c r="AK54" s="354"/>
      <c r="AL54" s="354"/>
      <c r="AM54" s="354"/>
      <c r="AN54" s="354"/>
      <c r="AO54" s="354"/>
      <c r="AP54" s="354"/>
      <c r="AQ54" s="354"/>
      <c r="AR54" s="354"/>
      <c r="AS54" s="354"/>
      <c r="AT54" s="354"/>
      <c r="AV54" s="350"/>
    </row>
    <row r="55" spans="2:48" x14ac:dyDescent="0.3">
      <c r="B55" s="358" t="s">
        <v>1198</v>
      </c>
      <c r="C55" s="500"/>
      <c r="D55" s="500"/>
      <c r="E55" s="500"/>
      <c r="F55" s="500"/>
      <c r="G55" s="500"/>
      <c r="H55" s="500"/>
      <c r="I55" s="500"/>
      <c r="J55" s="500"/>
      <c r="K55" s="500"/>
      <c r="L55" s="500"/>
      <c r="M55" s="357">
        <f ca="1">M72/5</f>
        <v>48.591611016845341</v>
      </c>
      <c r="N55" s="357">
        <f t="shared" ref="N55:V55" ca="1" si="11">N72/5</f>
        <v>39.683329902669811</v>
      </c>
      <c r="O55" s="357">
        <f t="shared" ca="1" si="11"/>
        <v>26.207159778561493</v>
      </c>
      <c r="P55" s="357">
        <f t="shared" ca="1" si="11"/>
        <v>21.081881930883167</v>
      </c>
      <c r="Q55" s="357">
        <f t="shared" ca="1" si="11"/>
        <v>40.02264212516144</v>
      </c>
      <c r="R55" s="357">
        <f t="shared" ca="1" si="11"/>
        <v>35.247735835616815</v>
      </c>
      <c r="S55" s="357">
        <f t="shared" ca="1" si="11"/>
        <v>27.758047379388849</v>
      </c>
      <c r="T55" s="357">
        <f t="shared" ca="1" si="11"/>
        <v>14.417185882341212</v>
      </c>
      <c r="U55" s="357">
        <f t="shared" ca="1" si="11"/>
        <v>17.696735476303548</v>
      </c>
      <c r="V55" s="357">
        <f t="shared" ca="1" si="11"/>
        <v>33.480204755817567</v>
      </c>
      <c r="W55" s="357">
        <f t="shared" ref="W55:AB55" ca="1" si="12">W72/5</f>
        <v>44.592064730940145</v>
      </c>
      <c r="X55" s="357">
        <f t="shared" ca="1" si="12"/>
        <v>35.349580662992153</v>
      </c>
      <c r="Y55" s="357">
        <f t="shared" ca="1" si="12"/>
        <v>27.900951822659522</v>
      </c>
      <c r="Z55" s="357">
        <f t="shared" ca="1" si="12"/>
        <v>14.378019006451501</v>
      </c>
      <c r="AA55" s="357">
        <f t="shared" ca="1" si="12"/>
        <v>18.233696534346137</v>
      </c>
      <c r="AB55" s="357">
        <f t="shared" ca="1" si="12"/>
        <v>33.480204755817567</v>
      </c>
      <c r="AC55" s="500"/>
      <c r="AD55" s="500"/>
      <c r="AE55" s="500"/>
      <c r="AF55" s="500"/>
      <c r="AG55" s="500"/>
      <c r="AI55" s="355"/>
      <c r="AJ55" s="354"/>
      <c r="AK55" s="354"/>
      <c r="AL55" s="354"/>
      <c r="AM55" s="354"/>
      <c r="AN55" s="354"/>
      <c r="AO55" s="354"/>
      <c r="AP55" s="354"/>
      <c r="AQ55" s="354"/>
      <c r="AR55" s="354"/>
      <c r="AS55" s="354"/>
      <c r="AT55" s="354"/>
      <c r="AV55" s="350"/>
    </row>
    <row r="56" spans="2:48" x14ac:dyDescent="0.3">
      <c r="B56" s="358" t="str">
        <f>AC44</f>
        <v>Bus - ICE</v>
      </c>
      <c r="C56" s="500"/>
      <c r="D56" s="500"/>
      <c r="E56" s="500"/>
      <c r="F56" s="500"/>
      <c r="G56" s="500"/>
      <c r="H56" s="500"/>
      <c r="I56" s="500">
        <f t="shared" ref="I56:L56" ca="1" si="13">$AC$56</f>
        <v>91.433521668933466</v>
      </c>
      <c r="J56" s="500">
        <f t="shared" ca="1" si="13"/>
        <v>91.433521668933466</v>
      </c>
      <c r="K56" s="500">
        <f t="shared" ca="1" si="13"/>
        <v>91.433521668933466</v>
      </c>
      <c r="L56" s="500">
        <f t="shared" ca="1" si="13"/>
        <v>91.433521668933466</v>
      </c>
      <c r="M56" s="500">
        <f t="shared" ref="M56:AB56" ca="1" si="14">$AC$56</f>
        <v>91.433521668933466</v>
      </c>
      <c r="N56" s="500">
        <f t="shared" ca="1" si="14"/>
        <v>91.433521668933466</v>
      </c>
      <c r="O56" s="500">
        <f t="shared" ca="1" si="14"/>
        <v>91.433521668933466</v>
      </c>
      <c r="P56" s="500">
        <f t="shared" ca="1" si="14"/>
        <v>91.433521668933466</v>
      </c>
      <c r="Q56" s="500">
        <f t="shared" ca="1" si="14"/>
        <v>91.433521668933466</v>
      </c>
      <c r="R56" s="500">
        <f t="shared" ca="1" si="14"/>
        <v>91.433521668933466</v>
      </c>
      <c r="S56" s="500">
        <f t="shared" ca="1" si="14"/>
        <v>91.433521668933466</v>
      </c>
      <c r="T56" s="500">
        <f t="shared" ca="1" si="14"/>
        <v>91.433521668933466</v>
      </c>
      <c r="U56" s="500">
        <f t="shared" ca="1" si="14"/>
        <v>91.433521668933466</v>
      </c>
      <c r="V56" s="500">
        <f t="shared" ca="1" si="14"/>
        <v>91.433521668933466</v>
      </c>
      <c r="W56" s="500">
        <f t="shared" ca="1" si="14"/>
        <v>91.433521668933466</v>
      </c>
      <c r="X56" s="500">
        <f t="shared" ca="1" si="14"/>
        <v>91.433521668933466</v>
      </c>
      <c r="Y56" s="500">
        <f t="shared" ca="1" si="14"/>
        <v>91.433521668933466</v>
      </c>
      <c r="Z56" s="500">
        <f t="shared" ca="1" si="14"/>
        <v>91.433521668933466</v>
      </c>
      <c r="AA56" s="500">
        <f t="shared" ca="1" si="14"/>
        <v>91.433521668933466</v>
      </c>
      <c r="AB56" s="500">
        <f t="shared" ca="1" si="14"/>
        <v>91.433521668933466</v>
      </c>
      <c r="AC56" s="357">
        <f ca="1">AC73</f>
        <v>91.433521668933466</v>
      </c>
      <c r="AD56" s="357">
        <f ca="1">AD73</f>
        <v>70.307322527926416</v>
      </c>
      <c r="AE56" s="357">
        <f ca="1">AE73</f>
        <v>29.281407885753818</v>
      </c>
      <c r="AF56" s="357">
        <f ca="1">AF73</f>
        <v>32.612263486075307</v>
      </c>
      <c r="AG56" s="357">
        <f ca="1">AG73</f>
        <v>25.105063716070894</v>
      </c>
      <c r="AI56" s="355"/>
      <c r="AJ56" s="354"/>
      <c r="AK56" s="354"/>
      <c r="AL56" s="354"/>
      <c r="AM56" s="354"/>
      <c r="AN56" s="354"/>
      <c r="AO56" s="354"/>
      <c r="AP56" s="354"/>
      <c r="AQ56" s="354"/>
      <c r="AR56" s="354"/>
      <c r="AS56" s="354"/>
      <c r="AT56" s="354"/>
      <c r="AV56" s="350"/>
    </row>
    <row r="57" spans="2:48" x14ac:dyDescent="0.3">
      <c r="B57" s="349" t="str">
        <f>AG44</f>
        <v>Metro/urban train</v>
      </c>
      <c r="C57" s="500"/>
      <c r="D57" s="500"/>
      <c r="E57" s="500"/>
      <c r="F57" s="500"/>
      <c r="G57" s="500"/>
      <c r="H57" s="500"/>
      <c r="I57" s="500">
        <f t="shared" ref="I57:AB57" ca="1" si="15">$AG$56</f>
        <v>25.105063716070894</v>
      </c>
      <c r="J57" s="500">
        <f t="shared" ca="1" si="15"/>
        <v>25.105063716070894</v>
      </c>
      <c r="K57" s="500">
        <f t="shared" ca="1" si="15"/>
        <v>25.105063716070894</v>
      </c>
      <c r="L57" s="500">
        <f t="shared" ca="1" si="15"/>
        <v>25.105063716070894</v>
      </c>
      <c r="M57" s="500">
        <f t="shared" ca="1" si="15"/>
        <v>25.105063716070894</v>
      </c>
      <c r="N57" s="500">
        <f t="shared" ca="1" si="15"/>
        <v>25.105063716070894</v>
      </c>
      <c r="O57" s="500">
        <f t="shared" ca="1" si="15"/>
        <v>25.105063716070894</v>
      </c>
      <c r="P57" s="500">
        <f t="shared" ca="1" si="15"/>
        <v>25.105063716070894</v>
      </c>
      <c r="Q57" s="500">
        <f t="shared" ca="1" si="15"/>
        <v>25.105063716070894</v>
      </c>
      <c r="R57" s="500">
        <f t="shared" ca="1" si="15"/>
        <v>25.105063716070894</v>
      </c>
      <c r="S57" s="500">
        <f t="shared" ca="1" si="15"/>
        <v>25.105063716070894</v>
      </c>
      <c r="T57" s="500">
        <f t="shared" ca="1" si="15"/>
        <v>25.105063716070894</v>
      </c>
      <c r="U57" s="500">
        <f t="shared" ca="1" si="15"/>
        <v>25.105063716070894</v>
      </c>
      <c r="V57" s="500">
        <f t="shared" ca="1" si="15"/>
        <v>25.105063716070894</v>
      </c>
      <c r="W57" s="500">
        <f t="shared" ca="1" si="15"/>
        <v>25.105063716070894</v>
      </c>
      <c r="X57" s="500">
        <f t="shared" ca="1" si="15"/>
        <v>25.105063716070894</v>
      </c>
      <c r="Y57" s="500">
        <f t="shared" ca="1" si="15"/>
        <v>25.105063716070894</v>
      </c>
      <c r="Z57" s="500">
        <f t="shared" ca="1" si="15"/>
        <v>25.105063716070894</v>
      </c>
      <c r="AA57" s="500">
        <f t="shared" ca="1" si="15"/>
        <v>25.105063716070894</v>
      </c>
      <c r="AB57" s="500">
        <f t="shared" ca="1" si="15"/>
        <v>25.105063716070894</v>
      </c>
      <c r="AC57" s="354"/>
      <c r="AD57" s="354"/>
      <c r="AE57" s="354"/>
      <c r="AF57" s="354"/>
      <c r="AI57" s="355"/>
      <c r="AJ57" s="354"/>
      <c r="AK57" s="354"/>
      <c r="AL57" s="354"/>
      <c r="AM57" s="354"/>
      <c r="AN57" s="354"/>
      <c r="AO57" s="354"/>
      <c r="AP57" s="354"/>
      <c r="AQ57" s="354"/>
      <c r="AR57" s="354"/>
      <c r="AS57" s="354"/>
      <c r="AT57" s="354"/>
      <c r="AV57" s="350"/>
    </row>
    <row r="58" spans="2:48" x14ac:dyDescent="0.3">
      <c r="N58" s="355"/>
      <c r="O58" s="354"/>
      <c r="P58" s="354"/>
      <c r="Q58" s="354"/>
      <c r="R58" s="354"/>
      <c r="S58" s="354"/>
      <c r="T58" s="354"/>
      <c r="U58" s="354"/>
      <c r="V58" s="354"/>
      <c r="W58" s="354"/>
      <c r="X58" s="354"/>
      <c r="Y58" s="354"/>
      <c r="Z58" s="354"/>
      <c r="AA58" s="354"/>
      <c r="AB58" s="354"/>
      <c r="AC58" s="354"/>
      <c r="AD58" s="354"/>
      <c r="AE58" s="354"/>
      <c r="AF58" s="354"/>
      <c r="AI58" s="355"/>
      <c r="AJ58" s="354"/>
      <c r="AK58" s="354"/>
      <c r="AL58" s="354"/>
      <c r="AM58" s="354"/>
      <c r="AN58" s="354"/>
      <c r="AO58" s="354"/>
      <c r="AP58" s="354"/>
      <c r="AQ58" s="354"/>
      <c r="AR58" s="354"/>
      <c r="AS58" s="354"/>
      <c r="AT58" s="354"/>
      <c r="AV58" s="350"/>
    </row>
    <row r="59" spans="2:48" x14ac:dyDescent="0.3">
      <c r="N59" s="355"/>
      <c r="O59" s="354"/>
      <c r="P59" s="354"/>
      <c r="Q59" s="354"/>
      <c r="R59" s="354"/>
      <c r="S59" s="354"/>
      <c r="T59" s="354"/>
      <c r="U59" s="354"/>
      <c r="V59" s="354"/>
      <c r="W59" s="354"/>
      <c r="X59" s="354"/>
      <c r="Y59" s="354"/>
      <c r="Z59" s="354"/>
      <c r="AB59" s="349"/>
      <c r="AC59" s="355"/>
      <c r="AD59" s="354"/>
      <c r="AE59" s="354"/>
      <c r="AF59" s="354"/>
      <c r="AG59" s="354"/>
      <c r="AH59" s="354"/>
      <c r="AI59" s="354"/>
      <c r="AJ59" s="354"/>
      <c r="AK59" s="354"/>
      <c r="AL59" s="354"/>
      <c r="AM59" s="354"/>
      <c r="AN59" s="354"/>
      <c r="AO59" s="349"/>
      <c r="AP59" s="350"/>
    </row>
    <row r="60" spans="2:48" x14ac:dyDescent="0.3">
      <c r="O60" s="350"/>
      <c r="P60" s="350"/>
      <c r="AB60" s="349"/>
      <c r="AC60" s="350"/>
      <c r="AO60" s="349"/>
      <c r="AP60" s="350"/>
    </row>
    <row r="61" spans="2:48" x14ac:dyDescent="0.3">
      <c r="B61" s="353"/>
      <c r="C61" s="352"/>
      <c r="D61" s="352"/>
      <c r="E61" s="352"/>
      <c r="F61" s="352"/>
      <c r="G61" s="352"/>
      <c r="H61" s="352"/>
      <c r="I61" s="352"/>
      <c r="J61" s="352"/>
      <c r="O61" s="350"/>
      <c r="P61" s="350"/>
      <c r="AB61" s="349"/>
      <c r="AC61" s="350"/>
      <c r="AO61" s="349"/>
      <c r="AP61" s="350"/>
    </row>
    <row r="62" spans="2:48" x14ac:dyDescent="0.3">
      <c r="B62" s="352"/>
      <c r="C62" s="351"/>
      <c r="D62" s="351"/>
      <c r="E62" s="351"/>
      <c r="F62" s="351"/>
      <c r="G62" s="351"/>
      <c r="H62" s="351"/>
      <c r="I62" s="351"/>
      <c r="J62" s="351"/>
      <c r="O62" s="350"/>
      <c r="P62" s="350"/>
      <c r="AB62" s="349"/>
      <c r="AC62" s="350"/>
      <c r="AO62" s="349"/>
      <c r="AP62" s="350"/>
    </row>
    <row r="63" spans="2:48" x14ac:dyDescent="0.3">
      <c r="B63" s="352"/>
      <c r="C63" s="351"/>
      <c r="D63" s="351"/>
      <c r="E63" s="351"/>
      <c r="F63" s="351"/>
      <c r="G63" s="351"/>
      <c r="H63" s="351"/>
      <c r="I63" s="351"/>
      <c r="J63" s="351"/>
      <c r="O63" s="350"/>
      <c r="P63" s="350"/>
      <c r="AB63" s="349"/>
      <c r="AC63" s="350"/>
      <c r="AO63" s="349"/>
      <c r="AP63" s="350"/>
    </row>
    <row r="64" spans="2:48" x14ac:dyDescent="0.3">
      <c r="B64" s="352"/>
      <c r="C64" s="351"/>
      <c r="D64" s="351"/>
      <c r="E64" s="351"/>
      <c r="F64" s="351"/>
      <c r="G64" s="351"/>
      <c r="H64" s="351"/>
      <c r="I64" s="351"/>
      <c r="J64" s="351"/>
      <c r="O64" s="350"/>
      <c r="P64" s="350"/>
      <c r="AB64" s="349"/>
      <c r="AC64" s="350"/>
      <c r="AO64" s="349"/>
      <c r="AP64" s="350"/>
    </row>
    <row r="65" spans="2:81" x14ac:dyDescent="0.3">
      <c r="B65" s="352"/>
      <c r="C65" s="351"/>
      <c r="D65" s="351"/>
      <c r="E65" s="351"/>
      <c r="F65" s="351"/>
      <c r="G65" s="351"/>
      <c r="H65" s="351"/>
      <c r="I65" s="351"/>
      <c r="J65" s="351"/>
      <c r="O65" s="350"/>
      <c r="P65" s="350"/>
      <c r="AB65" s="349"/>
      <c r="AC65" s="350"/>
      <c r="AO65" s="349"/>
      <c r="AP65" s="350"/>
    </row>
    <row r="66" spans="2:81" x14ac:dyDescent="0.3">
      <c r="O66" s="350"/>
      <c r="P66" s="350"/>
      <c r="AB66" s="349"/>
      <c r="AC66" s="350"/>
      <c r="AO66" s="349"/>
      <c r="AP66" s="350"/>
    </row>
    <row r="67" spans="2:81" x14ac:dyDescent="0.3">
      <c r="O67" s="350"/>
      <c r="P67" s="350"/>
      <c r="AB67" s="349"/>
      <c r="AC67" s="350"/>
      <c r="AO67" s="349"/>
      <c r="AP67" s="350"/>
    </row>
    <row r="68" spans="2:81" x14ac:dyDescent="0.3">
      <c r="N68" s="349"/>
      <c r="AB68" s="349"/>
      <c r="AC68" s="350"/>
      <c r="AO68" s="349"/>
      <c r="AP68" s="350"/>
    </row>
    <row r="69" spans="2:81" s="401" customFormat="1" x14ac:dyDescent="0.3">
      <c r="B69" s="403"/>
      <c r="C69" s="404"/>
      <c r="D69" s="404"/>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C69" s="402"/>
      <c r="AP69" s="402"/>
    </row>
    <row r="70" spans="2:81" x14ac:dyDescent="0.3">
      <c r="B70" s="405"/>
      <c r="C70" s="407"/>
      <c r="D70" s="407"/>
      <c r="E70" s="407"/>
      <c r="F70" s="407"/>
      <c r="G70" s="407"/>
      <c r="H70" s="407"/>
      <c r="I70" s="407"/>
      <c r="J70" s="407"/>
      <c r="K70" s="407"/>
      <c r="L70" s="407"/>
      <c r="M70" s="409"/>
      <c r="N70" s="409"/>
      <c r="O70" s="409"/>
      <c r="P70" s="409"/>
      <c r="Q70" s="409"/>
      <c r="R70" s="409"/>
      <c r="S70" s="409"/>
      <c r="T70" s="409"/>
      <c r="U70" s="409"/>
      <c r="V70" s="409"/>
      <c r="W70" s="409"/>
      <c r="X70" s="409"/>
      <c r="Y70" s="409"/>
      <c r="Z70" s="409"/>
      <c r="AA70" s="407"/>
      <c r="AB70" s="349"/>
      <c r="AC70" s="350"/>
      <c r="AO70" s="349"/>
      <c r="AP70" s="350"/>
    </row>
    <row r="71" spans="2:81" s="403" customFormat="1" ht="46.5" customHeight="1" x14ac:dyDescent="0.3">
      <c r="C71" s="403" t="str">
        <f>'0_Total'!D2</f>
        <v>Private e-scooter</v>
      </c>
      <c r="D71" s="403" t="str">
        <f>LEFT('0_Total'!W2,17)</f>
        <v xml:space="preserve">Shared e-scooter </v>
      </c>
      <c r="E71" s="403" t="str">
        <f>'0_Total'!AG2</f>
        <v>Private bike</v>
      </c>
      <c r="F71" s="403" t="str">
        <f>'0_Total'!AI2</f>
        <v>Shared bike</v>
      </c>
      <c r="G71" s="403" t="str">
        <f>'0_Total'!AH2</f>
        <v>Private e-bike</v>
      </c>
      <c r="H71" s="403" t="str">
        <f>'0_Total'!AJ2</f>
        <v>Shared e-bike</v>
      </c>
      <c r="I71" s="403" t="str">
        <f>'0_Total'!AK2</f>
        <v>Private moped - ICE</v>
      </c>
      <c r="J71" s="403" t="str">
        <f>'0_Total'!AL2</f>
        <v>Private moped - BEV</v>
      </c>
      <c r="K71" s="403" t="str">
        <f>'0_Total'!AM2</f>
        <v>Shared moped - ICE</v>
      </c>
      <c r="L71" s="403" t="str">
        <f>'0_Total'!AN2</f>
        <v>Shared moped - BEV</v>
      </c>
      <c r="M71" s="403" t="str">
        <f>'0_Total'!AO2</f>
        <v>Private car - ICE</v>
      </c>
      <c r="N71" s="403" t="str">
        <f>'0_Total'!AP2</f>
        <v>Private car - HEV</v>
      </c>
      <c r="O71" s="403" t="str">
        <f>'0_Total'!AQ2</f>
        <v>Private car - PHEV</v>
      </c>
      <c r="P71" s="403" t="str">
        <f>'0_Total'!AX2</f>
        <v>Private car - BEV</v>
      </c>
      <c r="Q71" s="403" t="str">
        <f>'0_Total'!BB2</f>
        <v>Private car - FCEV</v>
      </c>
      <c r="R71" s="403" t="str">
        <f>'0_Total'!CI2</f>
        <v>Taxi  HEV</v>
      </c>
      <c r="S71" s="403" t="str">
        <f>'0_Total'!CJ2</f>
        <v>Taxi  PHEV</v>
      </c>
      <c r="T71" s="403" t="str">
        <f>'0_Total'!CK2</f>
        <v>Taxi  BEV</v>
      </c>
      <c r="U71" s="403" t="str">
        <f>'0_Total'!CL2</f>
        <v>Taxi  BEV (two packs)</v>
      </c>
      <c r="V71" s="403" t="str">
        <f>'0_Total'!CM2</f>
        <v>Taxi - FCEV</v>
      </c>
      <c r="W71" s="403" t="str">
        <f>'0_Total'!BI2</f>
        <v>Ridesourcing - car - ICE</v>
      </c>
      <c r="X71" s="403" t="str">
        <f>'0_Total'!BJ2</f>
        <v>Ridesourcing - car - HEV</v>
      </c>
      <c r="Y71" s="403" t="str">
        <f>'0_Total'!BK2</f>
        <v>Ridesourcing - car - PHEV</v>
      </c>
      <c r="Z71" s="403" t="str">
        <f>'0_Total'!BT2</f>
        <v>Ridesourcing - car - BEV</v>
      </c>
      <c r="AA71" s="403" t="str">
        <f>'0_Total'!CC2</f>
        <v>Ridesourcing - car - BEV (two packs)</v>
      </c>
      <c r="AB71" s="403" t="str">
        <f>'0_Total'!CG2</f>
        <v>Ridesourcing - car - FCEV</v>
      </c>
      <c r="AC71" s="403" t="str">
        <f>'0_Total'!DQ2</f>
        <v>Bus - ICE</v>
      </c>
      <c r="AD71" s="403" t="str">
        <f>'0_Total'!DR2</f>
        <v>Bus - HEV</v>
      </c>
      <c r="AE71" s="403" t="str">
        <f>'0_Total'!DU2</f>
        <v>Bus - BEV</v>
      </c>
      <c r="AF71" s="403" t="str">
        <f>'0_Total'!DT2</f>
        <v>Bus - BEV (two packs)</v>
      </c>
      <c r="AG71" s="403" t="str">
        <f>'0_Total'!ED2</f>
        <v>Metro/urban train</v>
      </c>
    </row>
    <row r="72" spans="2:81" s="405" customFormat="1" x14ac:dyDescent="0.3">
      <c r="B72" s="405" t="s">
        <v>1192</v>
      </c>
      <c r="C72" s="406">
        <f ca="1">'0_Total'!D105</f>
        <v>37.029179275461942</v>
      </c>
      <c r="D72" s="406">
        <f ca="1">'0_Total'!W105</f>
        <v>117.04803934532677</v>
      </c>
      <c r="E72" s="406">
        <f ca="1">'0_Total'!AG105</f>
        <v>16.93824515660598</v>
      </c>
      <c r="F72" s="406">
        <f ca="1">'0_Total'!AI105</f>
        <v>57.505037246899882</v>
      </c>
      <c r="G72" s="406">
        <f ca="1">'0_Total'!AH105</f>
        <v>24.735671254209745</v>
      </c>
      <c r="H72" s="406">
        <f ca="1">'0_Total'!AJ105</f>
        <v>74.055035178949936</v>
      </c>
      <c r="I72" s="406">
        <f ca="1">'0_Total'!AK105</f>
        <v>73.116667945061394</v>
      </c>
      <c r="J72" s="406">
        <f ca="1">'0_Total'!AL105</f>
        <v>25.685414916413087</v>
      </c>
      <c r="K72" s="406">
        <f ca="1">'0_Total'!AM105</f>
        <v>85.084207329638076</v>
      </c>
      <c r="L72" s="406">
        <f ca="1">'0_Total'!AN105</f>
        <v>63.965388596873368</v>
      </c>
      <c r="M72" s="406">
        <f ca="1">'0_Total'!AO105</f>
        <v>242.95805508422671</v>
      </c>
      <c r="N72" s="406">
        <f ca="1">'0_Total'!AP105</f>
        <v>198.41664951334906</v>
      </c>
      <c r="O72" s="406">
        <f ca="1">'0_Total'!AQ105</f>
        <v>131.03579889280746</v>
      </c>
      <c r="P72" s="406">
        <f ca="1">'0_Total'!AX105</f>
        <v>105.40940965441584</v>
      </c>
      <c r="Q72" s="406">
        <f ca="1">'0_Total'!BB105</f>
        <v>200.1132106258072</v>
      </c>
      <c r="R72" s="406">
        <f ca="1">'0_Total'!CI105</f>
        <v>176.23867917808408</v>
      </c>
      <c r="S72" s="406">
        <f ca="1">'0_Total'!CJ105</f>
        <v>138.79023689694424</v>
      </c>
      <c r="T72" s="406">
        <f ca="1">'0_Total'!CK105</f>
        <v>72.085929411706061</v>
      </c>
      <c r="U72" s="406">
        <f ca="1">'0_Total'!CL105</f>
        <v>88.483677381517737</v>
      </c>
      <c r="V72" s="406">
        <f ca="1">'0_Total'!CM105</f>
        <v>167.40102377908784</v>
      </c>
      <c r="W72" s="406">
        <f ca="1">'0_Total'!BI105</f>
        <v>222.96032365470072</v>
      </c>
      <c r="X72" s="406">
        <f ca="1">'0_Total'!BJ105</f>
        <v>176.74790331496078</v>
      </c>
      <c r="Y72" s="406">
        <f ca="1">'0_Total'!BK105</f>
        <v>139.50475911329761</v>
      </c>
      <c r="Z72" s="406">
        <f ca="1">'0_Total'!BT105</f>
        <v>71.890095032257506</v>
      </c>
      <c r="AA72" s="406">
        <f ca="1">'0_Total'!CC105</f>
        <v>91.168482671730686</v>
      </c>
      <c r="AB72" s="406">
        <f ca="1">'0_Total'!CG105</f>
        <v>167.40102377908784</v>
      </c>
      <c r="AC72" s="406">
        <f ca="1">'0_Total'!DQ105</f>
        <v>1398.9328815346823</v>
      </c>
      <c r="AD72" s="406">
        <f ca="1">'0_Total'!DR105</f>
        <v>1075.7020346772742</v>
      </c>
      <c r="AE72" s="406">
        <f ca="1">'0_Total'!DU105</f>
        <v>448.0055406520334</v>
      </c>
      <c r="AF72" s="406">
        <f ca="1">'0_Total'!DT105</f>
        <v>498.96763133695219</v>
      </c>
      <c r="AG72" s="406">
        <f ca="1">'0_Total'!ED105</f>
        <v>4769.9621060534701</v>
      </c>
      <c r="AI72" s="406"/>
      <c r="AL72" s="406"/>
      <c r="AM72" s="406"/>
      <c r="AN72" s="406"/>
      <c r="AO72" s="406"/>
      <c r="AP72" s="406"/>
      <c r="AQ72" s="406"/>
      <c r="AR72" s="406"/>
      <c r="BK72" s="406"/>
      <c r="BL72" s="406"/>
      <c r="BM72" s="406"/>
      <c r="BN72" s="406"/>
      <c r="BO72" s="406"/>
      <c r="BP72" s="406"/>
      <c r="BQ72" s="406"/>
      <c r="BR72" s="406"/>
      <c r="BS72" s="406"/>
      <c r="BT72" s="406"/>
      <c r="BX72" s="406"/>
      <c r="BZ72" s="406"/>
      <c r="CA72" s="406"/>
      <c r="CB72" s="406"/>
      <c r="CC72" s="406"/>
    </row>
    <row r="73" spans="2:81" s="405" customFormat="1" x14ac:dyDescent="0.3">
      <c r="B73" s="405" t="s">
        <v>1197</v>
      </c>
      <c r="C73" s="406">
        <f ca="1">'0_Total'!D98</f>
        <v>37.029179275461942</v>
      </c>
      <c r="D73" s="406">
        <f ca="1">'0_Total'!W98</f>
        <v>117.04803934532677</v>
      </c>
      <c r="E73" s="406">
        <f ca="1">'0_Total'!AG98</f>
        <v>16.93824515660598</v>
      </c>
      <c r="F73" s="406">
        <f ca="1">'0_Total'!AI98</f>
        <v>57.505037246899882</v>
      </c>
      <c r="G73" s="406">
        <f ca="1">'0_Total'!AH98</f>
        <v>24.735671254209745</v>
      </c>
      <c r="H73" s="406">
        <f ca="1">'0_Total'!AJ98</f>
        <v>74.055035178949936</v>
      </c>
      <c r="I73" s="406">
        <f ca="1">'0_Total'!AK98</f>
        <v>73.116667945061394</v>
      </c>
      <c r="J73" s="406">
        <f ca="1">'0_Total'!AL98</f>
        <v>25.685414916413087</v>
      </c>
      <c r="K73" s="406">
        <f ca="1">'0_Total'!AM98</f>
        <v>85.084207329638076</v>
      </c>
      <c r="L73" s="406">
        <f ca="1">'0_Total'!AN98</f>
        <v>63.965388596873368</v>
      </c>
      <c r="M73" s="406">
        <f ca="1">'0_Total'!AO98</f>
        <v>161.97203672281782</v>
      </c>
      <c r="N73" s="406">
        <f ca="1">'0_Total'!AP98</f>
        <v>132.2777663422327</v>
      </c>
      <c r="O73" s="406">
        <f ca="1">'0_Total'!AQ98</f>
        <v>87.357199261871642</v>
      </c>
      <c r="P73" s="406">
        <f ca="1">'0_Total'!AX98</f>
        <v>70.272939769610559</v>
      </c>
      <c r="Q73" s="406">
        <f ca="1">'0_Total'!BB98</f>
        <v>133.40880708387149</v>
      </c>
      <c r="R73" s="406">
        <f ca="1">'0_Total'!CI98</f>
        <v>283.35037489039445</v>
      </c>
      <c r="S73" s="406">
        <f ca="1">'0_Total'!CJ98</f>
        <v>223.1420811780923</v>
      </c>
      <c r="T73" s="406">
        <f ca="1">'0_Total'!CK98</f>
        <v>115.89723219889754</v>
      </c>
      <c r="U73" s="406">
        <f ca="1">'0_Total'!CL98</f>
        <v>142.2609569854944</v>
      </c>
      <c r="V73" s="406">
        <f ca="1">'0_Total'!CM98</f>
        <v>269.14150211549503</v>
      </c>
      <c r="W73" s="406">
        <f ca="1">'0_Total'!BI98</f>
        <v>275.94612396656066</v>
      </c>
      <c r="X73" s="406">
        <f ca="1">'0_Total'!BJ98</f>
        <v>218.75147129098434</v>
      </c>
      <c r="Y73" s="406">
        <f ca="1">'0_Total'!BK98</f>
        <v>172.65761423912247</v>
      </c>
      <c r="Z73" s="406">
        <f ca="1">'0_Total'!BT98</f>
        <v>88.974543768881489</v>
      </c>
      <c r="AA73" s="406">
        <f ca="1">'0_Total'!CC98</f>
        <v>112.8343779233935</v>
      </c>
      <c r="AB73" s="406">
        <f ca="1">'0_Total'!CG98</f>
        <v>207.18333604239646</v>
      </c>
      <c r="AC73" s="406">
        <f ca="1">'0_Total'!DQ98</f>
        <v>91.433521668933466</v>
      </c>
      <c r="AD73" s="406">
        <f ca="1">'0_Total'!DR98</f>
        <v>70.307322527926416</v>
      </c>
      <c r="AE73" s="406">
        <f ca="1">'0_Total'!DU98</f>
        <v>29.281407885753818</v>
      </c>
      <c r="AF73" s="406">
        <f ca="1">'0_Total'!DT98</f>
        <v>32.612263486075307</v>
      </c>
      <c r="AG73" s="406">
        <f ca="1">'0_Total'!ED98</f>
        <v>25.105063716070894</v>
      </c>
      <c r="AI73" s="406"/>
      <c r="AL73" s="406"/>
      <c r="AM73" s="406"/>
      <c r="AN73" s="406"/>
      <c r="AO73" s="406"/>
      <c r="AP73" s="406"/>
      <c r="AQ73" s="406"/>
      <c r="AR73" s="406"/>
      <c r="BK73" s="406"/>
      <c r="BL73" s="406"/>
      <c r="BM73" s="406"/>
      <c r="BN73" s="406"/>
      <c r="BO73" s="406"/>
      <c r="BP73" s="406"/>
      <c r="BQ73" s="406"/>
      <c r="BR73" s="406"/>
      <c r="BS73" s="406"/>
      <c r="BT73" s="406"/>
      <c r="BX73" s="406"/>
      <c r="BZ73" s="406"/>
      <c r="CA73" s="406"/>
      <c r="CB73" s="406"/>
      <c r="CC73" s="406"/>
    </row>
    <row r="74" spans="2:81" x14ac:dyDescent="0.3">
      <c r="B74" s="405"/>
      <c r="C74" s="406"/>
      <c r="D74" s="406"/>
      <c r="E74" s="406"/>
      <c r="F74" s="406"/>
      <c r="G74" s="406"/>
      <c r="H74" s="406"/>
      <c r="I74" s="406"/>
      <c r="J74" s="406"/>
      <c r="K74" s="406"/>
      <c r="L74" s="406"/>
      <c r="M74" s="406"/>
      <c r="N74" s="406"/>
      <c r="O74" s="406"/>
      <c r="P74" s="406"/>
      <c r="Q74" s="406"/>
      <c r="R74" s="406"/>
      <c r="S74" s="406"/>
      <c r="T74" s="406"/>
      <c r="U74" s="406"/>
      <c r="V74" s="406"/>
      <c r="W74" s="406"/>
      <c r="X74" s="406"/>
      <c r="Y74" s="406"/>
      <c r="Z74" s="406"/>
      <c r="AA74" s="406"/>
      <c r="AB74" s="406"/>
      <c r="AC74" s="406"/>
      <c r="AD74" s="406"/>
      <c r="AE74" s="406"/>
      <c r="AF74" s="406"/>
      <c r="AH74" s="350"/>
      <c r="AO74" s="349"/>
      <c r="AU74" s="350"/>
    </row>
    <row r="75" spans="2:81" x14ac:dyDescent="0.3">
      <c r="B75" s="405"/>
      <c r="C75" s="408"/>
      <c r="D75" s="408"/>
      <c r="E75" s="408"/>
      <c r="F75" s="408"/>
      <c r="G75" s="408"/>
      <c r="H75" s="408"/>
      <c r="I75" s="408"/>
      <c r="J75" s="408"/>
      <c r="K75" s="408"/>
      <c r="L75" s="408"/>
      <c r="M75" s="407"/>
      <c r="N75" s="407"/>
      <c r="O75" s="406"/>
      <c r="P75" s="406"/>
      <c r="Q75" s="407"/>
      <c r="R75" s="406"/>
      <c r="S75" s="406"/>
      <c r="T75" s="406"/>
      <c r="U75" s="406"/>
      <c r="V75" s="406"/>
      <c r="W75" s="406"/>
      <c r="X75" s="406"/>
      <c r="Y75" s="406"/>
      <c r="Z75" s="406"/>
      <c r="AA75" s="406"/>
      <c r="AB75" s="407"/>
      <c r="AC75" s="406"/>
      <c r="AD75" s="406"/>
      <c r="AE75" s="406"/>
      <c r="AF75" s="406"/>
      <c r="AH75" s="350"/>
      <c r="AO75" s="349"/>
      <c r="AU75" s="350"/>
    </row>
    <row r="76" spans="2:81" x14ac:dyDescent="0.3">
      <c r="B76" s="405"/>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6"/>
      <c r="AD76" s="406"/>
      <c r="AE76" s="406"/>
      <c r="AF76" s="406"/>
      <c r="AH76" s="350"/>
      <c r="AO76" s="349"/>
      <c r="AU76" s="350"/>
    </row>
    <row r="77" spans="2:81"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H77" s="350"/>
      <c r="AO77" s="349"/>
      <c r="AU77" s="350"/>
    </row>
    <row r="78" spans="2:81"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H78" s="350"/>
      <c r="AO78" s="349"/>
      <c r="AU78" s="350"/>
    </row>
    <row r="79" spans="2:81"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H79" s="350"/>
      <c r="AO79" s="349"/>
      <c r="AU79" s="350"/>
    </row>
    <row r="80" spans="2:81" x14ac:dyDescent="0.3">
      <c r="B80" s="405"/>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350"/>
      <c r="AO80" s="349"/>
      <c r="AT80" s="350"/>
    </row>
    <row r="81" spans="2:46" x14ac:dyDescent="0.3">
      <c r="B81" s="405"/>
      <c r="C81" s="406"/>
      <c r="O81" s="350"/>
      <c r="P81" s="350"/>
      <c r="AB81" s="349"/>
      <c r="AG81" s="350"/>
      <c r="AO81" s="349"/>
      <c r="AT81" s="350"/>
    </row>
    <row r="82" spans="2:46" x14ac:dyDescent="0.3">
      <c r="B82" s="405"/>
      <c r="C82" s="406"/>
      <c r="O82" s="350"/>
      <c r="P82" s="350"/>
      <c r="AB82" s="349"/>
      <c r="AG82" s="350"/>
      <c r="AO82" s="349"/>
      <c r="AT82" s="350"/>
    </row>
    <row r="83" spans="2:46" x14ac:dyDescent="0.3">
      <c r="O83" s="350"/>
      <c r="P83" s="350"/>
      <c r="AB83" s="349"/>
      <c r="AG83" s="350"/>
      <c r="AO83" s="349"/>
      <c r="AT83" s="350"/>
    </row>
    <row r="84" spans="2:46" x14ac:dyDescent="0.3">
      <c r="B84" s="405"/>
      <c r="C84" s="406"/>
      <c r="O84" s="350"/>
      <c r="P84" s="350"/>
      <c r="AB84" s="349"/>
      <c r="AG84" s="350"/>
      <c r="AO84" s="349"/>
      <c r="AT84" s="350"/>
    </row>
    <row r="85" spans="2:46" x14ac:dyDescent="0.3">
      <c r="O85" s="350"/>
      <c r="P85" s="350"/>
      <c r="AB85" s="349"/>
      <c r="AG85" s="350"/>
      <c r="AO85" s="349"/>
      <c r="AT85" s="350"/>
    </row>
    <row r="86" spans="2:46" x14ac:dyDescent="0.3">
      <c r="O86" s="350"/>
      <c r="P86" s="350"/>
      <c r="AB86" s="349"/>
      <c r="AG86" s="350"/>
      <c r="AO86" s="349"/>
      <c r="AT86" s="350"/>
    </row>
    <row r="87" spans="2:46" x14ac:dyDescent="0.3">
      <c r="B87" s="411"/>
      <c r="C87" s="412"/>
      <c r="D87" s="411"/>
      <c r="E87" s="412"/>
      <c r="F87" s="412"/>
      <c r="O87" s="350"/>
      <c r="P87" s="350"/>
      <c r="AB87" s="349"/>
      <c r="AG87" s="350"/>
      <c r="AO87" s="349"/>
      <c r="AT87" s="350"/>
    </row>
    <row r="88" spans="2:46" x14ac:dyDescent="0.3">
      <c r="C88" s="412"/>
      <c r="D88" s="411"/>
      <c r="E88" s="412"/>
      <c r="F88" s="412"/>
      <c r="O88" s="350"/>
      <c r="P88" s="350"/>
      <c r="AB88" s="349"/>
      <c r="AG88" s="350"/>
      <c r="AO88" s="349"/>
      <c r="AT88" s="350"/>
    </row>
    <row r="89" spans="2:46" x14ac:dyDescent="0.3">
      <c r="C89" s="412"/>
      <c r="D89" s="411"/>
      <c r="E89" s="412"/>
      <c r="F89" s="412"/>
      <c r="O89" s="350"/>
      <c r="P89" s="350"/>
      <c r="AB89" s="349"/>
      <c r="AG89" s="350"/>
      <c r="AO89" s="349"/>
      <c r="AT89" s="350"/>
    </row>
    <row r="90" spans="2:46" x14ac:dyDescent="0.3">
      <c r="B90" s="411"/>
      <c r="C90" s="412"/>
      <c r="D90" s="411"/>
      <c r="E90" s="412"/>
      <c r="F90" s="412"/>
      <c r="O90" s="350"/>
      <c r="P90" s="350"/>
    </row>
    <row r="91" spans="2:46" x14ac:dyDescent="0.3">
      <c r="C91" s="412"/>
      <c r="D91" s="411"/>
      <c r="E91" s="412"/>
      <c r="F91" s="412"/>
      <c r="O91" s="350"/>
      <c r="P91" s="350"/>
    </row>
    <row r="92" spans="2:46" x14ac:dyDescent="0.3">
      <c r="C92" s="412"/>
      <c r="D92" s="411"/>
      <c r="E92" s="412"/>
      <c r="F92" s="412"/>
      <c r="O92" s="350"/>
      <c r="P92" s="350"/>
    </row>
    <row r="93" spans="2:46" x14ac:dyDescent="0.3">
      <c r="C93" s="412"/>
      <c r="D93" s="411"/>
      <c r="E93" s="412"/>
      <c r="F93" s="412"/>
      <c r="O93" s="350"/>
      <c r="P93" s="350"/>
    </row>
    <row r="94" spans="2:46" x14ac:dyDescent="0.3">
      <c r="C94" s="412"/>
      <c r="D94" s="411"/>
      <c r="E94" s="412"/>
      <c r="F94" s="412"/>
      <c r="O94" s="350"/>
      <c r="P94" s="350"/>
    </row>
    <row r="95" spans="2:46" x14ac:dyDescent="0.3">
      <c r="C95" s="412"/>
      <c r="D95" s="411"/>
      <c r="E95" s="412"/>
      <c r="F95" s="412"/>
      <c r="O95" s="350"/>
      <c r="P95" s="350"/>
    </row>
    <row r="96" spans="2:46" x14ac:dyDescent="0.3">
      <c r="C96" s="412"/>
      <c r="D96" s="411"/>
      <c r="E96" s="411"/>
      <c r="F96" s="412"/>
      <c r="O96" s="350"/>
      <c r="P96" s="350"/>
    </row>
    <row r="97" spans="2:16" x14ac:dyDescent="0.3">
      <c r="O97" s="350"/>
      <c r="P97" s="350"/>
    </row>
    <row r="98" spans="2:16" x14ac:dyDescent="0.3">
      <c r="O98" s="350"/>
      <c r="P98" s="350"/>
    </row>
    <row r="99" spans="2:16" x14ac:dyDescent="0.3">
      <c r="B99" s="411"/>
      <c r="C99" s="411"/>
      <c r="D99" s="354"/>
      <c r="O99" s="350"/>
      <c r="P99" s="350"/>
    </row>
    <row r="100" spans="2:16" x14ac:dyDescent="0.3">
      <c r="C100" s="411"/>
      <c r="D100" s="354"/>
      <c r="O100" s="350"/>
      <c r="P100" s="350"/>
    </row>
    <row r="101" spans="2:16" x14ac:dyDescent="0.3">
      <c r="C101" s="411"/>
      <c r="D101" s="412"/>
      <c r="O101" s="350"/>
      <c r="P101" s="350"/>
    </row>
    <row r="102" spans="2:16" x14ac:dyDescent="0.3">
      <c r="B102" s="349" t="s">
        <v>235</v>
      </c>
      <c r="C102" s="411">
        <f>ROUND(O74+D102/$C$111,-1)</f>
        <v>0</v>
      </c>
      <c r="D102" s="411">
        <f>O75</f>
        <v>0</v>
      </c>
      <c r="O102" s="350"/>
      <c r="P102" s="350"/>
    </row>
    <row r="103" spans="2:16" x14ac:dyDescent="0.3">
      <c r="B103" s="349" t="s">
        <v>1140</v>
      </c>
      <c r="C103" s="411">
        <f>ROUND(P74+D103/$C$111,-1)</f>
        <v>0</v>
      </c>
      <c r="D103" s="411">
        <f>P75</f>
        <v>0</v>
      </c>
      <c r="O103" s="350"/>
      <c r="P103" s="350"/>
    </row>
    <row r="104" spans="2:16" x14ac:dyDescent="0.3">
      <c r="B104" s="349" t="str">
        <f>B94&amp;" - EV"</f>
        <v xml:space="preserve"> - EV</v>
      </c>
      <c r="C104" s="411">
        <f>ROUND(Z74+D104/$C$111,-1)</f>
        <v>0</v>
      </c>
      <c r="D104" s="411">
        <f>Z75</f>
        <v>0</v>
      </c>
      <c r="O104" s="350"/>
      <c r="P104" s="350"/>
    </row>
    <row r="105" spans="2:16" x14ac:dyDescent="0.3">
      <c r="B105" s="411">
        <f>X69</f>
        <v>0</v>
      </c>
      <c r="C105" s="411">
        <f>ROUND(AD74,-2)</f>
        <v>0</v>
      </c>
      <c r="D105" s="411"/>
      <c r="O105" s="350"/>
      <c r="P105" s="350"/>
    </row>
    <row r="106" spans="2:16" x14ac:dyDescent="0.3">
      <c r="B106" s="411">
        <f>Z69</f>
        <v>0</v>
      </c>
      <c r="C106" s="411">
        <f>ROUND(AE74+D106/$D$111,-2)</f>
        <v>0</v>
      </c>
      <c r="D106" s="411">
        <f>AE75</f>
        <v>0</v>
      </c>
      <c r="O106" s="350"/>
      <c r="P106" s="350"/>
    </row>
    <row r="107" spans="2:16" x14ac:dyDescent="0.3">
      <c r="B107" s="411">
        <f>AA69</f>
        <v>0</v>
      </c>
      <c r="C107" s="411">
        <f>ROUND(AF74,-3)</f>
        <v>0</v>
      </c>
      <c r="O107" s="350"/>
      <c r="P107" s="350"/>
    </row>
    <row r="108" spans="2:16" x14ac:dyDescent="0.3">
      <c r="O108" s="350"/>
      <c r="P108" s="350"/>
    </row>
    <row r="109" spans="2:16" x14ac:dyDescent="0.3">
      <c r="O109" s="350"/>
      <c r="P109" s="350"/>
    </row>
    <row r="110" spans="2:16" x14ac:dyDescent="0.3">
      <c r="C110" s="349" t="str">
        <f>'1_Manufacturing'!EJ28</f>
        <v>NMC111</v>
      </c>
      <c r="D110" s="349" t="str">
        <f>'1_Manufacturing'!EK28</f>
        <v>LFP: hydrothermal</v>
      </c>
      <c r="O110" s="350"/>
      <c r="P110" s="350"/>
    </row>
    <row r="111" spans="2:16" x14ac:dyDescent="0.3">
      <c r="B111" s="413" t="str">
        <f>'1_Manufacturing'!A28&amp;" "&amp;'1_Manufacturing'!B28</f>
        <v>Battery specifc energy [kWh/kg]</v>
      </c>
      <c r="C111" s="349">
        <f>'1_Manufacturing'!EJ29</f>
        <v>0.14262303541417382</v>
      </c>
      <c r="D111" s="349">
        <f>'1_Manufacturing'!EK29</f>
        <v>0.11591337982671381</v>
      </c>
      <c r="O111" s="350"/>
      <c r="P111" s="350"/>
    </row>
    <row r="112" spans="2:16" x14ac:dyDescent="0.3">
      <c r="O112" s="350"/>
      <c r="P112" s="350"/>
    </row>
    <row r="113" spans="15:16" x14ac:dyDescent="0.3">
      <c r="O113" s="350"/>
      <c r="P113" s="350"/>
    </row>
  </sheetData>
  <mergeCells count="1">
    <mergeCell ref="B19:H33"/>
  </mergeCells>
  <pageMargins left="0" right="0" top="0" bottom="0" header="0" footer="0"/>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BC143"/>
  </sheetPr>
  <dimension ref="A1:AN134"/>
  <sheetViews>
    <sheetView topLeftCell="F8" zoomScale="80" zoomScaleNormal="80" zoomScalePageLayoutView="200" workbookViewId="0">
      <selection activeCell="O10" sqref="O10"/>
    </sheetView>
  </sheetViews>
  <sheetFormatPr defaultColWidth="8.88671875" defaultRowHeight="14.4" x14ac:dyDescent="0.3"/>
  <cols>
    <col min="1" max="1" width="42.109375" style="430" customWidth="1"/>
    <col min="2" max="2" width="36.5546875" style="430" customWidth="1"/>
    <col min="3"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41"/>
      <c r="O43" s="442"/>
      <c r="P43" s="442"/>
      <c r="Q43" s="442"/>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B44" s="399"/>
      <c r="C44" s="358" t="s">
        <v>1129</v>
      </c>
      <c r="D44" s="358" t="s">
        <v>1130</v>
      </c>
      <c r="E44" s="358" t="s">
        <v>1131</v>
      </c>
      <c r="F44" s="358" t="s">
        <v>850</v>
      </c>
      <c r="G44" s="358" t="str">
        <f>B45&amp;" - Central case"</f>
        <v>Shared e-scooter (first generati) - Central case</v>
      </c>
      <c r="H44" s="358" t="str">
        <f>B46&amp;" - Central case"</f>
        <v>Private car - ICE - Central case</v>
      </c>
      <c r="K44" s="441"/>
      <c r="L44" s="442"/>
      <c r="M44" s="442"/>
      <c r="N44" s="442"/>
      <c r="O44" s="442"/>
      <c r="P44" s="442"/>
      <c r="Q44" s="442"/>
      <c r="R44" s="442"/>
      <c r="S44" s="442"/>
      <c r="T44" s="442"/>
      <c r="U44" s="442"/>
      <c r="V44" s="442"/>
      <c r="X44" s="441"/>
      <c r="Y44" s="442"/>
      <c r="Z44" s="442"/>
      <c r="AA44" s="442"/>
      <c r="AB44" s="442"/>
      <c r="AC44" s="442"/>
      <c r="AD44" s="442"/>
      <c r="AE44" s="442"/>
      <c r="AF44" s="442"/>
      <c r="AG44" s="442"/>
      <c r="AH44" s="442"/>
      <c r="AI44" s="442"/>
      <c r="AK44" s="431"/>
      <c r="AN44" s="430"/>
    </row>
    <row r="45" spans="1:40" x14ac:dyDescent="0.3">
      <c r="A45" s="430" t="str">
        <f>'0_Total'!W$2</f>
        <v>Shared e-scooter (first generation, central case)</v>
      </c>
      <c r="B45" s="358" t="str">
        <f>LEFT('0_Total'!W2,32)&amp;")"</f>
        <v>Shared e-scooter (first generati)</v>
      </c>
      <c r="C45" s="357"/>
      <c r="D45" s="357"/>
      <c r="E45" s="357"/>
      <c r="F45" s="357"/>
      <c r="G45" s="357">
        <f ca="1">HLOOKUP($A45,'0_Total'!$D$2:$ED$117,ROW('0_Total'!$A$98)-ROW('0_Total'!$A$2)+1,FALSE)</f>
        <v>117.04803934532677</v>
      </c>
      <c r="H45" s="444"/>
      <c r="K45" s="441"/>
      <c r="L45" s="442"/>
      <c r="M45" s="442"/>
      <c r="N45" s="442"/>
      <c r="O45" s="442"/>
      <c r="P45" s="442"/>
      <c r="Q45" s="442"/>
      <c r="R45" s="442"/>
      <c r="S45" s="442"/>
      <c r="T45" s="442"/>
      <c r="U45" s="442"/>
      <c r="V45" s="442"/>
      <c r="X45" s="441"/>
      <c r="Y45" s="442"/>
      <c r="Z45" s="442"/>
      <c r="AA45" s="442"/>
      <c r="AB45" s="442"/>
      <c r="AC45" s="442"/>
      <c r="AD45" s="442"/>
      <c r="AE45" s="442"/>
      <c r="AF45" s="442"/>
      <c r="AG45" s="442"/>
      <c r="AH45" s="442"/>
      <c r="AI45" s="442"/>
      <c r="AK45" s="431"/>
      <c r="AN45" s="430"/>
    </row>
    <row r="46" spans="1:40" x14ac:dyDescent="0.3">
      <c r="A46" s="430" t="str">
        <f>'0_Total'!AO2</f>
        <v>Private car - ICE</v>
      </c>
      <c r="B46" s="358" t="str">
        <f>A46</f>
        <v>Private car - ICE</v>
      </c>
      <c r="C46" s="357"/>
      <c r="D46" s="357"/>
      <c r="E46" s="357"/>
      <c r="F46" s="357"/>
      <c r="G46" s="357"/>
      <c r="H46" s="444">
        <f ca="1">HLOOKUP($A46,'0_Total'!$D$2:$ED$117,ROW('0_Total'!$A$98)-ROW('0_Total'!$A$2)+1,FALSE)</f>
        <v>161.97203672281782</v>
      </c>
      <c r="K46" s="441"/>
      <c r="L46" s="442"/>
      <c r="M46" s="442"/>
      <c r="N46" s="442"/>
      <c r="O46" s="442"/>
      <c r="P46" s="442"/>
      <c r="Q46" s="442"/>
      <c r="R46" s="442"/>
      <c r="S46" s="442"/>
      <c r="T46" s="442"/>
      <c r="U46" s="442"/>
      <c r="V46" s="442"/>
      <c r="X46" s="441"/>
      <c r="Y46" s="442"/>
      <c r="Z46" s="442"/>
      <c r="AA46" s="442"/>
      <c r="AB46" s="442"/>
      <c r="AC46" s="442"/>
      <c r="AD46" s="442"/>
      <c r="AE46" s="442"/>
      <c r="AF46" s="442"/>
      <c r="AG46" s="442"/>
      <c r="AH46" s="442"/>
      <c r="AI46" s="442"/>
      <c r="AK46" s="431"/>
      <c r="AN46" s="430"/>
    </row>
    <row r="47" spans="1:40" x14ac:dyDescent="0.3">
      <c r="A47" s="430" t="str">
        <f>'0_Total'!F2</f>
        <v>Shared e-scooter (first generation, best case)</v>
      </c>
      <c r="B47" s="358" t="str">
        <f>"B"&amp;MID($A47,38,LEN($A47)-38)</f>
        <v>Best case</v>
      </c>
      <c r="C47" s="357">
        <f ca="1">HLOOKUP($A47,'0_Total'!$D$2:$ED$117,ROW('0_Total'!$A$99)-ROW('0_Total'!$A$2)+1,FALSE)+
HLOOKUP($A47,'0_Total'!$D$2:$ED$117,ROW('0_Total'!$A$100)-ROW('0_Total'!$A$2)+1,FALSE)</f>
        <v>16.267757239505578</v>
      </c>
      <c r="D47" s="357">
        <f>HLOOKUP($A47,'0_Total'!$D$2:$ED$117,ROW('0_Total'!$A$101)-ROW('0_Total'!$A$2)+1,FALSE)</f>
        <v>0</v>
      </c>
      <c r="E47" s="357">
        <f>HLOOKUP($A47,'0_Total'!$D$2:$ED$117,ROW('0_Total'!$A$103)-ROW('0_Total'!$A$2)+1,FALSE)</f>
        <v>9.4409392749428456</v>
      </c>
      <c r="F47" s="357">
        <f>HLOOKUP($A47,'0_Total'!$D$2:$ED$117,ROW('0_Total'!$A$102)-ROW('0_Total'!$A$2)+1,FALSE)</f>
        <v>0.81502382855616651</v>
      </c>
      <c r="G47" s="448">
        <f t="shared" ref="G47:G63" ca="1" si="0">G$45</f>
        <v>117.04803934532677</v>
      </c>
      <c r="H47" s="449">
        <f t="shared" ref="H47:H63" ca="1" si="1">H$46</f>
        <v>161.97203672281782</v>
      </c>
      <c r="J47" s="454">
        <f t="shared" ref="J47:J56" ca="1" si="2">SUM(C47:F47)</f>
        <v>26.523720343004591</v>
      </c>
      <c r="K47" s="454">
        <f t="shared" ref="K47:K63" ca="1" si="3">RANK(J47,J$47:J$63)</f>
        <v>17</v>
      </c>
      <c r="L47" s="442"/>
      <c r="M47" s="442"/>
      <c r="N47" s="442">
        <f ca="1">SUM(C47:F47)/G$45</f>
        <v>0.22660542193920627</v>
      </c>
      <c r="O47" s="442"/>
      <c r="P47" s="442"/>
      <c r="Q47" s="442"/>
      <c r="R47" s="442"/>
      <c r="S47" s="442"/>
      <c r="T47" s="442"/>
      <c r="U47" s="442"/>
      <c r="V47" s="442"/>
      <c r="X47" s="441"/>
      <c r="Y47" s="442"/>
      <c r="Z47" s="442"/>
      <c r="AA47" s="442"/>
      <c r="AB47" s="442"/>
      <c r="AC47" s="442"/>
      <c r="AD47" s="442"/>
      <c r="AE47" s="442"/>
      <c r="AF47" s="442"/>
      <c r="AG47" s="442"/>
      <c r="AH47" s="442"/>
      <c r="AI47" s="442"/>
      <c r="AK47" s="431"/>
      <c r="AN47" s="430"/>
    </row>
    <row r="48" spans="1:40" x14ac:dyDescent="0.3">
      <c r="A48" s="430" t="str">
        <f>'0_Total'!H$2</f>
        <v>Shared e-scooter (first generation central case, daily distance 50% higher)</v>
      </c>
      <c r="B48" s="358" t="str">
        <f>"D"&amp;MID($A48,51,LEN($A48)-51)&amp;" than in central estimate"</f>
        <v>Daily distance 50% higher than in central estimate</v>
      </c>
      <c r="C48" s="357">
        <f ca="1">HLOOKUP($A48,'0_Total'!$D$2:$ED$117,ROW('0_Total'!$A$99)-ROW('0_Total'!$A$2)+1,FALSE)+
HLOOKUP($A48,'0_Total'!$D$2:$ED$117,ROW('0_Total'!$A$100)-ROW('0_Total'!$A$2)+1,FALSE)</f>
        <v>47.637111001886801</v>
      </c>
      <c r="D48" s="357">
        <f>HLOOKUP($A48,'0_Total'!$D$2:$ED$117,ROW('0_Total'!$A$101)-ROW('0_Total'!$A$2)+1,FALSE)</f>
        <v>0.80095368933974942</v>
      </c>
      <c r="E48" s="357">
        <f>HLOOKUP($A48,'0_Total'!$D$2:$ED$117,ROW('0_Total'!$A$103)-ROW('0_Total'!$A$2)+1,FALSE)</f>
        <v>9.4409392749428456</v>
      </c>
      <c r="F48" s="357">
        <f>HLOOKUP($A48,'0_Total'!$D$2:$ED$117,ROW('0_Total'!$A$102)-ROW('0_Total'!$A$2)+1,FALSE)</f>
        <v>23.151677265077584</v>
      </c>
      <c r="G48" s="448">
        <f t="shared" ca="1" si="0"/>
        <v>117.04803934532677</v>
      </c>
      <c r="H48" s="449">
        <f t="shared" ca="1" si="1"/>
        <v>161.97203672281782</v>
      </c>
      <c r="J48" s="454">
        <f t="shared" ca="1" si="2"/>
        <v>81.030681231246973</v>
      </c>
      <c r="K48" s="454">
        <f t="shared" ca="1" si="3"/>
        <v>16</v>
      </c>
      <c r="L48" s="442"/>
      <c r="M48" s="442"/>
      <c r="N48" s="442">
        <f t="shared" ref="N48:N63" ca="1" si="4">SUM(C48:F48)/G$45</f>
        <v>0.69228567761124293</v>
      </c>
      <c r="O48" s="442"/>
      <c r="P48" s="442"/>
      <c r="Q48" s="442"/>
      <c r="R48" s="442"/>
      <c r="S48" s="442"/>
      <c r="T48" s="442"/>
      <c r="U48" s="442"/>
      <c r="V48" s="442"/>
      <c r="X48" s="441"/>
      <c r="Y48" s="442"/>
      <c r="Z48" s="442"/>
      <c r="AA48" s="442"/>
      <c r="AB48" s="442"/>
      <c r="AC48" s="442"/>
      <c r="AD48" s="442"/>
      <c r="AE48" s="442"/>
      <c r="AF48" s="442"/>
      <c r="AG48" s="442"/>
      <c r="AH48" s="442"/>
      <c r="AI48" s="442"/>
      <c r="AK48" s="431"/>
      <c r="AN48" s="430"/>
    </row>
    <row r="49" spans="1:40" x14ac:dyDescent="0.3">
      <c r="A49" s="430" t="str">
        <f>'0_Total'!O$2</f>
        <v>Shared e-scooter (first generation central case, 50% higher lifetime)</v>
      </c>
      <c r="B49" s="358" t="str">
        <f>MID($A49,50,LEN($A49)-50)&amp;" than in central estimate"</f>
        <v>50% higher lifetime than in central estimate</v>
      </c>
      <c r="C49" s="357">
        <f ca="1">HLOOKUP($A49,'0_Total'!$D$2:$ED$117,ROW('0_Total'!$A$99)-ROW('0_Total'!$A$2)+1,FALSE)+
HLOOKUP($A49,'0_Total'!$D$2:$ED$117,ROW('0_Total'!$A$100)-ROW('0_Total'!$A$2)+1,FALSE)</f>
        <v>39.697592501572338</v>
      </c>
      <c r="D49" s="357">
        <f>HLOOKUP($A49,'0_Total'!$D$2:$ED$117,ROW('0_Total'!$A$101)-ROW('0_Total'!$A$2)+1,FALSE)</f>
        <v>1.067938252452999</v>
      </c>
      <c r="E49" s="357">
        <f>HLOOKUP($A49,'0_Total'!$D$2:$ED$117,ROW('0_Total'!$A$103)-ROW('0_Total'!$A$2)+1,FALSE)</f>
        <v>9.4409392749428456</v>
      </c>
      <c r="F49" s="357">
        <f>HLOOKUP($A49,'0_Total'!$D$2:$ED$117,ROW('0_Total'!$A$102)-ROW('0_Total'!$A$2)+1,FALSE)</f>
        <v>34.727515897616378</v>
      </c>
      <c r="G49" s="448">
        <f t="shared" ca="1" si="0"/>
        <v>117.04803934532677</v>
      </c>
      <c r="H49" s="449">
        <f t="shared" ca="1" si="1"/>
        <v>161.97203672281782</v>
      </c>
      <c r="J49" s="454">
        <f t="shared" ca="1" si="2"/>
        <v>84.933985926584569</v>
      </c>
      <c r="K49" s="454">
        <f t="shared" ca="1" si="3"/>
        <v>15</v>
      </c>
      <c r="L49" s="442"/>
      <c r="M49" s="442"/>
      <c r="N49" s="442">
        <f t="shared" ca="1" si="4"/>
        <v>0.72563356380540367</v>
      </c>
      <c r="O49" s="442"/>
      <c r="P49" s="442"/>
      <c r="Q49" s="442"/>
      <c r="R49" s="442"/>
      <c r="S49" s="442"/>
      <c r="T49" s="442"/>
      <c r="U49" s="442"/>
      <c r="V49" s="442"/>
      <c r="X49" s="441"/>
      <c r="Y49" s="442"/>
      <c r="Z49" s="442"/>
      <c r="AA49" s="442"/>
      <c r="AB49" s="442"/>
      <c r="AC49" s="442"/>
      <c r="AD49" s="442"/>
      <c r="AE49" s="442"/>
      <c r="AF49" s="442"/>
      <c r="AG49" s="442"/>
      <c r="AH49" s="442"/>
      <c r="AI49" s="442"/>
      <c r="AK49" s="431"/>
      <c r="AN49" s="430"/>
    </row>
    <row r="50" spans="1:40" x14ac:dyDescent="0.3">
      <c r="A50" s="430" t="str">
        <f>'0_Total'!T$2</f>
        <v>Shared e-scooter (first generation central case, low carbon Al smelting)</v>
      </c>
      <c r="B50" s="358" t="str">
        <f>"L"&amp;MID($A50,51,LEN($A50)-51)</f>
        <v>Low carbon Al smelting</v>
      </c>
      <c r="C50" s="357">
        <f ca="1">HLOOKUP($A50,'0_Total'!$D$2:$ED$117,ROW('0_Total'!$A$99)-ROW('0_Total'!$A$2)+1,FALSE)+
HLOOKUP($A50,'0_Total'!$D$2:$ED$117,ROW('0_Total'!$A$100)-ROW('0_Total'!$A$2)+1,FALSE)</f>
        <v>43.922944546665057</v>
      </c>
      <c r="D50" s="357">
        <f>HLOOKUP($A50,'0_Total'!$D$2:$ED$117,ROW('0_Total'!$A$101)-ROW('0_Total'!$A$2)+1,FALSE)</f>
        <v>1.4239176699373322</v>
      </c>
      <c r="E50" s="357">
        <f>HLOOKUP($A50,'0_Total'!$D$2:$ED$117,ROW('0_Total'!$A$103)-ROW('0_Total'!$A$2)+1,FALSE)</f>
        <v>9.4493582127681535</v>
      </c>
      <c r="F50" s="357">
        <f>HLOOKUP($A50,'0_Total'!$D$2:$ED$117,ROW('0_Total'!$A$102)-ROW('0_Total'!$A$2)+1,FALSE)</f>
        <v>34.727515897616378</v>
      </c>
      <c r="G50" s="448">
        <f t="shared" ca="1" si="0"/>
        <v>117.04803934532677</v>
      </c>
      <c r="H50" s="449">
        <f t="shared" ca="1" si="1"/>
        <v>161.97203672281782</v>
      </c>
      <c r="J50" s="454">
        <f t="shared" ca="1" si="2"/>
        <v>89.523736326986921</v>
      </c>
      <c r="K50" s="454">
        <f t="shared" ca="1" si="3"/>
        <v>13</v>
      </c>
      <c r="L50" s="442"/>
      <c r="M50" s="442"/>
      <c r="N50" s="442">
        <f t="shared" ca="1" si="4"/>
        <v>0.76484609932563741</v>
      </c>
      <c r="O50" s="442"/>
      <c r="P50" s="442"/>
      <c r="Q50" s="442"/>
      <c r="R50" s="442"/>
      <c r="S50" s="442"/>
      <c r="T50" s="442"/>
      <c r="U50" s="442"/>
      <c r="V50" s="442"/>
      <c r="X50" s="441"/>
      <c r="Y50" s="442"/>
      <c r="Z50" s="442"/>
      <c r="AA50" s="442"/>
      <c r="AB50" s="442"/>
      <c r="AC50" s="442"/>
      <c r="AD50" s="442"/>
      <c r="AE50" s="442"/>
      <c r="AF50" s="442"/>
      <c r="AG50" s="442"/>
      <c r="AH50" s="442"/>
      <c r="AI50" s="442"/>
      <c r="AK50" s="431"/>
      <c r="AN50" s="430"/>
    </row>
    <row r="51" spans="1:40" x14ac:dyDescent="0.3">
      <c r="A51" s="430" t="str">
        <f>'0_Total'!J$2</f>
        <v>Shared e-scooter (first generation central case, EVs for operational services)</v>
      </c>
      <c r="B51" s="358" t="str">
        <f>MID($A51,50,LEN($A51)-50)</f>
        <v>EVs for operational services</v>
      </c>
      <c r="C51" s="357">
        <f ca="1">HLOOKUP($A51,'0_Total'!$D$2:$ED$117,ROW('0_Total'!$A$99)-ROW('0_Total'!$A$2)+1,FALSE)+
HLOOKUP($A51,'0_Total'!$D$2:$ED$117,ROW('0_Total'!$A$100)-ROW('0_Total'!$A$2)+1,FALSE)</f>
        <v>71.455666502830198</v>
      </c>
      <c r="D51" s="357">
        <f>HLOOKUP($A51,'0_Total'!$D$2:$ED$117,ROW('0_Total'!$A$101)-ROW('0_Total'!$A$2)+1,FALSE)</f>
        <v>1.067938252452999</v>
      </c>
      <c r="E51" s="357">
        <f>HLOOKUP($A51,'0_Total'!$D$2:$ED$117,ROW('0_Total'!$A$103)-ROW('0_Total'!$A$2)+1,FALSE)</f>
        <v>9.4409392749428456</v>
      </c>
      <c r="F51" s="357">
        <f>HLOOKUP($A51,'0_Total'!$D$2:$ED$117,ROW('0_Total'!$A$102)-ROW('0_Total'!$A$2)+1,FALSE)</f>
        <v>3.6676072285027495</v>
      </c>
      <c r="G51" s="448">
        <f t="shared" ca="1" si="0"/>
        <v>117.04803934532677</v>
      </c>
      <c r="H51" s="449">
        <f t="shared" ca="1" si="1"/>
        <v>161.97203672281782</v>
      </c>
      <c r="J51" s="454">
        <f t="shared" ca="1" si="2"/>
        <v>85.632151258728797</v>
      </c>
      <c r="K51" s="454">
        <f t="shared" ca="1" si="3"/>
        <v>14</v>
      </c>
      <c r="L51" s="442"/>
      <c r="M51" s="442"/>
      <c r="N51" s="442">
        <f t="shared" ca="1" si="4"/>
        <v>0.73159833977302524</v>
      </c>
      <c r="O51" s="442"/>
      <c r="P51" s="442"/>
      <c r="Q51" s="442"/>
      <c r="R51" s="442"/>
      <c r="S51" s="442"/>
      <c r="T51" s="442"/>
      <c r="U51" s="442"/>
      <c r="V51" s="442"/>
      <c r="X51" s="441"/>
      <c r="Y51" s="442"/>
      <c r="Z51" s="442"/>
      <c r="AA51" s="442"/>
      <c r="AB51" s="442"/>
      <c r="AC51" s="442"/>
      <c r="AD51" s="442"/>
      <c r="AE51" s="442"/>
      <c r="AF51" s="442"/>
      <c r="AG51" s="442"/>
      <c r="AH51" s="442"/>
      <c r="AI51" s="442"/>
      <c r="AK51" s="431"/>
      <c r="AN51" s="430"/>
    </row>
    <row r="52" spans="1:40" x14ac:dyDescent="0.3">
      <c r="A52" s="430" t="str">
        <f>'0_Total'!M$2</f>
        <v>Shared e-scooter (first generation central case, vehicle servicing distance 50% down)</v>
      </c>
      <c r="B52" s="358" t="str">
        <f>"V"&amp;MID($A52,51,LEN($A52)-56)&amp;" lower than in central estimate"</f>
        <v>Vehicle servicing distance 50% lower than in central estimate</v>
      </c>
      <c r="C52" s="357">
        <f ca="1">HLOOKUP($A52,'0_Total'!$D$2:$ED$117,ROW('0_Total'!$A$99)-ROW('0_Total'!$A$2)+1,FALSE)+
HLOOKUP($A52,'0_Total'!$D$2:$ED$117,ROW('0_Total'!$A$100)-ROW('0_Total'!$A$2)+1,FALSE)</f>
        <v>71.455666502830198</v>
      </c>
      <c r="D52" s="357">
        <f>HLOOKUP($A52,'0_Total'!$D$2:$ED$117,ROW('0_Total'!$A$101)-ROW('0_Total'!$A$2)+1,FALSE)</f>
        <v>1.067938252452999</v>
      </c>
      <c r="E52" s="357">
        <f>HLOOKUP($A52,'0_Total'!$D$2:$ED$117,ROW('0_Total'!$A$103)-ROW('0_Total'!$A$2)+1,FALSE)</f>
        <v>9.4409392749428456</v>
      </c>
      <c r="F52" s="357">
        <f>HLOOKUP($A52,'0_Total'!$D$2:$ED$117,ROW('0_Total'!$A$102)-ROW('0_Total'!$A$2)+1,FALSE)</f>
        <v>17.363757948808189</v>
      </c>
      <c r="G52" s="448">
        <f t="shared" ca="1" si="0"/>
        <v>117.04803934532677</v>
      </c>
      <c r="H52" s="449">
        <f t="shared" ca="1" si="1"/>
        <v>161.97203672281782</v>
      </c>
      <c r="J52" s="454">
        <f t="shared" ca="1" si="2"/>
        <v>99.328301979034237</v>
      </c>
      <c r="K52" s="454">
        <f t="shared" ca="1" si="3"/>
        <v>12</v>
      </c>
      <c r="L52" s="442"/>
      <c r="M52" s="442"/>
      <c r="N52" s="442">
        <f t="shared" ca="1" si="4"/>
        <v>0.84861141232777082</v>
      </c>
      <c r="O52" s="442"/>
      <c r="P52" s="442"/>
      <c r="Q52" s="442"/>
      <c r="R52" s="442"/>
      <c r="S52" s="442"/>
      <c r="T52" s="442"/>
      <c r="U52" s="442"/>
      <c r="V52" s="442"/>
      <c r="X52" s="441"/>
      <c r="Y52" s="442"/>
      <c r="Z52" s="442"/>
      <c r="AA52" s="442"/>
      <c r="AB52" s="442"/>
      <c r="AC52" s="442"/>
      <c r="AD52" s="442"/>
      <c r="AE52" s="442"/>
      <c r="AF52" s="442"/>
      <c r="AG52" s="442"/>
      <c r="AH52" s="442"/>
      <c r="AI52" s="442"/>
      <c r="AK52" s="431"/>
      <c r="AN52" s="430"/>
    </row>
    <row r="53" spans="1:40" x14ac:dyDescent="0.3">
      <c r="A53" s="430" t="str">
        <f>'0_Total'!K$2</f>
        <v>Shared e-scooter (first generation central case, 50% more vehicles per servicing trip)</v>
      </c>
      <c r="B53" s="358" t="str">
        <f>MID($A53,50,LEN($A53)-50)&amp;" than in central estimate"</f>
        <v>50% more vehicles per servicing trip than in central estimate</v>
      </c>
      <c r="C53" s="357">
        <f ca="1">HLOOKUP($A53,'0_Total'!$D$2:$ED$117,ROW('0_Total'!$A$99)-ROW('0_Total'!$A$2)+1,FALSE)+
HLOOKUP($A53,'0_Total'!$D$2:$ED$117,ROW('0_Total'!$A$100)-ROW('0_Total'!$A$2)+1,FALSE)</f>
        <v>71.455666502830198</v>
      </c>
      <c r="D53" s="357">
        <f>HLOOKUP($A53,'0_Total'!$D$2:$ED$117,ROW('0_Total'!$A$101)-ROW('0_Total'!$A$2)+1,FALSE)</f>
        <v>0.80095368933974942</v>
      </c>
      <c r="E53" s="357">
        <f>HLOOKUP($A53,'0_Total'!$D$2:$ED$117,ROW('0_Total'!$A$103)-ROW('0_Total'!$A$2)+1,FALSE)</f>
        <v>9.4409392749428456</v>
      </c>
      <c r="F53" s="357">
        <f>HLOOKUP($A53,'0_Total'!$D$2:$ED$117,ROW('0_Total'!$A$102)-ROW('0_Total'!$A$2)+1,FALSE)</f>
        <v>23.151677265077588</v>
      </c>
      <c r="G53" s="448">
        <f t="shared" ca="1" si="0"/>
        <v>117.04803934532677</v>
      </c>
      <c r="H53" s="449">
        <f t="shared" ca="1" si="1"/>
        <v>161.97203672281782</v>
      </c>
      <c r="J53" s="454">
        <f t="shared" ca="1" si="2"/>
        <v>104.84923673219038</v>
      </c>
      <c r="K53" s="454">
        <f t="shared" ca="1" si="3"/>
        <v>11</v>
      </c>
      <c r="L53" s="442"/>
      <c r="M53" s="442"/>
      <c r="N53" s="442">
        <f t="shared" ca="1" si="4"/>
        <v>0.8957795219692124</v>
      </c>
      <c r="O53" s="442"/>
      <c r="P53" s="442"/>
      <c r="Q53" s="442"/>
      <c r="R53" s="442"/>
      <c r="S53" s="442"/>
      <c r="T53" s="442"/>
      <c r="U53" s="442"/>
      <c r="V53" s="442"/>
      <c r="X53" s="441"/>
      <c r="Y53" s="442"/>
      <c r="Z53" s="442"/>
      <c r="AA53" s="442"/>
      <c r="AB53" s="442"/>
      <c r="AC53" s="442"/>
      <c r="AD53" s="442"/>
      <c r="AE53" s="442"/>
      <c r="AF53" s="442"/>
      <c r="AG53" s="442"/>
      <c r="AH53" s="442"/>
      <c r="AI53" s="442"/>
      <c r="AK53" s="431"/>
      <c r="AN53" s="430"/>
    </row>
    <row r="54" spans="1:40" x14ac:dyDescent="0.3">
      <c r="A54" s="430" t="str">
        <f>'0_Total'!V$2</f>
        <v>Shared e-scooter (first generation central case, low carbon electricity in use phase)</v>
      </c>
      <c r="B54" s="358" t="str">
        <f>"L"&amp;MID($A54,51,LEN($A54)-51)</f>
        <v>Low carbon electricity in use phase</v>
      </c>
      <c r="C54" s="357">
        <f ca="1">HLOOKUP($A54,'0_Total'!$D$2:$ED$117,ROW('0_Total'!$A$99)-ROW('0_Total'!$A$2)+1,FALSE)+
HLOOKUP($A54,'0_Total'!$D$2:$ED$117,ROW('0_Total'!$A$100)-ROW('0_Total'!$A$2)+1,FALSE)</f>
        <v>71.455666502830198</v>
      </c>
      <c r="D54" s="357">
        <f>HLOOKUP($A54,'0_Total'!$D$2:$ED$117,ROW('0_Total'!$A$101)-ROW('0_Total'!$A$2)+1,FALSE)</f>
        <v>0</v>
      </c>
      <c r="E54" s="357">
        <f>HLOOKUP($A54,'0_Total'!$D$2:$ED$117,ROW('0_Total'!$A$103)-ROW('0_Total'!$A$2)+1,FALSE)</f>
        <v>9.4409392749428456</v>
      </c>
      <c r="F54" s="357">
        <f>HLOOKUP($A54,'0_Total'!$D$2:$ED$117,ROW('0_Total'!$A$102)-ROW('0_Total'!$A$2)+1,FALSE)</f>
        <v>34.727515897616378</v>
      </c>
      <c r="G54" s="448">
        <f t="shared" ca="1" si="0"/>
        <v>117.04803934532677</v>
      </c>
      <c r="H54" s="449">
        <f t="shared" ca="1" si="1"/>
        <v>161.97203672281782</v>
      </c>
      <c r="J54" s="454">
        <f t="shared" ca="1" si="2"/>
        <v>115.62412167538943</v>
      </c>
      <c r="K54" s="454">
        <f t="shared" ca="1" si="3"/>
        <v>9</v>
      </c>
      <c r="L54" s="442"/>
      <c r="M54" s="442"/>
      <c r="N54" s="442">
        <f t="shared" ca="1" si="4"/>
        <v>0.98783475846411783</v>
      </c>
      <c r="O54" s="442"/>
      <c r="P54" s="442"/>
      <c r="Q54" s="442"/>
      <c r="R54" s="442"/>
      <c r="S54" s="442"/>
      <c r="T54" s="442"/>
      <c r="U54" s="442"/>
      <c r="V54" s="442"/>
      <c r="X54" s="441"/>
      <c r="Y54" s="442"/>
      <c r="Z54" s="442"/>
      <c r="AA54" s="442"/>
      <c r="AB54" s="442"/>
      <c r="AC54" s="442"/>
      <c r="AD54" s="442"/>
      <c r="AE54" s="442"/>
      <c r="AF54" s="442"/>
      <c r="AG54" s="442"/>
      <c r="AH54" s="442"/>
      <c r="AI54" s="442"/>
      <c r="AK54" s="431"/>
      <c r="AN54" s="430"/>
    </row>
    <row r="55" spans="1:40" x14ac:dyDescent="0.3">
      <c r="A55" s="430" t="str">
        <f>'0_Total'!Q2</f>
        <v>Shared e-scooter (first generation central case, 25% less battery capacity)</v>
      </c>
      <c r="B55" s="358" t="str">
        <f>MID($A55,50,LEN($A55)-50)&amp;" than in central estimate"</f>
        <v>25% less battery capacity than in central estimate</v>
      </c>
      <c r="C55" s="357">
        <f ca="1">HLOOKUP($A55,'0_Total'!$D$2:$ED$117,ROW('0_Total'!$A$99)-ROW('0_Total'!$A$2)+1,FALSE)+
HLOOKUP($A55,'0_Total'!$D$2:$ED$117,ROW('0_Total'!$A$100)-ROW('0_Total'!$A$2)+1,FALSE)</f>
        <v>68.279260028958461</v>
      </c>
      <c r="D55" s="357">
        <f>HLOOKUP($A55,'0_Total'!$D$2:$ED$117,ROW('0_Total'!$A$101)-ROW('0_Total'!$A$2)+1,FALSE)</f>
        <v>1.4239176699373322</v>
      </c>
      <c r="E55" s="357">
        <f>HLOOKUP($A55,'0_Total'!$D$2:$ED$117,ROW('0_Total'!$A$103)-ROW('0_Total'!$A$2)+1,FALSE)</f>
        <v>9.4409392749428456</v>
      </c>
      <c r="F55" s="357">
        <f>HLOOKUP($A55,'0_Total'!$D$2:$ED$117,ROW('0_Total'!$A$102)-ROW('0_Total'!$A$2)+1,FALSE)</f>
        <v>34.727515897616378</v>
      </c>
      <c r="G55" s="448">
        <f t="shared" ca="1" si="0"/>
        <v>117.04803934532677</v>
      </c>
      <c r="H55" s="449">
        <f t="shared" ca="1" si="1"/>
        <v>161.97203672281782</v>
      </c>
      <c r="J55" s="454">
        <f t="shared" ca="1" si="2"/>
        <v>113.87163287145503</v>
      </c>
      <c r="K55" s="454">
        <f t="shared" ca="1" si="3"/>
        <v>10</v>
      </c>
      <c r="L55" s="442"/>
      <c r="M55" s="442"/>
      <c r="N55" s="442">
        <f ca="1">SUM(C55:F55)/G$45</f>
        <v>0.97286236923200065</v>
      </c>
      <c r="O55" s="442"/>
      <c r="P55" s="442"/>
      <c r="Q55" s="442"/>
      <c r="R55" s="442"/>
      <c r="S55" s="442"/>
      <c r="T55" s="442"/>
      <c r="U55" s="442"/>
      <c r="V55" s="442"/>
      <c r="X55" s="441"/>
      <c r="Y55" s="442"/>
      <c r="Z55" s="442"/>
      <c r="AA55" s="442"/>
      <c r="AB55" s="442"/>
      <c r="AC55" s="442"/>
      <c r="AD55" s="442"/>
      <c r="AE55" s="442"/>
      <c r="AF55" s="442"/>
      <c r="AG55" s="442"/>
      <c r="AH55" s="442"/>
      <c r="AI55" s="442"/>
      <c r="AK55" s="431"/>
      <c r="AN55" s="430"/>
    </row>
    <row r="56" spans="1:40" x14ac:dyDescent="0.3">
      <c r="A56" s="430" t="str">
        <f>'0_Total'!R2</f>
        <v>Shared e-scooter (first generation central case, 25% more battery capacity)</v>
      </c>
      <c r="B56" s="358" t="str">
        <f>MID($A56,50,LEN($A56)-50)&amp;" than in central estimate"</f>
        <v>25% more battery capacity than in central estimate</v>
      </c>
      <c r="C56" s="357">
        <f ca="1">HLOOKUP($A56,'0_Total'!$D$2:$ED$117,ROW('0_Total'!$A$99)-ROW('0_Total'!$A$2)+1,FALSE)+
HLOOKUP($A56,'0_Total'!$D$2:$ED$117,ROW('0_Total'!$A$100)-ROW('0_Total'!$A$2)+1,FALSE)</f>
        <v>74.63207297670192</v>
      </c>
      <c r="D56" s="357">
        <f>HLOOKUP($A56,'0_Total'!$D$2:$ED$117,ROW('0_Total'!$A$101)-ROW('0_Total'!$A$2)+1,FALSE)</f>
        <v>1.4239176699373322</v>
      </c>
      <c r="E56" s="357">
        <f>HLOOKUP($A56,'0_Total'!$D$2:$ED$117,ROW('0_Total'!$A$103)-ROW('0_Total'!$A$2)+1,FALSE)</f>
        <v>9.4409392749428456</v>
      </c>
      <c r="F56" s="357">
        <f>HLOOKUP($A56,'0_Total'!$D$2:$ED$117,ROW('0_Total'!$A$102)-ROW('0_Total'!$A$2)+1,FALSE)</f>
        <v>34.727515897616378</v>
      </c>
      <c r="G56" s="448">
        <f t="shared" ca="1" si="0"/>
        <v>117.04803934532677</v>
      </c>
      <c r="H56" s="449">
        <f t="shared" ca="1" si="1"/>
        <v>161.97203672281782</v>
      </c>
      <c r="J56" s="454">
        <f t="shared" ca="1" si="2"/>
        <v>120.22444581919848</v>
      </c>
      <c r="K56" s="454">
        <f t="shared" ca="1" si="3"/>
        <v>8</v>
      </c>
      <c r="L56" s="442"/>
      <c r="M56" s="442"/>
      <c r="N56" s="442">
        <f ca="1">SUM(C56:F56)/G$45</f>
        <v>1.0271376307679991</v>
      </c>
      <c r="O56" s="442"/>
      <c r="P56" s="442"/>
      <c r="Q56" s="442"/>
      <c r="R56" s="442"/>
      <c r="S56" s="442"/>
      <c r="T56" s="442"/>
      <c r="U56" s="442"/>
      <c r="V56" s="442"/>
      <c r="X56" s="441"/>
      <c r="Y56" s="442"/>
      <c r="Z56" s="442"/>
      <c r="AA56" s="442"/>
      <c r="AB56" s="442"/>
      <c r="AC56" s="442"/>
      <c r="AD56" s="442"/>
      <c r="AE56" s="442"/>
      <c r="AF56" s="442"/>
      <c r="AG56" s="442"/>
      <c r="AH56" s="442"/>
      <c r="AI56" s="442"/>
      <c r="AK56" s="431"/>
      <c r="AN56" s="430"/>
    </row>
    <row r="57" spans="1:40" x14ac:dyDescent="0.3">
      <c r="A57" s="430" t="str">
        <f>'0_Total'!U$2</f>
        <v>Shared e-scooter (first generation central case, high carbon electricity in use phase)</v>
      </c>
      <c r="B57" s="358" t="str">
        <f>"H"&amp;MID($A57,51,LEN($A57)-51)</f>
        <v>High carbon electricity in use phase</v>
      </c>
      <c r="C57" s="357">
        <f ca="1">HLOOKUP($A57,'0_Total'!$D$2:$ED$117,ROW('0_Total'!$A$99)-ROW('0_Total'!$A$2)+1,FALSE)+
HLOOKUP($A57,'0_Total'!$D$2:$ED$117,ROW('0_Total'!$A$100)-ROW('0_Total'!$A$2)+1,FALSE)</f>
        <v>71.455666502830198</v>
      </c>
      <c r="D57" s="357">
        <f>HLOOKUP($A57,'0_Total'!$D$2:$ED$117,ROW('0_Total'!$A$101)-ROW('0_Total'!$A$2)+1,FALSE)</f>
        <v>11.679759289442709</v>
      </c>
      <c r="E57" s="357">
        <f>HLOOKUP($A57,'0_Total'!$D$2:$ED$117,ROW('0_Total'!$A$103)-ROW('0_Total'!$A$2)+1,FALSE)</f>
        <v>9.4493582127681535</v>
      </c>
      <c r="F57" s="357">
        <f>HLOOKUP($A57,'0_Total'!$D$2:$ED$117,ROW('0_Total'!$A$102)-ROW('0_Total'!$A$2)+1,FALSE)</f>
        <v>34.727515897616378</v>
      </c>
      <c r="G57" s="448">
        <f t="shared" ca="1" si="0"/>
        <v>117.04803934532677</v>
      </c>
      <c r="H57" s="449">
        <f t="shared" ca="1" si="1"/>
        <v>161.97203672281782</v>
      </c>
      <c r="J57" s="454">
        <f t="shared" ref="J57:J62" ca="1" si="5">SUM(C57:F57)</f>
        <v>127.31229990265743</v>
      </c>
      <c r="K57" s="454">
        <f t="shared" ca="1" si="3"/>
        <v>7</v>
      </c>
      <c r="L57" s="442"/>
      <c r="M57" s="442"/>
      <c r="N57" s="442">
        <f t="shared" ca="1" si="4"/>
        <v>1.0876927167233277</v>
      </c>
      <c r="O57" s="442"/>
      <c r="P57" s="442"/>
      <c r="Q57" s="442"/>
      <c r="R57" s="442"/>
      <c r="S57" s="442"/>
      <c r="T57" s="442"/>
      <c r="U57" s="442"/>
      <c r="V57" s="442"/>
      <c r="X57" s="441"/>
      <c r="Y57" s="442"/>
      <c r="Z57" s="442"/>
      <c r="AA57" s="442"/>
      <c r="AB57" s="442"/>
      <c r="AC57" s="442"/>
      <c r="AD57" s="442"/>
      <c r="AE57" s="442"/>
      <c r="AF57" s="442"/>
      <c r="AG57" s="442"/>
      <c r="AH57" s="442"/>
      <c r="AI57" s="442"/>
      <c r="AK57" s="431"/>
      <c r="AN57" s="430"/>
    </row>
    <row r="58" spans="1:40" x14ac:dyDescent="0.3">
      <c r="A58" s="430" t="str">
        <f>'0_Total'!S$2</f>
        <v>Shared e-scooter (first generation central case, 25% heavier vehicle)</v>
      </c>
      <c r="B58" s="358" t="str">
        <f>MID($A58,50,LEN($A58)-50)&amp;" than in central estimate"</f>
        <v>25% heavier vehicle than in central estimate</v>
      </c>
      <c r="C58" s="357">
        <f ca="1">HLOOKUP($A58,'0_Total'!$D$2:$ED$117,ROW('0_Total'!$A$99)-ROW('0_Total'!$A$2)+1,FALSE)+
HLOOKUP($A58,'0_Total'!$D$2:$ED$117,ROW('0_Total'!$A$100)-ROW('0_Total'!$A$2)+1,FALSE)</f>
        <v>85.167834908996767</v>
      </c>
      <c r="D58" s="357">
        <f>HLOOKUP($A58,'0_Total'!$D$2:$ED$117,ROW('0_Total'!$A$101)-ROW('0_Total'!$A$2)+1,FALSE)</f>
        <v>1.4239176699373322</v>
      </c>
      <c r="E58" s="357">
        <f>HLOOKUP($A58,'0_Total'!$D$2:$ED$117,ROW('0_Total'!$A$103)-ROW('0_Total'!$A$2)+1,FALSE)</f>
        <v>9.4409392749428456</v>
      </c>
      <c r="F58" s="357">
        <f>HLOOKUP($A58,'0_Total'!$D$2:$ED$117,ROW('0_Total'!$A$102)-ROW('0_Total'!$A$2)+1,FALSE)</f>
        <v>34.727515897616378</v>
      </c>
      <c r="G58" s="448">
        <f t="shared" ca="1" si="0"/>
        <v>117.04803934532677</v>
      </c>
      <c r="H58" s="449">
        <f t="shared" ca="1" si="1"/>
        <v>161.97203672281782</v>
      </c>
      <c r="J58" s="454">
        <f ca="1">SUM(C58:F58)</f>
        <v>130.76020775149334</v>
      </c>
      <c r="K58" s="454">
        <f t="shared" ca="1" si="3"/>
        <v>6</v>
      </c>
      <c r="L58" s="442"/>
      <c r="M58" s="442"/>
      <c r="N58" s="442">
        <f ca="1">SUM(C58:F58)/G$45</f>
        <v>1.1171499196642805</v>
      </c>
      <c r="O58" s="442"/>
      <c r="P58" s="442"/>
      <c r="Q58" s="442"/>
      <c r="R58" s="442"/>
      <c r="S58" s="442"/>
      <c r="T58" s="442"/>
      <c r="U58" s="442"/>
      <c r="V58" s="442"/>
      <c r="X58" s="441"/>
      <c r="Y58" s="442"/>
      <c r="Z58" s="442"/>
      <c r="AA58" s="442"/>
      <c r="AB58" s="442"/>
      <c r="AC58" s="442"/>
      <c r="AD58" s="442"/>
      <c r="AE58" s="442"/>
      <c r="AF58" s="442"/>
      <c r="AG58" s="442"/>
      <c r="AH58" s="442"/>
      <c r="AI58" s="442"/>
      <c r="AK58" s="431"/>
      <c r="AN58" s="430"/>
    </row>
    <row r="59" spans="1:40" x14ac:dyDescent="0.3">
      <c r="A59" s="430" t="str">
        <f>'0_Total'!N$2</f>
        <v>Shared e-scooter (first generation central case, vehicle servicing distance 50% up)</v>
      </c>
      <c r="B59" s="358" t="str">
        <f>"V"&amp;MID($A59,51,LEN($A59)-54)&amp;" higher than in central estimate"</f>
        <v>Vehicle servicing distance 50% higher than in central estimate</v>
      </c>
      <c r="C59" s="357">
        <f ca="1">HLOOKUP($A59,'0_Total'!$D$2:$ED$117,ROW('0_Total'!$A$99)-ROW('0_Total'!$A$2)+1,FALSE)+
HLOOKUP($A59,'0_Total'!$D$2:$ED$117,ROW('0_Total'!$A$100)-ROW('0_Total'!$A$2)+1,FALSE)</f>
        <v>71.455666502830198</v>
      </c>
      <c r="D59" s="357">
        <f>HLOOKUP($A59,'0_Total'!$D$2:$ED$117,ROW('0_Total'!$A$101)-ROW('0_Total'!$A$2)+1,FALSE)</f>
        <v>1.067938252452999</v>
      </c>
      <c r="E59" s="357">
        <f>HLOOKUP($A59,'0_Total'!$D$2:$ED$117,ROW('0_Total'!$A$103)-ROW('0_Total'!$A$2)+1,FALSE)</f>
        <v>9.4409392749428456</v>
      </c>
      <c r="F59" s="357">
        <f>HLOOKUP($A59,'0_Total'!$D$2:$ED$117,ROW('0_Total'!$A$102)-ROW('0_Total'!$A$2)+1,FALSE)</f>
        <v>52.091273846424563</v>
      </c>
      <c r="G59" s="448">
        <f t="shared" ca="1" si="0"/>
        <v>117.04803934532677</v>
      </c>
      <c r="H59" s="449">
        <f t="shared" ca="1" si="1"/>
        <v>161.97203672281782</v>
      </c>
      <c r="J59" s="454">
        <f t="shared" ca="1" si="5"/>
        <v>134.05581787665062</v>
      </c>
      <c r="K59" s="454">
        <f t="shared" ca="1" si="3"/>
        <v>5</v>
      </c>
      <c r="L59" s="442"/>
      <c r="M59" s="442"/>
      <c r="N59" s="442">
        <f t="shared" ca="1" si="4"/>
        <v>1.145305966904288</v>
      </c>
      <c r="O59" s="442"/>
      <c r="P59" s="442"/>
      <c r="Q59" s="442"/>
      <c r="R59" s="442"/>
      <c r="S59" s="442"/>
      <c r="T59" s="442"/>
      <c r="U59" s="442"/>
      <c r="V59" s="442"/>
      <c r="X59" s="441"/>
      <c r="Y59" s="442"/>
      <c r="Z59" s="442"/>
      <c r="AA59" s="442"/>
      <c r="AB59" s="442"/>
      <c r="AC59" s="442"/>
      <c r="AD59" s="442"/>
      <c r="AE59" s="442"/>
      <c r="AF59" s="442"/>
      <c r="AG59" s="442"/>
      <c r="AH59" s="442"/>
      <c r="AI59" s="442"/>
      <c r="AK59" s="431"/>
      <c r="AN59" s="430"/>
    </row>
    <row r="60" spans="1:40" x14ac:dyDescent="0.3">
      <c r="A60" s="430" t="str">
        <f>'0_Total'!L$2</f>
        <v>Shared e-scooter (first generation central case, 50% less vehicles per servcing trip)</v>
      </c>
      <c r="B60" s="358" t="str">
        <f>MID($A60,50,LEN($A60)-50)&amp;" than in central estimate"</f>
        <v>50% less vehicles per servcing trip than in central estimate</v>
      </c>
      <c r="C60" s="357">
        <f ca="1">HLOOKUP($A60,'0_Total'!$D$2:$ED$117,ROW('0_Total'!$A$99)-ROW('0_Total'!$A$2)+1,FALSE)+
HLOOKUP($A60,'0_Total'!$D$2:$ED$117,ROW('0_Total'!$A$100)-ROW('0_Total'!$A$2)+1,FALSE)</f>
        <v>71.455666502830198</v>
      </c>
      <c r="D60" s="357">
        <f>HLOOKUP($A60,'0_Total'!$D$2:$ED$117,ROW('0_Total'!$A$101)-ROW('0_Total'!$A$2)+1,FALSE)</f>
        <v>1.067938252452999</v>
      </c>
      <c r="E60" s="357">
        <f>HLOOKUP($A60,'0_Total'!$D$2:$ED$117,ROW('0_Total'!$A$103)-ROW('0_Total'!$A$2)+1,FALSE)</f>
        <v>9.4409392749428456</v>
      </c>
      <c r="F60" s="357">
        <f>HLOOKUP($A60,'0_Total'!$D$2:$ED$117,ROW('0_Total'!$A$102)-ROW('0_Total'!$A$2)+1,FALSE)</f>
        <v>69.455031795232756</v>
      </c>
      <c r="G60" s="448">
        <f t="shared" ca="1" si="0"/>
        <v>117.04803934532677</v>
      </c>
      <c r="H60" s="449">
        <f t="shared" ca="1" si="1"/>
        <v>161.97203672281782</v>
      </c>
      <c r="J60" s="454">
        <f t="shared" ca="1" si="5"/>
        <v>151.41957582545882</v>
      </c>
      <c r="K60" s="454">
        <f t="shared" ca="1" si="3"/>
        <v>4</v>
      </c>
      <c r="L60" s="442"/>
      <c r="M60" s="442"/>
      <c r="N60" s="442">
        <f t="shared" ca="1" si="4"/>
        <v>1.2936532441925466</v>
      </c>
      <c r="O60" s="442"/>
      <c r="P60" s="442"/>
      <c r="Q60" s="442"/>
      <c r="R60" s="442"/>
      <c r="S60" s="442"/>
      <c r="T60" s="442"/>
      <c r="U60" s="442"/>
      <c r="V60" s="442"/>
      <c r="X60" s="441"/>
      <c r="Y60" s="442"/>
      <c r="Z60" s="442"/>
      <c r="AA60" s="442"/>
      <c r="AB60" s="442"/>
      <c r="AC60" s="442"/>
      <c r="AD60" s="442"/>
      <c r="AE60" s="442"/>
      <c r="AF60" s="442"/>
      <c r="AG60" s="442"/>
      <c r="AH60" s="442"/>
      <c r="AI60" s="442"/>
      <c r="AK60" s="431"/>
      <c r="AN60" s="430"/>
    </row>
    <row r="61" spans="1:40" x14ac:dyDescent="0.3">
      <c r="A61" s="430" t="str">
        <f>'0_Total'!P$2</f>
        <v>Shared e-scooter (first generation central case, 50% lower lifetime)</v>
      </c>
      <c r="B61" s="358" t="str">
        <f>MID($A61,50,LEN($A61)-50)&amp;" than in central estimate"</f>
        <v>50% lower lifetime than in central estimate</v>
      </c>
      <c r="C61" s="357">
        <f ca="1">HLOOKUP($A61,'0_Total'!$D$2:$ED$117,ROW('0_Total'!$A$99)-ROW('0_Total'!$A$2)+1,FALSE)+
HLOOKUP($A61,'0_Total'!$D$2:$ED$117,ROW('0_Total'!$A$100)-ROW('0_Total'!$A$2)+1,FALSE)</f>
        <v>119.09277750471701</v>
      </c>
      <c r="D61" s="357">
        <f>HLOOKUP($A61,'0_Total'!$D$2:$ED$117,ROW('0_Total'!$A$101)-ROW('0_Total'!$A$2)+1,FALSE)</f>
        <v>1.067938252452999</v>
      </c>
      <c r="E61" s="357">
        <f>HLOOKUP($A61,'0_Total'!$D$2:$ED$117,ROW('0_Total'!$A$103)-ROW('0_Total'!$A$2)+1,FALSE)</f>
        <v>9.4409392749428456</v>
      </c>
      <c r="F61" s="357">
        <f>HLOOKUP($A61,'0_Total'!$D$2:$ED$117,ROW('0_Total'!$A$102)-ROW('0_Total'!$A$2)+1,FALSE)</f>
        <v>34.727515897616378</v>
      </c>
      <c r="G61" s="448">
        <f t="shared" ca="1" si="0"/>
        <v>117.04803934532677</v>
      </c>
      <c r="H61" s="449">
        <f t="shared" ca="1" si="1"/>
        <v>161.97203672281782</v>
      </c>
      <c r="J61" s="454">
        <f t="shared" ca="1" si="5"/>
        <v>164.32917092972923</v>
      </c>
      <c r="K61" s="454">
        <f t="shared" ca="1" si="3"/>
        <v>3</v>
      </c>
      <c r="L61" s="442"/>
      <c r="M61" s="442"/>
      <c r="N61" s="442">
        <f t="shared" ca="1" si="4"/>
        <v>1.4039463783319681</v>
      </c>
      <c r="O61" s="442"/>
      <c r="P61" s="442"/>
      <c r="Q61" s="442"/>
      <c r="R61" s="442"/>
      <c r="S61" s="442"/>
      <c r="T61" s="442"/>
      <c r="U61" s="442"/>
      <c r="V61" s="442"/>
      <c r="X61" s="441"/>
      <c r="Y61" s="442"/>
      <c r="Z61" s="442"/>
      <c r="AA61" s="442"/>
      <c r="AB61" s="442"/>
      <c r="AC61" s="442"/>
      <c r="AD61" s="442"/>
      <c r="AE61" s="442"/>
      <c r="AF61" s="442"/>
      <c r="AG61" s="442"/>
      <c r="AH61" s="442"/>
      <c r="AI61" s="442"/>
      <c r="AK61" s="431"/>
      <c r="AN61" s="430"/>
    </row>
    <row r="62" spans="1:40" x14ac:dyDescent="0.3">
      <c r="A62" s="430" t="str">
        <f>'0_Total'!G$2</f>
        <v>Shared e-scooter (first generation central case, daily distance 50% lower)</v>
      </c>
      <c r="B62" s="358" t="str">
        <f>"D"&amp;MID($A62,51,LEN($A62)-51)&amp;" than in central estimate"</f>
        <v>Daily distance 50% lower than in central estimate</v>
      </c>
      <c r="C62" s="357">
        <f ca="1">HLOOKUP($A62,'0_Total'!$D$2:$ED$117,ROW('0_Total'!$A$99)-ROW('0_Total'!$A$2)+1,FALSE)+
HLOOKUP($A62,'0_Total'!$D$2:$ED$117,ROW('0_Total'!$A$100)-ROW('0_Total'!$A$2)+1,FALSE)</f>
        <v>142.9113330056604</v>
      </c>
      <c r="D62" s="357">
        <f>HLOOKUP($A62,'0_Total'!$D$2:$ED$117,ROW('0_Total'!$A$101)-ROW('0_Total'!$A$2)+1,FALSE)</f>
        <v>0.80095368933974942</v>
      </c>
      <c r="E62" s="357">
        <f>HLOOKUP($A62,'0_Total'!$D$2:$ED$117,ROW('0_Total'!$A$103)-ROW('0_Total'!$A$2)+1,FALSE)</f>
        <v>9.4409392749428456</v>
      </c>
      <c r="F62" s="357">
        <f>HLOOKUP($A62,'0_Total'!$D$2:$ED$117,ROW('0_Total'!$A$102)-ROW('0_Total'!$A$2)+1,FALSE)</f>
        <v>69.455031795232756</v>
      </c>
      <c r="G62" s="448">
        <f ca="1">G$45</f>
        <v>117.04803934532677</v>
      </c>
      <c r="H62" s="449">
        <f t="shared" ca="1" si="1"/>
        <v>161.97203672281782</v>
      </c>
      <c r="J62" s="454">
        <f t="shared" ca="1" si="5"/>
        <v>222.60825776517572</v>
      </c>
      <c r="K62" s="454">
        <f t="shared" ca="1" si="3"/>
        <v>2</v>
      </c>
      <c r="L62" s="442"/>
      <c r="M62" s="442"/>
      <c r="N62" s="442">
        <f t="shared" ca="1" si="4"/>
        <v>1.9018537944784764</v>
      </c>
      <c r="O62" s="442"/>
      <c r="P62" s="442"/>
      <c r="Q62" s="442"/>
      <c r="R62" s="442"/>
      <c r="S62" s="442"/>
      <c r="T62" s="442"/>
      <c r="U62" s="442"/>
      <c r="V62" s="442"/>
      <c r="X62" s="441"/>
      <c r="Y62" s="442"/>
      <c r="Z62" s="442"/>
      <c r="AA62" s="442"/>
      <c r="AB62" s="442"/>
      <c r="AC62" s="442"/>
      <c r="AD62" s="442"/>
      <c r="AE62" s="442"/>
      <c r="AF62" s="442"/>
      <c r="AG62" s="442"/>
      <c r="AH62" s="442"/>
      <c r="AI62" s="442"/>
      <c r="AK62" s="431"/>
      <c r="AN62" s="430"/>
    </row>
    <row r="63" spans="1:40" x14ac:dyDescent="0.3">
      <c r="A63" s="430" t="str">
        <f>'0_Total'!E2</f>
        <v>Shared e-scooter (first generation, worst case)</v>
      </c>
      <c r="B63" s="358" t="str">
        <f>"W"&amp;MID($A63,38,LEN($A63)-38)</f>
        <v>Worst case</v>
      </c>
      <c r="C63" s="357">
        <f ca="1">HLOOKUP($A63,'0_Total'!$D$2:$ED$117,ROW('0_Total'!$A$99)-ROW('0_Total'!$A$2)+1,FALSE)+
HLOOKUP($A63,'0_Total'!$D$2:$ED$117,ROW('0_Total'!$A$100)-ROW('0_Total'!$A$2)+1,FALSE)</f>
        <v>283.89278302998923</v>
      </c>
      <c r="D63" s="357">
        <f>HLOOKUP($A63,'0_Total'!$D$2:$ED$117,ROW('0_Total'!$A$101)-ROW('0_Total'!$A$2)+1,FALSE)</f>
        <v>6.5698646003115231</v>
      </c>
      <c r="E63" s="357">
        <f>HLOOKUP($A63,'0_Total'!$D$2:$ED$117,ROW('0_Total'!$A$103)-ROW('0_Total'!$A$2)+1,FALSE)</f>
        <v>9.4409392749428456</v>
      </c>
      <c r="F63" s="357">
        <f>HLOOKUP($A63,'0_Total'!$D$2:$ED$117,ROW('0_Total'!$A$102)-ROW('0_Total'!$A$2)+1,FALSE)</f>
        <v>208.36509538569825</v>
      </c>
      <c r="G63" s="448">
        <f t="shared" ca="1" si="0"/>
        <v>117.04803934532677</v>
      </c>
      <c r="H63" s="449">
        <f t="shared" ca="1" si="1"/>
        <v>161.97203672281782</v>
      </c>
      <c r="J63" s="454">
        <f ca="1">SUM(C63:F63)</f>
        <v>508.2686822909418</v>
      </c>
      <c r="K63" s="454">
        <f t="shared" ca="1" si="3"/>
        <v>1</v>
      </c>
      <c r="L63" s="442"/>
      <c r="M63" s="442"/>
      <c r="N63" s="442">
        <f t="shared" ca="1" si="4"/>
        <v>4.3423938165371307</v>
      </c>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357"/>
      <c r="H64" s="445"/>
      <c r="K64" s="441"/>
      <c r="L64" s="442"/>
      <c r="M64" s="442"/>
      <c r="N64" s="442"/>
      <c r="O64" s="442"/>
      <c r="P64" s="442"/>
      <c r="Q64" s="442"/>
      <c r="R64" s="442"/>
      <c r="S64" s="442"/>
      <c r="T64" s="442"/>
      <c r="U64" s="442"/>
      <c r="V64" s="442"/>
      <c r="X64" s="441"/>
      <c r="Y64" s="442"/>
      <c r="Z64" s="442"/>
      <c r="AA64" s="442"/>
      <c r="AB64" s="442"/>
      <c r="AC64" s="442"/>
      <c r="AD64" s="442"/>
      <c r="AE64" s="442"/>
      <c r="AF64" s="442"/>
      <c r="AG64" s="442"/>
      <c r="AH64" s="442"/>
      <c r="AI64" s="442"/>
      <c r="AK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357"/>
      <c r="I66" s="357"/>
      <c r="J66" s="357"/>
      <c r="K66" s="445"/>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40" x14ac:dyDescent="0.3">
      <c r="B67" s="349"/>
      <c r="C67" s="349"/>
      <c r="D67" s="349"/>
      <c r="E67" s="349"/>
      <c r="F67" s="349"/>
      <c r="G67" s="349"/>
      <c r="H67" s="349"/>
      <c r="I67" s="349"/>
      <c r="J67" s="349"/>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O71" s="431"/>
      <c r="P71" s="431"/>
    </row>
    <row r="72" spans="2:40" x14ac:dyDescent="0.3">
      <c r="B72" s="446"/>
      <c r="C72" s="435"/>
      <c r="D72" s="435"/>
      <c r="E72" s="435"/>
      <c r="F72" s="435"/>
      <c r="G72" s="435"/>
      <c r="H72" s="435"/>
      <c r="I72" s="435"/>
      <c r="J72" s="435"/>
      <c r="K72" s="435"/>
      <c r="O72" s="431"/>
      <c r="P72" s="431"/>
    </row>
    <row r="73" spans="2:40" x14ac:dyDescent="0.3">
      <c r="B73" s="435"/>
      <c r="C73" s="447"/>
      <c r="D73" s="447"/>
      <c r="E73" s="447"/>
      <c r="F73" s="447"/>
      <c r="G73" s="447"/>
      <c r="H73" s="447"/>
      <c r="I73" s="447"/>
      <c r="J73" s="447"/>
      <c r="K73" s="447"/>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sheetData>
  <mergeCells count="1">
    <mergeCell ref="B19:H33"/>
  </mergeCells>
  <pageMargins left="0" right="0" top="0" bottom="0" header="0" footer="0"/>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7BC143"/>
  </sheetPr>
  <dimension ref="A1:AN134"/>
  <sheetViews>
    <sheetView topLeftCell="A32" zoomScale="80" zoomScaleNormal="80" zoomScalePageLayoutView="200" workbookViewId="0">
      <selection activeCell="A47" sqref="A47"/>
    </sheetView>
  </sheetViews>
  <sheetFormatPr defaultColWidth="8.88671875" defaultRowHeight="14.4" x14ac:dyDescent="0.3"/>
  <cols>
    <col min="1" max="1" width="3.44140625" style="430" customWidth="1"/>
    <col min="2" max="2" width="16.109375" style="430" customWidth="1"/>
    <col min="3"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Figure_3_MJ_per_pkm_General!C12</f>
        <v>Energy consumption per pkm [MJ/pkm]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38"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38"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38"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38"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38"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38"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38"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38"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38"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38"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38" x14ac:dyDescent="0.3">
      <c r="N43" s="441"/>
      <c r="O43" s="442"/>
      <c r="P43" s="442"/>
      <c r="Q43" s="442"/>
      <c r="R43" s="442"/>
      <c r="S43" s="442"/>
      <c r="T43" s="442"/>
      <c r="U43" s="442"/>
      <c r="V43" s="442"/>
      <c r="W43" s="442"/>
      <c r="X43" s="442"/>
      <c r="Y43" s="442"/>
      <c r="AA43" s="441"/>
      <c r="AB43" s="442"/>
      <c r="AC43" s="442"/>
      <c r="AD43" s="442"/>
      <c r="AE43" s="442"/>
      <c r="AF43" s="442"/>
      <c r="AG43" s="442"/>
      <c r="AH43" s="442"/>
      <c r="AI43" s="442"/>
      <c r="AJ43" s="442"/>
      <c r="AK43" s="442"/>
      <c r="AL43" s="442"/>
    </row>
    <row r="44" spans="1:38" x14ac:dyDescent="0.3">
      <c r="B44" s="399"/>
      <c r="C44" s="358" t="s">
        <v>1129</v>
      </c>
      <c r="D44" s="358" t="s">
        <v>1130</v>
      </c>
      <c r="E44" s="358" t="s">
        <v>1131</v>
      </c>
      <c r="F44" s="358" t="s">
        <v>850</v>
      </c>
      <c r="G44" s="358" t="str">
        <f>B45&amp;" - Central case"</f>
        <v>Shared e-scooter  - Central case</v>
      </c>
      <c r="H44" s="358" t="str">
        <f>B46&amp;" - Central case"</f>
        <v>Private car - ICE - Central case</v>
      </c>
      <c r="I44" s="399"/>
      <c r="J44" s="399"/>
      <c r="N44" s="441"/>
      <c r="O44" s="442"/>
      <c r="P44" s="442"/>
      <c r="Q44" s="442"/>
      <c r="R44" s="442"/>
      <c r="S44" s="442"/>
      <c r="T44" s="442"/>
      <c r="U44" s="442"/>
      <c r="V44" s="442"/>
      <c r="W44" s="442"/>
      <c r="X44" s="442"/>
      <c r="Y44" s="442"/>
      <c r="AA44" s="441"/>
      <c r="AB44" s="442"/>
      <c r="AC44" s="442"/>
      <c r="AD44" s="442"/>
      <c r="AE44" s="442"/>
      <c r="AF44" s="442"/>
      <c r="AG44" s="442"/>
      <c r="AH44" s="442"/>
      <c r="AI44" s="442"/>
      <c r="AJ44" s="442"/>
      <c r="AK44" s="442"/>
      <c r="AL44" s="442"/>
    </row>
    <row r="45" spans="1:38" x14ac:dyDescent="0.3">
      <c r="A45" s="430" t="str">
        <f>'0_Total'!W$2</f>
        <v>Shared e-scooter (first generation, central case)</v>
      </c>
      <c r="B45" s="358" t="str">
        <f>LEFT('0_Total'!W2,17)</f>
        <v xml:space="preserve">Shared e-scooter </v>
      </c>
      <c r="C45" s="450"/>
      <c r="D45" s="450"/>
      <c r="E45" s="450"/>
      <c r="F45" s="450"/>
      <c r="G45" s="450">
        <f ca="1">HLOOKUP($A45,'0_Total'!$D$2:$ED$117,ROW('0_Total'!$A$76)-ROW('0_Total'!$A$2)+1,FALSE)</f>
        <v>1.4562506099033876</v>
      </c>
      <c r="H45" s="451"/>
      <c r="I45" s="357"/>
      <c r="J45" s="357"/>
      <c r="N45" s="441"/>
      <c r="O45" s="442"/>
      <c r="P45" s="442"/>
      <c r="Q45" s="442"/>
      <c r="R45" s="442"/>
      <c r="S45" s="442"/>
      <c r="T45" s="442"/>
      <c r="U45" s="442"/>
      <c r="V45" s="442"/>
      <c r="W45" s="442"/>
      <c r="X45" s="442"/>
      <c r="Y45" s="442"/>
      <c r="AA45" s="441"/>
      <c r="AB45" s="442"/>
      <c r="AC45" s="442"/>
      <c r="AD45" s="442"/>
      <c r="AE45" s="442"/>
      <c r="AF45" s="442"/>
      <c r="AG45" s="442"/>
      <c r="AH45" s="442"/>
      <c r="AI45" s="442"/>
      <c r="AJ45" s="442"/>
      <c r="AK45" s="442"/>
      <c r="AL45" s="442"/>
    </row>
    <row r="46" spans="1:38" x14ac:dyDescent="0.3">
      <c r="A46" s="430" t="str">
        <f>'0_Total'!AO$2</f>
        <v>Private car - ICE</v>
      </c>
      <c r="B46" s="358" t="str">
        <f>A46</f>
        <v>Private car - ICE</v>
      </c>
      <c r="C46" s="450"/>
      <c r="D46" s="450"/>
      <c r="E46" s="450"/>
      <c r="F46" s="450"/>
      <c r="G46" s="450"/>
      <c r="H46" s="451">
        <f ca="1">HLOOKUP($A46,'0_Total'!$D$2:$ED$117,ROW('0_Total'!$A$76)-ROW('0_Total'!$A$2)+1,FALSE)</f>
        <v>2.1835613123627797</v>
      </c>
      <c r="I46" s="357"/>
      <c r="J46" s="357"/>
      <c r="N46" s="441"/>
      <c r="O46" s="442"/>
      <c r="P46" s="442"/>
      <c r="Q46" s="442"/>
      <c r="R46" s="442"/>
      <c r="S46" s="442"/>
      <c r="T46" s="442"/>
      <c r="U46" s="442"/>
      <c r="V46" s="442"/>
      <c r="W46" s="442"/>
      <c r="X46" s="442"/>
      <c r="Y46" s="442"/>
      <c r="AA46" s="441"/>
      <c r="AB46" s="442"/>
      <c r="AC46" s="442"/>
      <c r="AD46" s="442"/>
      <c r="AE46" s="442"/>
      <c r="AF46" s="442"/>
      <c r="AG46" s="442"/>
      <c r="AH46" s="442"/>
      <c r="AI46" s="442"/>
      <c r="AJ46" s="442"/>
      <c r="AK46" s="442"/>
      <c r="AL46" s="442"/>
    </row>
    <row r="47" spans="1:38" x14ac:dyDescent="0.3">
      <c r="A47" s="430" t="str">
        <f>'0_Total'!F2</f>
        <v>Shared e-scooter (first generation, best case)</v>
      </c>
      <c r="B47" s="358" t="str">
        <f>"F"&amp;MID($A47,20,LEN($A47)-20)</f>
        <v>First generation, best case</v>
      </c>
      <c r="C47" s="450">
        <f ca="1">HLOOKUP($A47,'0_Total'!$D$2:$ED$117,ROW('0_Total'!$A$77)-ROW('0_Total'!$A$2)+1,FALSE)+
HLOOKUP($A47,'0_Total'!$D$2:$ED$117,ROW('0_Total'!$A$78)-ROW('0_Total'!$A$2)+1,FALSE)</f>
        <v>0.24376458510873233</v>
      </c>
      <c r="D47" s="450">
        <f>HLOOKUP($A47,'0_Total'!$D$2:$ED$117,ROW('0_Total'!$A$79)-ROW('0_Total'!$A$2)+1,FALSE)</f>
        <v>2.3422712933753951E-2</v>
      </c>
      <c r="E47" s="450">
        <f>HLOOKUP($A47,'0_Total'!$D$2:$ED$117,ROW('0_Total'!$A$81)-ROW('0_Total'!$A$2)+1,FALSE)</f>
        <v>2.7627731661023575E-2</v>
      </c>
      <c r="F47" s="450">
        <f>HLOOKUP($A47,'0_Total'!$D$2:$ED$117,ROW('0_Total'!$A$80)-ROW('0_Total'!$A$2)+1,FALSE)</f>
        <v>5.8800565552279291E-2</v>
      </c>
      <c r="G47" s="452">
        <f t="shared" ref="G47:G63" ca="1" si="0">G$45</f>
        <v>1.4562506099033876</v>
      </c>
      <c r="H47" s="453">
        <f t="shared" ref="H47:H63" ca="1" si="1">H$46</f>
        <v>2.1835613123627797</v>
      </c>
      <c r="I47" s="448"/>
      <c r="J47" s="448">
        <f t="shared" ref="J47:J56" ca="1" si="2">SUM(C47:F47)</f>
        <v>0.35361559525578917</v>
      </c>
      <c r="K47" s="455">
        <f t="shared" ref="K47:K63" ca="1" si="3">RANK(J47,J$47:J$63)</f>
        <v>17</v>
      </c>
      <c r="N47" s="442">
        <f ca="1">SUM(C47:F47)/G$45</f>
        <v>0.24282605813243174</v>
      </c>
      <c r="O47" s="442"/>
      <c r="P47" s="442"/>
      <c r="Q47" s="442"/>
      <c r="R47" s="442"/>
      <c r="S47" s="442"/>
      <c r="T47" s="442"/>
      <c r="U47" s="442"/>
      <c r="V47" s="442"/>
      <c r="W47" s="442"/>
      <c r="X47" s="442"/>
      <c r="Y47" s="442"/>
      <c r="AA47" s="441"/>
      <c r="AB47" s="442"/>
      <c r="AC47" s="442"/>
      <c r="AD47" s="442"/>
      <c r="AE47" s="442"/>
      <c r="AF47" s="442"/>
      <c r="AG47" s="442"/>
      <c r="AH47" s="442"/>
      <c r="AI47" s="442"/>
      <c r="AJ47" s="442"/>
      <c r="AK47" s="442"/>
      <c r="AL47" s="442"/>
    </row>
    <row r="48" spans="1:38" x14ac:dyDescent="0.3">
      <c r="A48" s="430" t="str">
        <f>'0_Total'!H$2</f>
        <v>Shared e-scooter (first generation central case, daily distance 50% higher)</v>
      </c>
      <c r="B48" s="358" t="str">
        <f t="shared" ref="B48:B63" si="4">"F"&amp;MID($A48,20,LEN($A48)-20)</f>
        <v>First generation central case, daily distance 50% higher</v>
      </c>
      <c r="C48" s="450">
        <f ca="1">HLOOKUP($A48,'0_Total'!$D$2:$ED$117,ROW('0_Total'!$A$77)-ROW('0_Total'!$A$2)+1,FALSE)+
HLOOKUP($A48,'0_Total'!$D$2:$ED$117,ROW('0_Total'!$A$78)-ROW('0_Total'!$A$2)+1,FALSE)</f>
        <v>0.54984973957163796</v>
      </c>
      <c r="D48" s="450">
        <f>HLOOKUP($A48,'0_Total'!$D$2:$ED$117,ROW('0_Total'!$A$79)-ROW('0_Total'!$A$2)+1,FALSE)</f>
        <v>5.7785463767107845E-2</v>
      </c>
      <c r="E48" s="450">
        <f>HLOOKUP($A48,'0_Total'!$D$2:$ED$117,ROW('0_Total'!$A$81)-ROW('0_Total'!$A$2)+1,FALSE)</f>
        <v>2.7627731661023575E-2</v>
      </c>
      <c r="F48" s="450">
        <f>HLOOKUP($A48,'0_Total'!$D$2:$ED$117,ROW('0_Total'!$A$80)-ROW('0_Total'!$A$2)+1,FALSE)</f>
        <v>0.33407903701410657</v>
      </c>
      <c r="G48" s="452">
        <f t="shared" ca="1" si="0"/>
        <v>1.4562506099033876</v>
      </c>
      <c r="H48" s="453">
        <f t="shared" ca="1" si="1"/>
        <v>2.1835613123627797</v>
      </c>
      <c r="I48" s="448"/>
      <c r="J48" s="448">
        <f t="shared" ca="1" si="2"/>
        <v>0.96934197201387595</v>
      </c>
      <c r="K48" s="455">
        <f t="shared" ca="1" si="3"/>
        <v>16</v>
      </c>
      <c r="N48" s="442">
        <f t="shared" ref="N48:N63" ca="1" si="5">SUM(C48:F48)/G$45</f>
        <v>0.66564227710653812</v>
      </c>
      <c r="O48" s="442"/>
      <c r="P48" s="442"/>
      <c r="Q48" s="442"/>
      <c r="R48" s="442"/>
      <c r="S48" s="442"/>
      <c r="T48" s="442"/>
      <c r="U48" s="442"/>
      <c r="V48" s="442"/>
      <c r="W48" s="442"/>
      <c r="X48" s="442"/>
      <c r="Y48" s="442"/>
      <c r="AA48" s="441"/>
      <c r="AB48" s="442"/>
      <c r="AC48" s="442"/>
      <c r="AD48" s="442"/>
      <c r="AE48" s="442"/>
      <c r="AF48" s="442"/>
      <c r="AG48" s="442"/>
      <c r="AH48" s="442"/>
      <c r="AI48" s="442"/>
      <c r="AJ48" s="442"/>
      <c r="AK48" s="442"/>
      <c r="AL48" s="442"/>
    </row>
    <row r="49" spans="1:38" x14ac:dyDescent="0.3">
      <c r="A49" s="430" t="str">
        <f>'0_Total'!O$2</f>
        <v>Shared e-scooter (first generation central case, 50% higher lifetime)</v>
      </c>
      <c r="B49" s="358" t="str">
        <f t="shared" si="4"/>
        <v>First generation central case, 50% higher lifetime</v>
      </c>
      <c r="C49" s="450">
        <f ca="1">HLOOKUP($A49,'0_Total'!$D$2:$ED$117,ROW('0_Total'!$A$77)-ROW('0_Total'!$A$2)+1,FALSE)+
HLOOKUP($A49,'0_Total'!$D$2:$ED$117,ROW('0_Total'!$A$78)-ROW('0_Total'!$A$2)+1,FALSE)</f>
        <v>0.45820811630969827</v>
      </c>
      <c r="D49" s="450">
        <f>HLOOKUP($A49,'0_Total'!$D$2:$ED$117,ROW('0_Total'!$A$79)-ROW('0_Total'!$A$2)+1,FALSE)</f>
        <v>7.7047285022810455E-2</v>
      </c>
      <c r="E49" s="450">
        <f>HLOOKUP($A49,'0_Total'!$D$2:$ED$117,ROW('0_Total'!$A$81)-ROW('0_Total'!$A$2)+1,FALSE)</f>
        <v>2.7627731661023575E-2</v>
      </c>
      <c r="F49" s="450">
        <f>HLOOKUP($A49,'0_Total'!$D$2:$ED$117,ROW('0_Total'!$A$80)-ROW('0_Total'!$A$2)+1,FALSE)</f>
        <v>0.50111855552115991</v>
      </c>
      <c r="G49" s="452">
        <f t="shared" ca="1" si="0"/>
        <v>1.4562506099033876</v>
      </c>
      <c r="H49" s="453">
        <f t="shared" ca="1" si="1"/>
        <v>2.1835613123627797</v>
      </c>
      <c r="I49" s="448"/>
      <c r="J49" s="448">
        <f t="shared" ca="1" si="2"/>
        <v>1.0640016885146921</v>
      </c>
      <c r="K49" s="455">
        <f t="shared" ca="1" si="3"/>
        <v>15</v>
      </c>
      <c r="N49" s="442">
        <f t="shared" ca="1" si="5"/>
        <v>0.73064463031214211</v>
      </c>
      <c r="O49" s="442"/>
      <c r="P49" s="442"/>
      <c r="Q49" s="442"/>
      <c r="R49" s="442"/>
      <c r="S49" s="442"/>
      <c r="T49" s="442"/>
      <c r="U49" s="442"/>
      <c r="V49" s="442"/>
      <c r="W49" s="442"/>
      <c r="X49" s="442"/>
      <c r="Y49" s="442"/>
      <c r="AA49" s="441"/>
      <c r="AB49" s="442"/>
      <c r="AC49" s="442"/>
      <c r="AD49" s="442"/>
      <c r="AE49" s="442"/>
      <c r="AF49" s="442"/>
      <c r="AG49" s="442"/>
      <c r="AH49" s="442"/>
      <c r="AI49" s="442"/>
      <c r="AJ49" s="442"/>
      <c r="AK49" s="442"/>
      <c r="AL49" s="442"/>
    </row>
    <row r="50" spans="1:38" x14ac:dyDescent="0.3">
      <c r="A50" s="430" t="str">
        <f>'0_Total'!J$2</f>
        <v>Shared e-scooter (first generation central case, EVs for operational services)</v>
      </c>
      <c r="B50" s="358" t="str">
        <f t="shared" si="4"/>
        <v>First generation central case, EVs for operational services</v>
      </c>
      <c r="C50" s="450">
        <f ca="1">HLOOKUP($A50,'0_Total'!$D$2:$ED$117,ROW('0_Total'!$A$77)-ROW('0_Total'!$A$2)+1,FALSE)+
HLOOKUP($A50,'0_Total'!$D$2:$ED$117,ROW('0_Total'!$A$78)-ROW('0_Total'!$A$2)+1,FALSE)</f>
        <v>0.82477460935745672</v>
      </c>
      <c r="D50" s="450">
        <f>HLOOKUP($A50,'0_Total'!$D$2:$ED$117,ROW('0_Total'!$A$79)-ROW('0_Total'!$A$2)+1,FALSE)</f>
        <v>7.7047285022810455E-2</v>
      </c>
      <c r="E50" s="450">
        <f>HLOOKUP($A50,'0_Total'!$D$2:$ED$117,ROW('0_Total'!$A$81)-ROW('0_Total'!$A$2)+1,FALSE)</f>
        <v>2.7627731661023575E-2</v>
      </c>
      <c r="F50" s="450">
        <f>HLOOKUP($A50,'0_Total'!$D$2:$ED$117,ROW('0_Total'!$A$80)-ROW('0_Total'!$A$2)+1,FALSE)</f>
        <v>0.26460254498525682</v>
      </c>
      <c r="G50" s="452">
        <f t="shared" ca="1" si="0"/>
        <v>1.4562506099033876</v>
      </c>
      <c r="H50" s="453">
        <f t="shared" ca="1" si="1"/>
        <v>2.1835613123627797</v>
      </c>
      <c r="I50" s="448"/>
      <c r="J50" s="448">
        <f t="shared" ca="1" si="2"/>
        <v>1.1940521710265477</v>
      </c>
      <c r="K50" s="455">
        <f t="shared" ca="1" si="3"/>
        <v>13</v>
      </c>
      <c r="N50" s="442">
        <f t="shared" ca="1" si="5"/>
        <v>0.81994964527827052</v>
      </c>
      <c r="O50" s="442"/>
      <c r="P50" s="442"/>
      <c r="Q50" s="442"/>
      <c r="R50" s="442"/>
      <c r="S50" s="442"/>
      <c r="T50" s="442"/>
      <c r="U50" s="442"/>
      <c r="V50" s="442"/>
      <c r="W50" s="442"/>
      <c r="X50" s="442"/>
      <c r="Y50" s="442"/>
      <c r="AA50" s="441"/>
      <c r="AB50" s="442"/>
      <c r="AC50" s="442"/>
      <c r="AD50" s="442"/>
      <c r="AE50" s="442"/>
      <c r="AF50" s="442"/>
      <c r="AG50" s="442"/>
      <c r="AH50" s="442"/>
      <c r="AI50" s="442"/>
      <c r="AJ50" s="442"/>
      <c r="AK50" s="442"/>
      <c r="AL50" s="442"/>
    </row>
    <row r="51" spans="1:38" x14ac:dyDescent="0.3">
      <c r="A51" s="430" t="str">
        <f>'0_Total'!K$2</f>
        <v>Shared e-scooter (first generation central case, 50% more vehicles per servicing trip)</v>
      </c>
      <c r="B51" s="358" t="str">
        <f t="shared" si="4"/>
        <v>First generation central case, 50% more vehicles per servicing trip</v>
      </c>
      <c r="C51" s="450">
        <f ca="1">HLOOKUP($A51,'0_Total'!$D$2:$ED$117,ROW('0_Total'!$A$77)-ROW('0_Total'!$A$2)+1,FALSE)+
HLOOKUP($A51,'0_Total'!$D$2:$ED$117,ROW('0_Total'!$A$78)-ROW('0_Total'!$A$2)+1,FALSE)</f>
        <v>0.82477460935745672</v>
      </c>
      <c r="D51" s="450">
        <f>HLOOKUP($A51,'0_Total'!$D$2:$ED$117,ROW('0_Total'!$A$79)-ROW('0_Total'!$A$2)+1,FALSE)</f>
        <v>5.7785463767107838E-2</v>
      </c>
      <c r="E51" s="450">
        <f>HLOOKUP($A51,'0_Total'!$D$2:$ED$117,ROW('0_Total'!$A$81)-ROW('0_Total'!$A$2)+1,FALSE)</f>
        <v>2.7627731661023575E-2</v>
      </c>
      <c r="F51" s="450">
        <f>HLOOKUP($A51,'0_Total'!$D$2:$ED$117,ROW('0_Total'!$A$80)-ROW('0_Total'!$A$2)+1,FALSE)</f>
        <v>0.33407903701410663</v>
      </c>
      <c r="G51" s="452">
        <f t="shared" ca="1" si="0"/>
        <v>1.4562506099033876</v>
      </c>
      <c r="H51" s="453">
        <f t="shared" ca="1" si="1"/>
        <v>2.1835613123627797</v>
      </c>
      <c r="I51" s="448"/>
      <c r="J51" s="448">
        <f t="shared" ca="1" si="2"/>
        <v>1.2442668417996947</v>
      </c>
      <c r="K51" s="455">
        <f t="shared" ca="1" si="3"/>
        <v>12</v>
      </c>
      <c r="N51" s="442">
        <f t="shared" ca="1" si="5"/>
        <v>0.85443180819147835</v>
      </c>
      <c r="O51" s="442"/>
      <c r="P51" s="442"/>
      <c r="Q51" s="442"/>
      <c r="R51" s="442"/>
      <c r="S51" s="442"/>
      <c r="T51" s="442"/>
      <c r="U51" s="442"/>
      <c r="V51" s="442"/>
      <c r="W51" s="442"/>
      <c r="X51" s="442"/>
      <c r="Y51" s="442"/>
      <c r="AA51" s="441"/>
      <c r="AB51" s="442"/>
      <c r="AC51" s="442"/>
      <c r="AD51" s="442"/>
      <c r="AE51" s="442"/>
      <c r="AF51" s="442"/>
      <c r="AG51" s="442"/>
      <c r="AH51" s="442"/>
      <c r="AI51" s="442"/>
      <c r="AJ51" s="442"/>
      <c r="AK51" s="442"/>
      <c r="AL51" s="442"/>
    </row>
    <row r="52" spans="1:38" x14ac:dyDescent="0.3">
      <c r="A52" s="430" t="str">
        <f>'0_Total'!M$2</f>
        <v>Shared e-scooter (first generation central case, vehicle servicing distance 50% down)</v>
      </c>
      <c r="B52" s="358" t="str">
        <f t="shared" si="4"/>
        <v>First generation central case, vehicle servicing distance 50% down</v>
      </c>
      <c r="C52" s="450">
        <f ca="1">HLOOKUP($A52,'0_Total'!$D$2:$ED$117,ROW('0_Total'!$A$77)-ROW('0_Total'!$A$2)+1,FALSE)+
HLOOKUP($A52,'0_Total'!$D$2:$ED$117,ROW('0_Total'!$A$78)-ROW('0_Total'!$A$2)+1,FALSE)</f>
        <v>0.82477460935745672</v>
      </c>
      <c r="D52" s="450">
        <f>HLOOKUP($A52,'0_Total'!$D$2:$ED$117,ROW('0_Total'!$A$79)-ROW('0_Total'!$A$2)+1,FALSE)</f>
        <v>7.7047285022810455E-2</v>
      </c>
      <c r="E52" s="450">
        <f>HLOOKUP($A52,'0_Total'!$D$2:$ED$117,ROW('0_Total'!$A$81)-ROW('0_Total'!$A$2)+1,FALSE)</f>
        <v>2.7627731661023575E-2</v>
      </c>
      <c r="F52" s="450">
        <f>HLOOKUP($A52,'0_Total'!$D$2:$ED$117,ROW('0_Total'!$A$80)-ROW('0_Total'!$A$2)+1,FALSE)</f>
        <v>0.25055927776057996</v>
      </c>
      <c r="G52" s="452">
        <f t="shared" ca="1" si="0"/>
        <v>1.4562506099033876</v>
      </c>
      <c r="H52" s="453">
        <f t="shared" ca="1" si="1"/>
        <v>2.1835613123627797</v>
      </c>
      <c r="I52" s="448"/>
      <c r="J52" s="448">
        <f t="shared" ca="1" si="2"/>
        <v>1.1800089038018706</v>
      </c>
      <c r="K52" s="455">
        <f t="shared" ca="1" si="3"/>
        <v>14</v>
      </c>
      <c r="N52" s="442">
        <f t="shared" ca="1" si="5"/>
        <v>0.81030620401261577</v>
      </c>
      <c r="O52" s="442"/>
      <c r="P52" s="442"/>
      <c r="Q52" s="442"/>
      <c r="R52" s="442"/>
      <c r="S52" s="442"/>
      <c r="T52" s="442"/>
      <c r="U52" s="442"/>
      <c r="V52" s="442"/>
      <c r="W52" s="442"/>
      <c r="X52" s="442"/>
      <c r="Y52" s="442"/>
      <c r="AA52" s="441"/>
      <c r="AB52" s="442"/>
      <c r="AC52" s="442"/>
      <c r="AD52" s="442"/>
      <c r="AE52" s="442"/>
      <c r="AF52" s="442"/>
      <c r="AG52" s="442"/>
      <c r="AH52" s="442"/>
      <c r="AI52" s="442"/>
      <c r="AJ52" s="442"/>
      <c r="AK52" s="442"/>
      <c r="AL52" s="442"/>
    </row>
    <row r="53" spans="1:38" x14ac:dyDescent="0.3">
      <c r="A53" s="430" t="str">
        <f>'0_Total'!T$2</f>
        <v>Shared e-scooter (first generation central case, low carbon Al smelting)</v>
      </c>
      <c r="B53" s="358" t="str">
        <f t="shared" si="4"/>
        <v>First generation central case, low carbon Al smelting</v>
      </c>
      <c r="C53" s="450">
        <f ca="1">HLOOKUP($A53,'0_Total'!$D$2:$ED$117,ROW('0_Total'!$A$77)-ROW('0_Total'!$A$2)+1,FALSE)+
HLOOKUP($A53,'0_Total'!$D$2:$ED$117,ROW('0_Total'!$A$78)-ROW('0_Total'!$A$2)+1,FALSE)</f>
        <v>0.65816437979357723</v>
      </c>
      <c r="D53" s="450">
        <f>HLOOKUP($A53,'0_Total'!$D$2:$ED$117,ROW('0_Total'!$A$79)-ROW('0_Total'!$A$2)+1,FALSE)</f>
        <v>0.10272971336374727</v>
      </c>
      <c r="E53" s="450">
        <f>HLOOKUP($A53,'0_Total'!$D$2:$ED$117,ROW('0_Total'!$A$81)-ROW('0_Total'!$A$2)+1,FALSE)</f>
        <v>2.7652368632868705E-2</v>
      </c>
      <c r="F53" s="450">
        <f>HLOOKUP($A53,'0_Total'!$D$2:$ED$117,ROW('0_Total'!$A$80)-ROW('0_Total'!$A$2)+1,FALSE)</f>
        <v>0.50111855552115991</v>
      </c>
      <c r="G53" s="452">
        <f t="shared" ca="1" si="0"/>
        <v>1.4562506099033876</v>
      </c>
      <c r="H53" s="453">
        <f t="shared" ca="1" si="1"/>
        <v>2.1835613123627797</v>
      </c>
      <c r="I53" s="448"/>
      <c r="J53" s="448">
        <f t="shared" ca="1" si="2"/>
        <v>1.2896650173113531</v>
      </c>
      <c r="K53" s="455">
        <f t="shared" ca="1" si="3"/>
        <v>11</v>
      </c>
      <c r="N53" s="442">
        <f t="shared" ca="1" si="5"/>
        <v>0.88560650793266527</v>
      </c>
      <c r="O53" s="442"/>
      <c r="P53" s="442"/>
      <c r="Q53" s="442"/>
      <c r="R53" s="442"/>
      <c r="S53" s="442"/>
      <c r="T53" s="442"/>
      <c r="U53" s="442"/>
      <c r="V53" s="442"/>
      <c r="W53" s="442"/>
      <c r="X53" s="442"/>
      <c r="Y53" s="442"/>
      <c r="AA53" s="441"/>
      <c r="AB53" s="442"/>
      <c r="AC53" s="442"/>
      <c r="AD53" s="442"/>
      <c r="AE53" s="442"/>
      <c r="AF53" s="442"/>
      <c r="AG53" s="442"/>
      <c r="AH53" s="442"/>
      <c r="AI53" s="442"/>
      <c r="AJ53" s="442"/>
      <c r="AK53" s="442"/>
      <c r="AL53" s="442"/>
    </row>
    <row r="54" spans="1:38" x14ac:dyDescent="0.3">
      <c r="A54" s="430" t="str">
        <f>'0_Total'!Q2</f>
        <v>Shared e-scooter (first generation central case, 25% less battery capacity)</v>
      </c>
      <c r="B54" s="358" t="str">
        <f t="shared" si="4"/>
        <v>First generation central case, 25% less battery capacity</v>
      </c>
      <c r="C54" s="450">
        <f ca="1">HLOOKUP($A54,'0_Total'!$D$2:$ED$117,ROW('0_Total'!$A$77)-ROW('0_Total'!$A$2)+1,FALSE)+
HLOOKUP($A54,'0_Total'!$D$2:$ED$117,ROW('0_Total'!$A$78)-ROW('0_Total'!$A$2)+1,FALSE)</f>
        <v>0.7813417489363973</v>
      </c>
      <c r="D54" s="450">
        <f>HLOOKUP($A54,'0_Total'!$D$2:$ED$117,ROW('0_Total'!$A$79)-ROW('0_Total'!$A$2)+1,FALSE)</f>
        <v>0.10272971336374727</v>
      </c>
      <c r="E54" s="450">
        <f>HLOOKUP($A54,'0_Total'!$D$2:$ED$117,ROW('0_Total'!$A$81)-ROW('0_Total'!$A$2)+1,FALSE)</f>
        <v>2.7627731661023575E-2</v>
      </c>
      <c r="F54" s="450">
        <f>HLOOKUP($A54,'0_Total'!$D$2:$ED$117,ROW('0_Total'!$A$80)-ROW('0_Total'!$A$2)+1,FALSE)</f>
        <v>0.50111855552115991</v>
      </c>
      <c r="G54" s="452">
        <f t="shared" ca="1" si="0"/>
        <v>1.4562506099033876</v>
      </c>
      <c r="H54" s="453">
        <f t="shared" ca="1" si="1"/>
        <v>2.1835613123627797</v>
      </c>
      <c r="I54" s="448"/>
      <c r="J54" s="448">
        <f t="shared" ca="1" si="2"/>
        <v>1.4128177494823282</v>
      </c>
      <c r="K54" s="455">
        <f t="shared" ca="1" si="3"/>
        <v>9</v>
      </c>
      <c r="N54" s="442">
        <f t="shared" ca="1" si="5"/>
        <v>0.97017487228799104</v>
      </c>
      <c r="O54" s="442"/>
      <c r="P54" s="442"/>
      <c r="Q54" s="442"/>
      <c r="R54" s="442"/>
      <c r="S54" s="442"/>
      <c r="T54" s="442"/>
      <c r="U54" s="442"/>
      <c r="V54" s="442"/>
      <c r="W54" s="442"/>
      <c r="X54" s="442"/>
      <c r="Y54" s="442"/>
      <c r="AA54" s="441"/>
      <c r="AB54" s="442"/>
      <c r="AC54" s="442"/>
      <c r="AD54" s="442"/>
      <c r="AE54" s="442"/>
      <c r="AF54" s="442"/>
      <c r="AG54" s="442"/>
      <c r="AH54" s="442"/>
      <c r="AI54" s="442"/>
      <c r="AJ54" s="442"/>
      <c r="AK54" s="442"/>
      <c r="AL54" s="442"/>
    </row>
    <row r="55" spans="1:38" x14ac:dyDescent="0.3">
      <c r="A55" s="430" t="str">
        <f>'0_Total'!R2</f>
        <v>Shared e-scooter (first generation central case, 25% more battery capacity)</v>
      </c>
      <c r="B55" s="358" t="str">
        <f t="shared" si="4"/>
        <v>First generation central case, 25% more battery capacity</v>
      </c>
      <c r="C55" s="450">
        <f ca="1">HLOOKUP($A55,'0_Total'!$D$2:$ED$117,ROW('0_Total'!$A$77)-ROW('0_Total'!$A$2)+1,FALSE)+
HLOOKUP($A55,'0_Total'!$D$2:$ED$117,ROW('0_Total'!$A$78)-ROW('0_Total'!$A$2)+1,FALSE)</f>
        <v>0.86820746977851582</v>
      </c>
      <c r="D55" s="450">
        <f>HLOOKUP($A55,'0_Total'!$D$2:$ED$117,ROW('0_Total'!$A$79)-ROW('0_Total'!$A$2)+1,FALSE)</f>
        <v>0.10272971336374727</v>
      </c>
      <c r="E55" s="450">
        <f>HLOOKUP($A55,'0_Total'!$D$2:$ED$117,ROW('0_Total'!$A$81)-ROW('0_Total'!$A$2)+1,FALSE)</f>
        <v>2.7627731661023575E-2</v>
      </c>
      <c r="F55" s="450">
        <f>HLOOKUP($A55,'0_Total'!$D$2:$ED$117,ROW('0_Total'!$A$80)-ROW('0_Total'!$A$2)+1,FALSE)</f>
        <v>0.50111855552115991</v>
      </c>
      <c r="G55" s="452">
        <f t="shared" ca="1" si="0"/>
        <v>1.4562506099033876</v>
      </c>
      <c r="H55" s="453">
        <f t="shared" ca="1" si="1"/>
        <v>2.1835613123627797</v>
      </c>
      <c r="I55" s="448"/>
      <c r="J55" s="448">
        <f t="shared" ca="1" si="2"/>
        <v>1.4996834703244466</v>
      </c>
      <c r="K55" s="455">
        <f t="shared" ca="1" si="3"/>
        <v>7</v>
      </c>
      <c r="N55" s="442">
        <f ca="1">SUM(C55:F55)/G$45</f>
        <v>1.0298251277120085</v>
      </c>
      <c r="O55" s="442"/>
      <c r="P55" s="442"/>
      <c r="Q55" s="442"/>
      <c r="R55" s="442"/>
      <c r="S55" s="442"/>
      <c r="T55" s="442"/>
      <c r="U55" s="442"/>
      <c r="V55" s="442"/>
      <c r="W55" s="442"/>
      <c r="X55" s="442"/>
      <c r="Y55" s="442"/>
      <c r="AA55" s="441"/>
      <c r="AB55" s="442"/>
      <c r="AC55" s="442"/>
      <c r="AD55" s="442"/>
      <c r="AE55" s="442"/>
      <c r="AF55" s="442"/>
      <c r="AG55" s="442"/>
      <c r="AH55" s="442"/>
      <c r="AI55" s="442"/>
      <c r="AJ55" s="442"/>
      <c r="AK55" s="442"/>
      <c r="AL55" s="442"/>
    </row>
    <row r="56" spans="1:38" x14ac:dyDescent="0.3">
      <c r="A56" s="430" t="str">
        <f>'0_Total'!V$2</f>
        <v>Shared e-scooter (first generation central case, low carbon electricity in use phase)</v>
      </c>
      <c r="B56" s="358" t="str">
        <f t="shared" si="4"/>
        <v>First generation central case, low carbon electricity in use phase</v>
      </c>
      <c r="C56" s="450">
        <f ca="1">HLOOKUP($A56,'0_Total'!$D$2:$ED$117,ROW('0_Total'!$A$77)-ROW('0_Total'!$A$2)+1,FALSE)+
HLOOKUP($A56,'0_Total'!$D$2:$ED$117,ROW('0_Total'!$A$78)-ROW('0_Total'!$A$2)+1,FALSE)</f>
        <v>0.82477460935745672</v>
      </c>
      <c r="D56" s="450">
        <f>HLOOKUP($A56,'0_Total'!$D$2:$ED$117,ROW('0_Total'!$A$79)-ROW('0_Total'!$A$2)+1,FALSE)</f>
        <v>4.1640378548895907E-2</v>
      </c>
      <c r="E56" s="450">
        <f>HLOOKUP($A56,'0_Total'!$D$2:$ED$117,ROW('0_Total'!$A$81)-ROW('0_Total'!$A$2)+1,FALSE)</f>
        <v>2.7627731661023575E-2</v>
      </c>
      <c r="F56" s="450">
        <f>HLOOKUP($A56,'0_Total'!$D$2:$ED$117,ROW('0_Total'!$A$80)-ROW('0_Total'!$A$2)+1,FALSE)</f>
        <v>0.50111855552115991</v>
      </c>
      <c r="G56" s="452">
        <f t="shared" ca="1" si="0"/>
        <v>1.4562506099033876</v>
      </c>
      <c r="H56" s="453">
        <f t="shared" ca="1" si="1"/>
        <v>2.1835613123627797</v>
      </c>
      <c r="I56" s="448"/>
      <c r="J56" s="448">
        <f t="shared" ca="1" si="2"/>
        <v>1.3951612750885363</v>
      </c>
      <c r="K56" s="455">
        <f t="shared" ca="1" si="3"/>
        <v>10</v>
      </c>
      <c r="N56" s="442">
        <f ca="1">SUM(C56:F56)/G$45</f>
        <v>0.95805025975652347</v>
      </c>
      <c r="O56" s="442"/>
      <c r="P56" s="442"/>
      <c r="Q56" s="442"/>
      <c r="R56" s="442"/>
      <c r="S56" s="442"/>
      <c r="T56" s="442"/>
      <c r="U56" s="442"/>
      <c r="V56" s="442"/>
      <c r="W56" s="442"/>
      <c r="X56" s="442"/>
      <c r="Y56" s="442"/>
      <c r="AA56" s="441"/>
      <c r="AB56" s="442"/>
      <c r="AC56" s="442"/>
      <c r="AD56" s="442"/>
      <c r="AE56" s="442"/>
      <c r="AF56" s="442"/>
      <c r="AG56" s="442"/>
      <c r="AH56" s="442"/>
      <c r="AI56" s="442"/>
      <c r="AJ56" s="442"/>
      <c r="AK56" s="442"/>
      <c r="AL56" s="442"/>
    </row>
    <row r="57" spans="1:38" x14ac:dyDescent="0.3">
      <c r="A57" s="430" t="str">
        <f>'0_Total'!U$2</f>
        <v>Shared e-scooter (first generation central case, high carbon electricity in use phase)</v>
      </c>
      <c r="B57" s="358" t="str">
        <f t="shared" si="4"/>
        <v>First generation central case, high carbon electricity in use phase</v>
      </c>
      <c r="C57" s="450">
        <f ca="1">HLOOKUP($A57,'0_Total'!$D$2:$ED$117,ROW('0_Total'!$A$77)-ROW('0_Total'!$A$2)+1,FALSE)+
HLOOKUP($A57,'0_Total'!$D$2:$ED$117,ROW('0_Total'!$A$78)-ROW('0_Total'!$A$2)+1,FALSE)</f>
        <v>0.82477460935745672</v>
      </c>
      <c r="D57" s="450">
        <f>HLOOKUP($A57,'0_Total'!$D$2:$ED$117,ROW('0_Total'!$A$79)-ROW('0_Total'!$A$2)+1,FALSE)</f>
        <v>0.11809283849514444</v>
      </c>
      <c r="E57" s="450">
        <f>HLOOKUP($A57,'0_Total'!$D$2:$ED$117,ROW('0_Total'!$A$81)-ROW('0_Total'!$A$2)+1,FALSE)</f>
        <v>2.7652368632868705E-2</v>
      </c>
      <c r="F57" s="450">
        <f>HLOOKUP($A57,'0_Total'!$D$2:$ED$117,ROW('0_Total'!$A$80)-ROW('0_Total'!$A$2)+1,FALSE)</f>
        <v>0.50111855552115991</v>
      </c>
      <c r="G57" s="452">
        <f t="shared" ca="1" si="0"/>
        <v>1.4562506099033876</v>
      </c>
      <c r="H57" s="453">
        <f t="shared" ca="1" si="1"/>
        <v>2.1835613123627797</v>
      </c>
      <c r="I57" s="448"/>
      <c r="J57" s="448">
        <f t="shared" ref="J57:J62" ca="1" si="6">SUM(C57:F57)</f>
        <v>1.4716383720066297</v>
      </c>
      <c r="K57" s="455">
        <f t="shared" ca="1" si="3"/>
        <v>8</v>
      </c>
      <c r="N57" s="442">
        <f t="shared" ca="1" si="5"/>
        <v>1.0105666991646878</v>
      </c>
      <c r="O57" s="442"/>
      <c r="P57" s="442"/>
      <c r="Q57" s="442"/>
      <c r="R57" s="442"/>
      <c r="S57" s="442"/>
      <c r="T57" s="442"/>
      <c r="U57" s="442"/>
      <c r="V57" s="442"/>
      <c r="W57" s="442"/>
      <c r="X57" s="442"/>
      <c r="Y57" s="442"/>
      <c r="AA57" s="441"/>
      <c r="AB57" s="442"/>
      <c r="AC57" s="442"/>
      <c r="AD57" s="442"/>
      <c r="AE57" s="442"/>
      <c r="AF57" s="442"/>
      <c r="AG57" s="442"/>
      <c r="AH57" s="442"/>
      <c r="AI57" s="442"/>
      <c r="AJ57" s="442"/>
      <c r="AK57" s="442"/>
      <c r="AL57" s="442"/>
    </row>
    <row r="58" spans="1:38" x14ac:dyDescent="0.3">
      <c r="A58" s="430" t="str">
        <f>'0_Total'!S$2</f>
        <v>Shared e-scooter (first generation central case, 25% heavier vehicle)</v>
      </c>
      <c r="B58" s="358" t="str">
        <f t="shared" si="4"/>
        <v>First generation central case, 25% heavier vehicle</v>
      </c>
      <c r="C58" s="450">
        <f ca="1">HLOOKUP($A58,'0_Total'!$D$2:$ED$117,ROW('0_Total'!$A$77)-ROW('0_Total'!$A$2)+1,FALSE)+
HLOOKUP($A58,'0_Total'!$D$2:$ED$117,ROW('0_Total'!$A$78)-ROW('0_Total'!$A$2)+1,FALSE)</f>
        <v>0.97666589740555243</v>
      </c>
      <c r="D58" s="450">
        <f>HLOOKUP($A58,'0_Total'!$D$2:$ED$117,ROW('0_Total'!$A$79)-ROW('0_Total'!$A$2)+1,FALSE)</f>
        <v>0.10272971336374727</v>
      </c>
      <c r="E58" s="450">
        <f>HLOOKUP($A58,'0_Total'!$D$2:$ED$117,ROW('0_Total'!$A$81)-ROW('0_Total'!$A$2)+1,FALSE)</f>
        <v>2.7627731661023575E-2</v>
      </c>
      <c r="F58" s="450">
        <f>HLOOKUP($A58,'0_Total'!$D$2:$ED$117,ROW('0_Total'!$A$80)-ROW('0_Total'!$A$2)+1,FALSE)</f>
        <v>0.50111855552115991</v>
      </c>
      <c r="G58" s="452">
        <f t="shared" ca="1" si="0"/>
        <v>1.4562506099033876</v>
      </c>
      <c r="H58" s="453">
        <f t="shared" ca="1" si="1"/>
        <v>2.1835613123627797</v>
      </c>
      <c r="I58" s="448"/>
      <c r="J58" s="448">
        <f t="shared" ca="1" si="6"/>
        <v>1.6081418979514832</v>
      </c>
      <c r="K58" s="455">
        <f t="shared" ca="1" si="3"/>
        <v>6</v>
      </c>
      <c r="N58" s="442">
        <f t="shared" ca="1" si="5"/>
        <v>1.104302986735348</v>
      </c>
      <c r="O58" s="442"/>
      <c r="P58" s="442"/>
      <c r="Q58" s="442"/>
      <c r="R58" s="442"/>
      <c r="S58" s="442"/>
      <c r="T58" s="442"/>
      <c r="U58" s="442"/>
      <c r="V58" s="442"/>
      <c r="W58" s="442"/>
      <c r="X58" s="442"/>
      <c r="Y58" s="442"/>
      <c r="AA58" s="441"/>
      <c r="AB58" s="442"/>
      <c r="AC58" s="442"/>
      <c r="AD58" s="442"/>
      <c r="AE58" s="442"/>
      <c r="AF58" s="442"/>
      <c r="AG58" s="442"/>
      <c r="AH58" s="442"/>
      <c r="AI58" s="442"/>
      <c r="AJ58" s="442"/>
      <c r="AK58" s="442"/>
      <c r="AL58" s="442"/>
    </row>
    <row r="59" spans="1:38" x14ac:dyDescent="0.3">
      <c r="A59" s="430" t="str">
        <f>'0_Total'!N$2</f>
        <v>Shared e-scooter (first generation central case, vehicle servicing distance 50% up)</v>
      </c>
      <c r="B59" s="358" t="str">
        <f t="shared" si="4"/>
        <v>First generation central case, vehicle servicing distance 50% up</v>
      </c>
      <c r="C59" s="450">
        <f ca="1">HLOOKUP($A59,'0_Total'!$D$2:$ED$117,ROW('0_Total'!$A$77)-ROW('0_Total'!$A$2)+1,FALSE)+
HLOOKUP($A59,'0_Total'!$D$2:$ED$117,ROW('0_Total'!$A$78)-ROW('0_Total'!$A$2)+1,FALSE)</f>
        <v>0.82477460935745672</v>
      </c>
      <c r="D59" s="450">
        <f>HLOOKUP($A59,'0_Total'!$D$2:$ED$117,ROW('0_Total'!$A$79)-ROW('0_Total'!$A$2)+1,FALSE)</f>
        <v>7.7047285022810455E-2</v>
      </c>
      <c r="E59" s="450">
        <f>HLOOKUP($A59,'0_Total'!$D$2:$ED$117,ROW('0_Total'!$A$81)-ROW('0_Total'!$A$2)+1,FALSE)</f>
        <v>2.7627731661023575E-2</v>
      </c>
      <c r="F59" s="450">
        <f>HLOOKUP($A59,'0_Total'!$D$2:$ED$117,ROW('0_Total'!$A$80)-ROW('0_Total'!$A$2)+1,FALSE)</f>
        <v>0.75167783328173987</v>
      </c>
      <c r="G59" s="452">
        <f t="shared" ca="1" si="0"/>
        <v>1.4562506099033876</v>
      </c>
      <c r="H59" s="453">
        <f t="shared" ca="1" si="1"/>
        <v>2.1835613123627797</v>
      </c>
      <c r="I59" s="448"/>
      <c r="J59" s="448">
        <f t="shared" ca="1" si="6"/>
        <v>1.6811274593230308</v>
      </c>
      <c r="K59" s="455">
        <f t="shared" ca="1" si="3"/>
        <v>5</v>
      </c>
      <c r="N59" s="442">
        <f t="shared" ca="1" si="5"/>
        <v>1.1544218061715092</v>
      </c>
      <c r="O59" s="442"/>
      <c r="P59" s="442"/>
      <c r="Q59" s="442"/>
      <c r="R59" s="442"/>
      <c r="S59" s="442"/>
      <c r="T59" s="442"/>
      <c r="U59" s="442"/>
      <c r="V59" s="442"/>
      <c r="W59" s="442"/>
      <c r="X59" s="442"/>
      <c r="Y59" s="442"/>
      <c r="AA59" s="441"/>
      <c r="AB59" s="442"/>
      <c r="AC59" s="442"/>
      <c r="AD59" s="442"/>
      <c r="AE59" s="442"/>
      <c r="AF59" s="442"/>
      <c r="AG59" s="442"/>
      <c r="AH59" s="442"/>
      <c r="AI59" s="442"/>
      <c r="AJ59" s="442"/>
      <c r="AK59" s="442"/>
      <c r="AL59" s="442"/>
    </row>
    <row r="60" spans="1:38" x14ac:dyDescent="0.3">
      <c r="A60" s="430" t="str">
        <f>'0_Total'!L$2</f>
        <v>Shared e-scooter (first generation central case, 50% less vehicles per servcing trip)</v>
      </c>
      <c r="B60" s="358" t="str">
        <f t="shared" si="4"/>
        <v>First generation central case, 50% less vehicles per servcing trip</v>
      </c>
      <c r="C60" s="450">
        <f ca="1">HLOOKUP($A60,'0_Total'!$D$2:$ED$117,ROW('0_Total'!$A$77)-ROW('0_Total'!$A$2)+1,FALSE)+
HLOOKUP($A60,'0_Total'!$D$2:$ED$117,ROW('0_Total'!$A$78)-ROW('0_Total'!$A$2)+1,FALSE)</f>
        <v>0.82477460935745672</v>
      </c>
      <c r="D60" s="450">
        <f>HLOOKUP($A60,'0_Total'!$D$2:$ED$117,ROW('0_Total'!$A$79)-ROW('0_Total'!$A$2)+1,FALSE)</f>
        <v>7.7047285022810455E-2</v>
      </c>
      <c r="E60" s="450">
        <f>HLOOKUP($A60,'0_Total'!$D$2:$ED$117,ROW('0_Total'!$A$81)-ROW('0_Total'!$A$2)+1,FALSE)</f>
        <v>2.7627731661023575E-2</v>
      </c>
      <c r="F60" s="450">
        <f>HLOOKUP($A60,'0_Total'!$D$2:$ED$117,ROW('0_Total'!$A$80)-ROW('0_Total'!$A$2)+1,FALSE)</f>
        <v>1.0022371110423198</v>
      </c>
      <c r="G60" s="452">
        <f t="shared" ca="1" si="0"/>
        <v>1.4562506099033876</v>
      </c>
      <c r="H60" s="453">
        <f t="shared" ca="1" si="1"/>
        <v>2.1835613123627797</v>
      </c>
      <c r="I60" s="448"/>
      <c r="J60" s="448">
        <f ca="1">SUM(C60:F60)</f>
        <v>1.9316867370836106</v>
      </c>
      <c r="K60" s="455">
        <f t="shared" ca="1" si="3"/>
        <v>4</v>
      </c>
      <c r="N60" s="442">
        <f t="shared" ca="1" si="5"/>
        <v>1.3264796072509559</v>
      </c>
      <c r="O60" s="442"/>
      <c r="P60" s="442"/>
      <c r="Q60" s="442"/>
      <c r="R60" s="442"/>
      <c r="S60" s="442"/>
      <c r="T60" s="442"/>
      <c r="U60" s="442"/>
      <c r="V60" s="442"/>
      <c r="W60" s="442"/>
      <c r="X60" s="442"/>
      <c r="Y60" s="442"/>
      <c r="AA60" s="441"/>
      <c r="AB60" s="442"/>
      <c r="AC60" s="442"/>
      <c r="AD60" s="442"/>
      <c r="AE60" s="442"/>
      <c r="AF60" s="442"/>
      <c r="AG60" s="442"/>
      <c r="AH60" s="442"/>
      <c r="AI60" s="442"/>
      <c r="AJ60" s="442"/>
      <c r="AK60" s="442"/>
      <c r="AL60" s="442"/>
    </row>
    <row r="61" spans="1:38" x14ac:dyDescent="0.3">
      <c r="A61" s="430" t="str">
        <f>'0_Total'!P$2</f>
        <v>Shared e-scooter (first generation central case, 50% lower lifetime)</v>
      </c>
      <c r="B61" s="358" t="str">
        <f t="shared" si="4"/>
        <v>First generation central case, 50% lower lifetime</v>
      </c>
      <c r="C61" s="450">
        <f ca="1">HLOOKUP($A61,'0_Total'!$D$2:$ED$117,ROW('0_Total'!$A$77)-ROW('0_Total'!$A$2)+1,FALSE)+
HLOOKUP($A61,'0_Total'!$D$2:$ED$117,ROW('0_Total'!$A$78)-ROW('0_Total'!$A$2)+1,FALSE)</f>
        <v>1.3746243489290948</v>
      </c>
      <c r="D61" s="450">
        <f>HLOOKUP($A61,'0_Total'!$D$2:$ED$117,ROW('0_Total'!$A$79)-ROW('0_Total'!$A$2)+1,FALSE)</f>
        <v>7.7047285022810455E-2</v>
      </c>
      <c r="E61" s="450">
        <f>HLOOKUP($A61,'0_Total'!$D$2:$ED$117,ROW('0_Total'!$A$81)-ROW('0_Total'!$A$2)+1,FALSE)</f>
        <v>2.7627731661023575E-2</v>
      </c>
      <c r="F61" s="450">
        <f>HLOOKUP($A61,'0_Total'!$D$2:$ED$117,ROW('0_Total'!$A$80)-ROW('0_Total'!$A$2)+1,FALSE)</f>
        <v>0.50111855552115991</v>
      </c>
      <c r="G61" s="452">
        <f t="shared" ca="1" si="0"/>
        <v>1.4562506099033876</v>
      </c>
      <c r="H61" s="453">
        <f t="shared" ca="1" si="1"/>
        <v>2.1835613123627797</v>
      </c>
      <c r="I61" s="448"/>
      <c r="J61" s="448">
        <f t="shared" ca="1" si="6"/>
        <v>1.9804179211340889</v>
      </c>
      <c r="K61" s="455">
        <f t="shared" ca="1" si="3"/>
        <v>3</v>
      </c>
      <c r="N61" s="442">
        <f t="shared" ca="1" si="5"/>
        <v>1.3599430672619435</v>
      </c>
      <c r="O61" s="442"/>
      <c r="P61" s="442"/>
      <c r="Q61" s="442"/>
      <c r="R61" s="442"/>
      <c r="S61" s="442"/>
      <c r="T61" s="442"/>
      <c r="U61" s="442"/>
      <c r="V61" s="442"/>
      <c r="W61" s="442"/>
      <c r="X61" s="442"/>
      <c r="Y61" s="442"/>
      <c r="AA61" s="441"/>
      <c r="AB61" s="442"/>
      <c r="AC61" s="442"/>
      <c r="AD61" s="442"/>
      <c r="AE61" s="442"/>
      <c r="AF61" s="442"/>
      <c r="AG61" s="442"/>
      <c r="AH61" s="442"/>
      <c r="AI61" s="442"/>
      <c r="AJ61" s="442"/>
      <c r="AK61" s="442"/>
      <c r="AL61" s="442"/>
    </row>
    <row r="62" spans="1:38" x14ac:dyDescent="0.3">
      <c r="A62" s="430" t="str">
        <f>'0_Total'!G$2</f>
        <v>Shared e-scooter (first generation central case, daily distance 50% lower)</v>
      </c>
      <c r="B62" s="358" t="str">
        <f t="shared" si="4"/>
        <v>First generation central case, daily distance 50% lower</v>
      </c>
      <c r="C62" s="450">
        <f ca="1">HLOOKUP($A62,'0_Total'!$D$2:$ED$117,ROW('0_Total'!$A$77)-ROW('0_Total'!$A$2)+1,FALSE)+
HLOOKUP($A62,'0_Total'!$D$2:$ED$117,ROW('0_Total'!$A$78)-ROW('0_Total'!$A$2)+1,FALSE)</f>
        <v>1.6495492187149134</v>
      </c>
      <c r="D62" s="450">
        <f>HLOOKUP($A62,'0_Total'!$D$2:$ED$117,ROW('0_Total'!$A$79)-ROW('0_Total'!$A$2)+1,FALSE)</f>
        <v>5.7785463767107838E-2</v>
      </c>
      <c r="E62" s="450">
        <f>HLOOKUP($A62,'0_Total'!$D$2:$ED$117,ROW('0_Total'!$A$81)-ROW('0_Total'!$A$2)+1,FALSE)</f>
        <v>2.7627731661023575E-2</v>
      </c>
      <c r="F62" s="450">
        <f>HLOOKUP($A62,'0_Total'!$D$2:$ED$117,ROW('0_Total'!$A$80)-ROW('0_Total'!$A$2)+1,FALSE)</f>
        <v>1.0022371110423198</v>
      </c>
      <c r="G62" s="452">
        <f ca="1">G$45</f>
        <v>1.4562506099033876</v>
      </c>
      <c r="H62" s="453">
        <f t="shared" ca="1" si="1"/>
        <v>2.1835613123627797</v>
      </c>
      <c r="I62" s="448"/>
      <c r="J62" s="448">
        <f t="shared" ca="1" si="6"/>
        <v>2.7371995251853649</v>
      </c>
      <c r="K62" s="455">
        <f t="shared" ca="1" si="3"/>
        <v>2</v>
      </c>
      <c r="N62" s="442">
        <f t="shared" ca="1" si="5"/>
        <v>1.8796212043248239</v>
      </c>
      <c r="O62" s="442"/>
      <c r="P62" s="442"/>
      <c r="Q62" s="442"/>
      <c r="R62" s="442"/>
      <c r="S62" s="442"/>
      <c r="T62" s="442"/>
      <c r="U62" s="442"/>
      <c r="V62" s="442"/>
      <c r="W62" s="442"/>
      <c r="X62" s="442"/>
      <c r="Y62" s="442"/>
      <c r="AA62" s="441"/>
      <c r="AB62" s="442"/>
      <c r="AC62" s="442"/>
      <c r="AD62" s="442"/>
      <c r="AE62" s="442"/>
      <c r="AF62" s="442"/>
      <c r="AG62" s="442"/>
      <c r="AH62" s="442"/>
      <c r="AI62" s="442"/>
      <c r="AJ62" s="442"/>
      <c r="AK62" s="442"/>
      <c r="AL62" s="442"/>
    </row>
    <row r="63" spans="1:38" x14ac:dyDescent="0.3">
      <c r="A63" s="430" t="str">
        <f>'0_Total'!E2</f>
        <v>Shared e-scooter (first generation, worst case)</v>
      </c>
      <c r="B63" s="358" t="str">
        <f t="shared" si="4"/>
        <v>First generation, worst case</v>
      </c>
      <c r="C63" s="450">
        <f ca="1">HLOOKUP($A63,'0_Total'!$D$2:$ED$117,ROW('0_Total'!$A$77)-ROW('0_Total'!$A$2)+1,FALSE)+
HLOOKUP($A63,'0_Total'!$D$2:$ED$117,ROW('0_Total'!$A$78)-ROW('0_Total'!$A$2)+1,FALSE)</f>
        <v>3.2555529913518422</v>
      </c>
      <c r="D63" s="450">
        <f>HLOOKUP($A63,'0_Total'!$D$2:$ED$117,ROW('0_Total'!$A$79)-ROW('0_Total'!$A$2)+1,FALSE)</f>
        <v>6.6427221653518748E-2</v>
      </c>
      <c r="E63" s="450">
        <f>HLOOKUP($A63,'0_Total'!$D$2:$ED$117,ROW('0_Total'!$A$81)-ROW('0_Total'!$A$2)+1,FALSE)</f>
        <v>2.7627731661023575E-2</v>
      </c>
      <c r="F63" s="450">
        <f>HLOOKUP($A63,'0_Total'!$D$2:$ED$117,ROW('0_Total'!$A$80)-ROW('0_Total'!$A$2)+1,FALSE)</f>
        <v>3.0067113331269595</v>
      </c>
      <c r="G63" s="452">
        <f t="shared" ca="1" si="0"/>
        <v>1.4562506099033876</v>
      </c>
      <c r="H63" s="453">
        <f t="shared" ca="1" si="1"/>
        <v>2.1835613123627797</v>
      </c>
      <c r="I63" s="448"/>
      <c r="J63" s="448">
        <f ca="1">SUM(C63:F63)</f>
        <v>6.3563192777933439</v>
      </c>
      <c r="K63" s="455">
        <f t="shared" ca="1" si="3"/>
        <v>1</v>
      </c>
      <c r="N63" s="442">
        <f t="shared" ca="1" si="5"/>
        <v>4.3648526116085495</v>
      </c>
      <c r="O63" s="442"/>
      <c r="P63" s="442"/>
      <c r="Q63" s="442"/>
      <c r="R63" s="442"/>
      <c r="S63" s="442"/>
      <c r="T63" s="442"/>
      <c r="U63" s="442"/>
      <c r="V63" s="442"/>
      <c r="W63" s="442"/>
      <c r="X63" s="442"/>
      <c r="Y63" s="442"/>
      <c r="AA63" s="441"/>
      <c r="AB63" s="442"/>
      <c r="AC63" s="442"/>
      <c r="AD63" s="442"/>
      <c r="AE63" s="442"/>
      <c r="AF63" s="442"/>
      <c r="AG63" s="442"/>
      <c r="AH63" s="442"/>
      <c r="AI63" s="442"/>
      <c r="AJ63" s="442"/>
      <c r="AK63" s="442"/>
      <c r="AL63" s="442"/>
    </row>
    <row r="64" spans="1:38" x14ac:dyDescent="0.3">
      <c r="B64" s="358"/>
      <c r="C64" s="357"/>
      <c r="D64" s="357"/>
      <c r="E64" s="357"/>
      <c r="F64" s="357"/>
      <c r="G64" s="357"/>
      <c r="H64" s="445"/>
      <c r="I64" s="357"/>
      <c r="J64" s="357"/>
      <c r="N64" s="441"/>
      <c r="O64" s="442"/>
      <c r="P64" s="442"/>
      <c r="Q64" s="442"/>
      <c r="R64" s="442"/>
      <c r="S64" s="442"/>
      <c r="T64" s="442"/>
      <c r="U64" s="442"/>
      <c r="V64" s="442"/>
      <c r="W64" s="442"/>
      <c r="X64" s="442"/>
      <c r="Y64" s="442"/>
      <c r="AA64" s="441"/>
      <c r="AB64" s="442"/>
      <c r="AC64" s="442"/>
      <c r="AD64" s="442"/>
      <c r="AE64" s="442"/>
      <c r="AF64" s="442"/>
      <c r="AG64" s="442"/>
      <c r="AH64" s="442"/>
      <c r="AI64" s="442"/>
      <c r="AJ64" s="442"/>
      <c r="AK64" s="442"/>
      <c r="AL64" s="442"/>
    </row>
    <row r="65" spans="2:38" x14ac:dyDescent="0.3">
      <c r="B65" s="358"/>
      <c r="C65" s="357"/>
      <c r="D65" s="357"/>
      <c r="E65" s="357"/>
      <c r="F65" s="357"/>
      <c r="G65" s="357"/>
      <c r="H65" s="445"/>
      <c r="I65" s="357"/>
      <c r="J65" s="357"/>
      <c r="N65" s="441"/>
      <c r="O65" s="442"/>
      <c r="P65" s="442"/>
      <c r="Q65" s="442"/>
      <c r="R65" s="442"/>
      <c r="S65" s="442"/>
      <c r="T65" s="442"/>
      <c r="U65" s="442"/>
      <c r="V65" s="442"/>
      <c r="W65" s="442"/>
      <c r="X65" s="442"/>
      <c r="Y65" s="442"/>
      <c r="AA65" s="441"/>
      <c r="AB65" s="442"/>
      <c r="AC65" s="442"/>
      <c r="AD65" s="442"/>
      <c r="AE65" s="442"/>
      <c r="AF65" s="442"/>
      <c r="AG65" s="442"/>
      <c r="AH65" s="442"/>
      <c r="AI65" s="442"/>
      <c r="AJ65" s="442"/>
      <c r="AK65" s="442"/>
      <c r="AL65" s="442"/>
    </row>
    <row r="66" spans="2:38" x14ac:dyDescent="0.3">
      <c r="B66" s="358"/>
      <c r="C66" s="357"/>
      <c r="D66" s="357"/>
      <c r="E66" s="357"/>
      <c r="F66" s="357"/>
      <c r="G66" s="357"/>
      <c r="H66" s="445"/>
      <c r="I66" s="357"/>
      <c r="J66" s="357"/>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38" x14ac:dyDescent="0.3">
      <c r="B67" s="349"/>
      <c r="C67" s="349"/>
      <c r="D67" s="349"/>
      <c r="E67" s="349"/>
      <c r="F67" s="349"/>
      <c r="G67" s="349"/>
      <c r="H67" s="349"/>
      <c r="I67" s="349"/>
      <c r="J67" s="349"/>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38"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38"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38"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38" x14ac:dyDescent="0.3">
      <c r="O71" s="431"/>
      <c r="P71" s="431"/>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38" x14ac:dyDescent="0.3">
      <c r="B72" s="446"/>
      <c r="C72" s="435"/>
      <c r="D72" s="435"/>
      <c r="E72" s="435"/>
      <c r="F72" s="435"/>
      <c r="G72" s="435"/>
      <c r="H72" s="435"/>
      <c r="I72" s="435"/>
      <c r="J72" s="435"/>
      <c r="K72" s="435"/>
      <c r="O72" s="431"/>
      <c r="P72" s="431"/>
    </row>
    <row r="73" spans="2:38" x14ac:dyDescent="0.3">
      <c r="B73" s="435"/>
      <c r="C73" s="447"/>
      <c r="D73" s="447"/>
      <c r="E73" s="447"/>
      <c r="F73" s="447"/>
      <c r="G73" s="447"/>
      <c r="H73" s="447"/>
      <c r="I73" s="447"/>
      <c r="J73" s="447"/>
      <c r="K73" s="447"/>
      <c r="O73" s="431"/>
      <c r="P73" s="431"/>
    </row>
    <row r="74" spans="2:38" x14ac:dyDescent="0.3">
      <c r="B74" s="435"/>
      <c r="C74" s="447"/>
      <c r="D74" s="447"/>
      <c r="E74" s="447"/>
      <c r="F74" s="447"/>
      <c r="G74" s="447"/>
      <c r="H74" s="447"/>
      <c r="I74" s="447"/>
      <c r="J74" s="447"/>
      <c r="K74" s="447"/>
      <c r="O74" s="431"/>
      <c r="P74" s="431"/>
    </row>
    <row r="75" spans="2:38" x14ac:dyDescent="0.3">
      <c r="B75" s="435"/>
      <c r="C75" s="447"/>
      <c r="D75" s="447"/>
      <c r="E75" s="447"/>
      <c r="F75" s="447"/>
      <c r="G75" s="447"/>
      <c r="H75" s="447"/>
      <c r="I75" s="447"/>
      <c r="J75" s="447"/>
      <c r="K75" s="447"/>
      <c r="O75" s="431"/>
      <c r="P75" s="431"/>
    </row>
    <row r="76" spans="2:38" x14ac:dyDescent="0.3">
      <c r="B76" s="435"/>
      <c r="C76" s="447"/>
      <c r="D76" s="447"/>
      <c r="E76" s="447"/>
      <c r="F76" s="447"/>
      <c r="G76" s="447"/>
      <c r="H76" s="447"/>
      <c r="I76" s="447"/>
      <c r="J76" s="447"/>
      <c r="K76" s="447"/>
      <c r="O76" s="431"/>
      <c r="P76" s="431"/>
    </row>
    <row r="77" spans="2:38" x14ac:dyDescent="0.3">
      <c r="O77" s="431"/>
      <c r="P77" s="431"/>
    </row>
    <row r="78" spans="2:38" x14ac:dyDescent="0.3">
      <c r="O78" s="431"/>
      <c r="P78" s="431"/>
    </row>
    <row r="79" spans="2:38" x14ac:dyDescent="0.3">
      <c r="O79" s="431"/>
      <c r="P79" s="431"/>
    </row>
    <row r="80" spans="2:38"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sheetData>
  <mergeCells count="1">
    <mergeCell ref="B19:H33"/>
  </mergeCells>
  <pageMargins left="0" right="0" top="0" bottom="0" header="0" footer="0"/>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BC143"/>
  </sheetPr>
  <dimension ref="A1:AN125"/>
  <sheetViews>
    <sheetView topLeftCell="C9" zoomScale="80" zoomScaleNormal="80" zoomScalePageLayoutView="200" workbookViewId="0">
      <selection activeCell="J35" sqref="J35"/>
    </sheetView>
  </sheetViews>
  <sheetFormatPr defaultColWidth="8.88671875" defaultRowHeight="14.4" x14ac:dyDescent="0.3"/>
  <cols>
    <col min="1" max="1" width="3.44140625" style="430" customWidth="1"/>
    <col min="2" max="2" width="36.5546875" style="430" customWidth="1"/>
    <col min="3"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41"/>
      <c r="O43" s="442"/>
      <c r="P43" s="442"/>
      <c r="Q43" s="442"/>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B44" s="399"/>
      <c r="C44" s="358" t="s">
        <v>1129</v>
      </c>
      <c r="D44" s="358" t="s">
        <v>1130</v>
      </c>
      <c r="E44" s="358" t="s">
        <v>1131</v>
      </c>
      <c r="F44" s="358" t="s">
        <v>850</v>
      </c>
      <c r="G44" s="358" t="str">
        <f>B45&amp;" - Central case"</f>
        <v>Shared e-scooter (first generati) - Central case</v>
      </c>
      <c r="H44" s="358" t="str">
        <f>B46&amp;" - Central case"</f>
        <v>Private car - ICE - Central case</v>
      </c>
      <c r="K44" s="441"/>
      <c r="L44" s="442"/>
      <c r="M44" s="442"/>
      <c r="N44" s="442"/>
      <c r="O44" s="442"/>
      <c r="P44" s="442"/>
      <c r="Q44" s="442"/>
      <c r="R44" s="442"/>
      <c r="S44" s="442"/>
      <c r="T44" s="442"/>
      <c r="U44" s="442"/>
      <c r="V44" s="442"/>
      <c r="X44" s="441"/>
      <c r="Y44" s="442"/>
      <c r="Z44" s="442"/>
      <c r="AA44" s="442"/>
      <c r="AB44" s="442"/>
      <c r="AC44" s="442"/>
      <c r="AD44" s="442"/>
      <c r="AE44" s="442"/>
      <c r="AF44" s="442"/>
      <c r="AG44" s="442"/>
      <c r="AH44" s="442"/>
      <c r="AI44" s="442"/>
      <c r="AK44" s="431"/>
      <c r="AN44" s="430"/>
    </row>
    <row r="45" spans="1:40" x14ac:dyDescent="0.3">
      <c r="A45" s="430" t="str">
        <f>'0_Total'!W$2</f>
        <v>Shared e-scooter (first generation, central case)</v>
      </c>
      <c r="B45" s="358" t="str">
        <f>MID(A45,1,32)&amp;")"</f>
        <v>Shared e-scooter (first generati)</v>
      </c>
      <c r="C45" s="357"/>
      <c r="D45" s="357"/>
      <c r="E45" s="357"/>
      <c r="F45" s="357"/>
      <c r="G45" s="357">
        <f ca="1">HLOOKUP($A45,'0_Total'!$D$2:$ED$117,ROW('0_Total'!$A$98)-ROW('0_Total'!$A$2)+1,FALSE)</f>
        <v>117.04803934532677</v>
      </c>
      <c r="H45" s="444"/>
      <c r="K45" s="441"/>
      <c r="L45" s="442"/>
      <c r="M45" s="442"/>
      <c r="N45" s="442"/>
      <c r="O45" s="442"/>
      <c r="P45" s="442"/>
      <c r="Q45" s="442"/>
      <c r="R45" s="442"/>
      <c r="S45" s="442"/>
      <c r="T45" s="442"/>
      <c r="U45" s="442"/>
      <c r="V45" s="442"/>
      <c r="X45" s="441"/>
      <c r="Y45" s="442"/>
      <c r="Z45" s="442"/>
      <c r="AA45" s="442"/>
      <c r="AB45" s="442"/>
      <c r="AC45" s="442"/>
      <c r="AD45" s="442"/>
      <c r="AE45" s="442"/>
      <c r="AF45" s="442"/>
      <c r="AG45" s="442"/>
      <c r="AH45" s="442"/>
      <c r="AI45" s="442"/>
      <c r="AK45" s="431"/>
      <c r="AN45" s="430"/>
    </row>
    <row r="46" spans="1:40" x14ac:dyDescent="0.3">
      <c r="A46" s="430" t="str">
        <f>'0_Total'!AO2</f>
        <v>Private car - ICE</v>
      </c>
      <c r="B46" s="358" t="str">
        <f>A46</f>
        <v>Private car - ICE</v>
      </c>
      <c r="C46" s="357"/>
      <c r="D46" s="357"/>
      <c r="E46" s="357"/>
      <c r="F46" s="357"/>
      <c r="G46" s="357"/>
      <c r="H46" s="444">
        <f ca="1">HLOOKUP($A46,'0_Total'!$D$2:$ED$117,ROW('0_Total'!$A$98)-ROW('0_Total'!$A$2)+1,FALSE)</f>
        <v>161.97203672281782</v>
      </c>
      <c r="K46" s="441"/>
      <c r="L46" s="442"/>
      <c r="M46" s="442"/>
      <c r="N46" s="442"/>
      <c r="O46" s="442"/>
      <c r="P46" s="442"/>
      <c r="Q46" s="442"/>
      <c r="R46" s="442"/>
      <c r="S46" s="442"/>
      <c r="T46" s="442"/>
      <c r="U46" s="442"/>
      <c r="V46" s="442"/>
      <c r="X46" s="441"/>
      <c r="Y46" s="442"/>
      <c r="Z46" s="442"/>
      <c r="AA46" s="442"/>
      <c r="AB46" s="442"/>
      <c r="AC46" s="442"/>
      <c r="AD46" s="442"/>
      <c r="AE46" s="442"/>
      <c r="AF46" s="442"/>
      <c r="AG46" s="442"/>
      <c r="AH46" s="442"/>
      <c r="AI46" s="442"/>
      <c r="AK46" s="431"/>
      <c r="AN46" s="430"/>
    </row>
    <row r="47" spans="1:40" x14ac:dyDescent="0.3">
      <c r="A47" s="430" t="str">
        <f>'0_Total'!AE2</f>
        <v>Shared e-scooter (new generation) - Central case</v>
      </c>
      <c r="B47" s="358" t="str">
        <f>A47</f>
        <v>Shared e-scooter (new generation) - Central case</v>
      </c>
      <c r="C47" s="357">
        <f ca="1">HLOOKUP($A47,'0_Total'!$D$2:$ED$117,ROW('0_Total'!$A$99)-ROW('0_Total'!$A$2)+1,FALSE)+
HLOOKUP($A47,'0_Total'!$D$2:$ED$117,ROW('0_Total'!$A$100)-ROW('0_Total'!$A$2)+1,FALSE)</f>
        <v>65.575881673322854</v>
      </c>
      <c r="D47" s="357">
        <f>HLOOKUP($A47,'0_Total'!$D$2:$ED$117,ROW('0_Total'!$A$101)-ROW('0_Total'!$A$2)+1,FALSE)</f>
        <v>1.5404200247503861</v>
      </c>
      <c r="E47" s="357">
        <f>HLOOKUP($A47,'0_Total'!$D$2:$ED$117,ROW('0_Total'!$A$103)-ROW('0_Total'!$A$2)+1,FALSE)</f>
        <v>9.4835085147745115</v>
      </c>
      <c r="F47" s="357">
        <f>HLOOKUP($A47,'0_Total'!$D$2:$ED$117,ROW('0_Total'!$A$102)-ROW('0_Total'!$A$2)+1,FALSE)</f>
        <v>24.702441658055509</v>
      </c>
      <c r="G47" s="448">
        <f t="shared" ref="G47:G54" ca="1" si="0">G$45</f>
        <v>117.04803934532677</v>
      </c>
      <c r="H47" s="449">
        <f t="shared" ref="H47:H54" ca="1" si="1">H$46</f>
        <v>161.97203672281782</v>
      </c>
      <c r="J47" s="454">
        <f t="shared" ref="J47:J54" ca="1" si="2">SUM(C47:F47)</f>
        <v>101.30225187090326</v>
      </c>
      <c r="K47" s="454">
        <f t="shared" ref="K47:K54" ca="1" si="3">RANK(J47,J$47:J$54)</f>
        <v>1</v>
      </c>
      <c r="L47" s="442"/>
      <c r="M47" s="442"/>
      <c r="N47" s="442">
        <f ca="1">SUM(C47:F47)/G$45</f>
        <v>0.86547585450817577</v>
      </c>
      <c r="O47" s="442"/>
      <c r="P47" s="442"/>
      <c r="Q47" s="442"/>
      <c r="R47" s="442"/>
      <c r="S47" s="442"/>
      <c r="T47" s="442"/>
      <c r="U47" s="442"/>
      <c r="V47" s="442"/>
      <c r="X47" s="441"/>
      <c r="Y47" s="442"/>
      <c r="Z47" s="442"/>
      <c r="AA47" s="442"/>
      <c r="AB47" s="442"/>
      <c r="AC47" s="442"/>
      <c r="AD47" s="442"/>
      <c r="AE47" s="442"/>
      <c r="AF47" s="442"/>
      <c r="AG47" s="442"/>
      <c r="AH47" s="442"/>
      <c r="AI47" s="442"/>
      <c r="AK47" s="431"/>
      <c r="AN47" s="430"/>
    </row>
    <row r="48" spans="1:40" x14ac:dyDescent="0.3">
      <c r="A48" s="430" t="str">
        <f>'0_Total'!Y2</f>
        <v>Shared e-scooter (new generation) - Low-carbon electricity in use phase</v>
      </c>
      <c r="B48" s="358" t="str">
        <f t="shared" ref="B48:B54" si="4">MID(A48,37,LEN(A48))</f>
        <v>Low-carbon electricity in use phase</v>
      </c>
      <c r="C48" s="357">
        <f ca="1">HLOOKUP($A48,'0_Total'!$D$2:$ED$117,ROW('0_Total'!$A$99)-ROW('0_Total'!$A$2)+1,FALSE)+
HLOOKUP($A48,'0_Total'!$D$2:$ED$117,ROW('0_Total'!$A$100)-ROW('0_Total'!$A$2)+1,FALSE)</f>
        <v>65.575881673322854</v>
      </c>
      <c r="D48" s="357">
        <f>HLOOKUP($A48,'0_Total'!$D$2:$ED$117,ROW('0_Total'!$A$101)-ROW('0_Total'!$A$2)+1,FALSE)</f>
        <v>0</v>
      </c>
      <c r="E48" s="357">
        <f>HLOOKUP($A48,'0_Total'!$D$2:$ED$117,ROW('0_Total'!$A$103)-ROW('0_Total'!$A$2)+1,FALSE)</f>
        <v>9.4835085147745115</v>
      </c>
      <c r="F48" s="357">
        <f>HLOOKUP($A48,'0_Total'!$D$2:$ED$117,ROW('0_Total'!$A$102)-ROW('0_Total'!$A$2)+1,FALSE)</f>
        <v>24.702441658055509</v>
      </c>
      <c r="G48" s="448">
        <f t="shared" ca="1" si="0"/>
        <v>117.04803934532677</v>
      </c>
      <c r="H48" s="449">
        <f t="shared" ca="1" si="1"/>
        <v>161.97203672281782</v>
      </c>
      <c r="J48" s="454">
        <f ca="1">SUM(C48:F48)</f>
        <v>99.761831846152873</v>
      </c>
      <c r="K48" s="454">
        <f t="shared" ca="1" si="3"/>
        <v>2</v>
      </c>
      <c r="L48" s="442"/>
      <c r="M48" s="442"/>
      <c r="N48" s="442">
        <f ca="1">SUM(C48:F48)/G$45</f>
        <v>0.85231527502844873</v>
      </c>
      <c r="O48" s="442"/>
      <c r="P48" s="442"/>
      <c r="Q48" s="442"/>
      <c r="R48" s="442"/>
      <c r="S48" s="442"/>
      <c r="T48" s="442"/>
      <c r="U48" s="442"/>
      <c r="V48" s="442"/>
      <c r="X48" s="441"/>
      <c r="Y48" s="442"/>
      <c r="Z48" s="442"/>
      <c r="AA48" s="442"/>
      <c r="AB48" s="442"/>
      <c r="AC48" s="442"/>
      <c r="AD48" s="442"/>
      <c r="AE48" s="442"/>
      <c r="AF48" s="442"/>
      <c r="AG48" s="442"/>
      <c r="AH48" s="442"/>
      <c r="AI48" s="442"/>
      <c r="AK48" s="431"/>
      <c r="AN48" s="430"/>
    </row>
    <row r="49" spans="1:40" x14ac:dyDescent="0.3">
      <c r="A49" s="430" t="str">
        <f>'0_Total'!AD2</f>
        <v>Shared e-scooter (new generation) - 50% more vehicles per servicing trip</v>
      </c>
      <c r="B49" s="358" t="str">
        <f t="shared" si="4"/>
        <v>50% more vehicles per servicing trip</v>
      </c>
      <c r="C49" s="357">
        <f ca="1">HLOOKUP($A49,'0_Total'!$D$2:$ED$117,ROW('0_Total'!$A$99)-ROW('0_Total'!$A$2)+1,FALSE)+
HLOOKUP($A49,'0_Total'!$D$2:$ED$117,ROW('0_Total'!$A$100)-ROW('0_Total'!$A$2)+1,FALSE)</f>
        <v>65.575881673322854</v>
      </c>
      <c r="D49" s="357">
        <f>HLOOKUP($A49,'0_Total'!$D$2:$ED$117,ROW('0_Total'!$A$101)-ROW('0_Total'!$A$2)+1,FALSE)</f>
        <v>1.5404200247503861</v>
      </c>
      <c r="E49" s="357">
        <f>HLOOKUP($A49,'0_Total'!$D$2:$ED$117,ROW('0_Total'!$A$103)-ROW('0_Total'!$A$2)+1,FALSE)</f>
        <v>9.4835085147745115</v>
      </c>
      <c r="F49" s="357">
        <f>HLOOKUP($A49,'0_Total'!$D$2:$ED$117,ROW('0_Total'!$A$102)-ROW('0_Total'!$A$2)+1,FALSE)</f>
        <v>16.468294438703676</v>
      </c>
      <c r="G49" s="448">
        <f t="shared" ca="1" si="0"/>
        <v>117.04803934532677</v>
      </c>
      <c r="H49" s="449">
        <f t="shared" ca="1" si="1"/>
        <v>161.97203672281782</v>
      </c>
      <c r="J49" s="454">
        <f t="shared" ca="1" si="2"/>
        <v>93.068104651551437</v>
      </c>
      <c r="K49" s="454">
        <f t="shared" ca="1" si="3"/>
        <v>3</v>
      </c>
      <c r="L49" s="442"/>
      <c r="M49" s="442"/>
      <c r="N49" s="442">
        <f t="shared" ref="N49:N54" ca="1" si="5">SUM(C49:F49)/G$45</f>
        <v>0.79512741240348894</v>
      </c>
      <c r="O49" s="442"/>
      <c r="P49" s="442"/>
      <c r="Q49" s="442"/>
      <c r="R49" s="442"/>
      <c r="S49" s="442"/>
      <c r="T49" s="442"/>
      <c r="U49" s="442"/>
      <c r="V49" s="442"/>
      <c r="X49" s="441"/>
      <c r="Y49" s="442"/>
      <c r="Z49" s="442"/>
      <c r="AA49" s="442"/>
      <c r="AB49" s="442"/>
      <c r="AC49" s="442"/>
      <c r="AD49" s="442"/>
      <c r="AE49" s="442"/>
      <c r="AF49" s="442"/>
      <c r="AG49" s="442"/>
      <c r="AH49" s="442"/>
      <c r="AI49" s="442"/>
      <c r="AK49" s="431"/>
      <c r="AN49" s="430"/>
    </row>
    <row r="50" spans="1:40" x14ac:dyDescent="0.3">
      <c r="A50" s="430" t="str">
        <f>'0_Total'!Z2</f>
        <v>Shared e-scooter (new generation) - 50% lower service distance</v>
      </c>
      <c r="B50" s="358" t="str">
        <f t="shared" si="4"/>
        <v>50% lower service distance</v>
      </c>
      <c r="C50" s="357">
        <f ca="1">HLOOKUP($A50,'0_Total'!$D$2:$ED$117,ROW('0_Total'!$A$99)-ROW('0_Total'!$A$2)+1,FALSE)+
HLOOKUP($A50,'0_Total'!$D$2:$ED$117,ROW('0_Total'!$A$100)-ROW('0_Total'!$A$2)+1,FALSE)</f>
        <v>65.575881673322854</v>
      </c>
      <c r="D50" s="357">
        <f>HLOOKUP($A50,'0_Total'!$D$2:$ED$117,ROW('0_Total'!$A$101)-ROW('0_Total'!$A$2)+1,FALSE)</f>
        <v>1.5404200247503861</v>
      </c>
      <c r="E50" s="357">
        <f>HLOOKUP($A50,'0_Total'!$D$2:$ED$117,ROW('0_Total'!$A$103)-ROW('0_Total'!$A$2)+1,FALSE)</f>
        <v>9.4835085147745115</v>
      </c>
      <c r="F50" s="357">
        <f>HLOOKUP($A50,'0_Total'!$D$2:$ED$117,ROW('0_Total'!$A$102)-ROW('0_Total'!$A$2)+1,FALSE)</f>
        <v>12.351220829027755</v>
      </c>
      <c r="G50" s="448">
        <f t="shared" ca="1" si="0"/>
        <v>117.04803934532677</v>
      </c>
      <c r="H50" s="449">
        <f t="shared" ca="1" si="1"/>
        <v>161.97203672281782</v>
      </c>
      <c r="J50" s="454">
        <f ca="1">SUM(C50:F50)</f>
        <v>88.95103104187551</v>
      </c>
      <c r="K50" s="454">
        <f t="shared" ca="1" si="3"/>
        <v>4</v>
      </c>
      <c r="L50" s="442"/>
      <c r="M50" s="442"/>
      <c r="N50" s="442">
        <f ca="1">SUM(C50:F50)/G$45</f>
        <v>0.75995319135114536</v>
      </c>
      <c r="O50" s="442"/>
      <c r="P50" s="442"/>
      <c r="Q50" s="442"/>
      <c r="R50" s="442"/>
      <c r="S50" s="442"/>
      <c r="T50" s="442"/>
      <c r="U50" s="442"/>
      <c r="V50" s="442"/>
      <c r="X50" s="441"/>
      <c r="Y50" s="442"/>
      <c r="Z50" s="442"/>
      <c r="AA50" s="442"/>
      <c r="AB50" s="442"/>
      <c r="AC50" s="442"/>
      <c r="AD50" s="442"/>
      <c r="AE50" s="442"/>
      <c r="AF50" s="442"/>
      <c r="AG50" s="442"/>
      <c r="AH50" s="442"/>
      <c r="AI50" s="442"/>
      <c r="AK50" s="431"/>
      <c r="AN50" s="430"/>
    </row>
    <row r="51" spans="1:40" x14ac:dyDescent="0.3">
      <c r="A51" s="430" t="str">
        <f>'0_Total'!AB2</f>
        <v>Shared e-scooter (new generation) - Low carbon Al smelting</v>
      </c>
      <c r="B51" s="358" t="str">
        <f t="shared" si="4"/>
        <v>Low carbon Al smelting</v>
      </c>
      <c r="C51" s="357">
        <f ca="1">HLOOKUP($A51,'0_Total'!$D$2:$ED$117,ROW('0_Total'!$A$99)-ROW('0_Total'!$A$2)+1,FALSE)+
HLOOKUP($A51,'0_Total'!$D$2:$ED$117,ROW('0_Total'!$A$100)-ROW('0_Total'!$A$2)+1,FALSE)</f>
        <v>41.306763235085256</v>
      </c>
      <c r="D51" s="357">
        <f>HLOOKUP($A51,'0_Total'!$D$2:$ED$117,ROW('0_Total'!$A$101)-ROW('0_Total'!$A$2)+1,FALSE)</f>
        <v>1.5404200247503861</v>
      </c>
      <c r="E51" s="357">
        <f>HLOOKUP($A51,'0_Total'!$D$2:$ED$117,ROW('0_Total'!$A$103)-ROW('0_Total'!$A$2)+1,FALSE)</f>
        <v>9.4835085147745115</v>
      </c>
      <c r="F51" s="357">
        <f>HLOOKUP($A51,'0_Total'!$D$2:$ED$117,ROW('0_Total'!$A$102)-ROW('0_Total'!$A$2)+1,FALSE)</f>
        <v>24.702441658055509</v>
      </c>
      <c r="G51" s="448">
        <f t="shared" ca="1" si="0"/>
        <v>117.04803934532677</v>
      </c>
      <c r="H51" s="449">
        <f t="shared" ca="1" si="1"/>
        <v>161.97203672281782</v>
      </c>
      <c r="J51" s="454">
        <f ca="1">SUM(C51:F51)</f>
        <v>77.033133432665664</v>
      </c>
      <c r="K51" s="454">
        <f t="shared" ca="1" si="3"/>
        <v>5</v>
      </c>
      <c r="L51" s="442"/>
      <c r="M51" s="442"/>
      <c r="N51" s="442">
        <f ca="1">SUM(C51:F51)/G$45</f>
        <v>0.65813262540344519</v>
      </c>
      <c r="O51" s="442"/>
      <c r="P51" s="442"/>
      <c r="Q51" s="442"/>
      <c r="R51" s="442"/>
      <c r="S51" s="442"/>
      <c r="T51" s="442"/>
      <c r="U51" s="442"/>
      <c r="V51" s="442"/>
      <c r="X51" s="441"/>
      <c r="Y51" s="442"/>
      <c r="Z51" s="442"/>
      <c r="AA51" s="442"/>
      <c r="AB51" s="442"/>
      <c r="AC51" s="442"/>
      <c r="AD51" s="442"/>
      <c r="AE51" s="442"/>
      <c r="AF51" s="442"/>
      <c r="AG51" s="442"/>
      <c r="AH51" s="442"/>
      <c r="AI51" s="442"/>
      <c r="AK51" s="431"/>
      <c r="AN51" s="430"/>
    </row>
    <row r="52" spans="1:40" x14ac:dyDescent="0.3">
      <c r="A52" s="430" t="str">
        <f>'0_Total'!AC2</f>
        <v>Shared e-scooter (new generation) - Low-carbon EVs for operational services</v>
      </c>
      <c r="B52" s="358" t="str">
        <f t="shared" si="4"/>
        <v>Low-carbon EVs for operational services</v>
      </c>
      <c r="C52" s="357">
        <f ca="1">HLOOKUP($A52,'0_Total'!$D$2:$ED$117,ROW('0_Total'!$A$99)-ROW('0_Total'!$A$2)+1,FALSE)+
HLOOKUP($A52,'0_Total'!$D$2:$ED$117,ROW('0_Total'!$A$100)-ROW('0_Total'!$A$2)+1,FALSE)</f>
        <v>65.575881673322854</v>
      </c>
      <c r="D52" s="357">
        <f>HLOOKUP($A52,'0_Total'!$D$2:$ED$117,ROW('0_Total'!$A$101)-ROW('0_Total'!$A$2)+1,FALSE)</f>
        <v>1.5404200247503861</v>
      </c>
      <c r="E52" s="357">
        <f>HLOOKUP($A52,'0_Total'!$D$2:$ED$117,ROW('0_Total'!$A$103)-ROW('0_Total'!$A$2)+1,FALSE)</f>
        <v>9.4835085147745115</v>
      </c>
      <c r="F52" s="357">
        <f>HLOOKUP($A52,'0_Total'!$D$2:$ED$117,ROW('0_Total'!$A$102)-ROW('0_Total'!$A$2)+1,FALSE)</f>
        <v>0</v>
      </c>
      <c r="G52" s="448">
        <f t="shared" ca="1" si="0"/>
        <v>117.04803934532677</v>
      </c>
      <c r="H52" s="449">
        <f t="shared" ca="1" si="1"/>
        <v>161.97203672281782</v>
      </c>
      <c r="J52" s="454">
        <f t="shared" ca="1" si="2"/>
        <v>76.599810212847757</v>
      </c>
      <c r="K52" s="454">
        <f t="shared" ca="1" si="3"/>
        <v>6</v>
      </c>
      <c r="L52" s="442"/>
      <c r="M52" s="442"/>
      <c r="N52" s="442">
        <f t="shared" ca="1" si="5"/>
        <v>0.65443052819411507</v>
      </c>
      <c r="O52" s="442"/>
      <c r="P52" s="442"/>
      <c r="Q52" s="442"/>
      <c r="R52" s="442"/>
      <c r="S52" s="442"/>
      <c r="T52" s="442"/>
      <c r="U52" s="442"/>
      <c r="V52" s="442"/>
      <c r="X52" s="441"/>
      <c r="Y52" s="442"/>
      <c r="Z52" s="442"/>
      <c r="AA52" s="442"/>
      <c r="AB52" s="442"/>
      <c r="AC52" s="442"/>
      <c r="AD52" s="442"/>
      <c r="AE52" s="442"/>
      <c r="AF52" s="442"/>
      <c r="AG52" s="442"/>
      <c r="AH52" s="442"/>
      <c r="AI52" s="442"/>
      <c r="AK52" s="431"/>
      <c r="AN52" s="430"/>
    </row>
    <row r="53" spans="1:40" x14ac:dyDescent="0.3">
      <c r="A53" s="430" t="str">
        <f>'0_Total'!AA2</f>
        <v>Shared e-scooter (new generation) - 50% higher daily e-scooter distance</v>
      </c>
      <c r="B53" s="358" t="str">
        <f t="shared" si="4"/>
        <v>50% higher daily e-scooter distance</v>
      </c>
      <c r="C53" s="357">
        <f ca="1">HLOOKUP($A53,'0_Total'!$D$2:$ED$117,ROW('0_Total'!$A$99)-ROW('0_Total'!$A$2)+1,FALSE)+
HLOOKUP($A53,'0_Total'!$D$2:$ED$117,ROW('0_Total'!$A$100)-ROW('0_Total'!$A$2)+1,FALSE)</f>
        <v>43.717254448881903</v>
      </c>
      <c r="D53" s="357">
        <f>HLOOKUP($A53,'0_Total'!$D$2:$ED$117,ROW('0_Total'!$A$101)-ROW('0_Total'!$A$2)+1,FALSE)</f>
        <v>1.5404200247503863</v>
      </c>
      <c r="E53" s="357">
        <f>HLOOKUP($A53,'0_Total'!$D$2:$ED$117,ROW('0_Total'!$A$103)-ROW('0_Total'!$A$2)+1,FALSE)</f>
        <v>9.4835085147745115</v>
      </c>
      <c r="F53" s="357">
        <f>HLOOKUP($A53,'0_Total'!$D$2:$ED$117,ROW('0_Total'!$A$102)-ROW('0_Total'!$A$2)+1,FALSE)</f>
        <v>16.468294438703673</v>
      </c>
      <c r="G53" s="448">
        <f t="shared" ca="1" si="0"/>
        <v>117.04803934532677</v>
      </c>
      <c r="H53" s="449">
        <f t="shared" ca="1" si="1"/>
        <v>161.97203672281782</v>
      </c>
      <c r="J53" s="454">
        <f t="shared" ca="1" si="2"/>
        <v>71.209477427110471</v>
      </c>
      <c r="K53" s="454">
        <f t="shared" ca="1" si="3"/>
        <v>7</v>
      </c>
      <c r="L53" s="442"/>
      <c r="M53" s="442"/>
      <c r="N53" s="442">
        <f t="shared" ca="1" si="5"/>
        <v>0.60837821654595325</v>
      </c>
      <c r="O53" s="442"/>
      <c r="P53" s="442"/>
      <c r="Q53" s="442"/>
      <c r="R53" s="442"/>
      <c r="S53" s="442"/>
      <c r="T53" s="442"/>
      <c r="U53" s="442"/>
      <c r="V53" s="442"/>
      <c r="X53" s="441"/>
      <c r="Y53" s="442"/>
      <c r="Z53" s="442"/>
      <c r="AA53" s="442"/>
      <c r="AB53" s="442"/>
      <c r="AC53" s="442"/>
      <c r="AD53" s="442"/>
      <c r="AE53" s="442"/>
      <c r="AF53" s="442"/>
      <c r="AG53" s="442"/>
      <c r="AH53" s="442"/>
      <c r="AI53" s="442"/>
      <c r="AK53" s="431"/>
      <c r="AN53" s="430"/>
    </row>
    <row r="54" spans="1:40" x14ac:dyDescent="0.3">
      <c r="A54" s="430" t="str">
        <f>'0_Total'!X2</f>
        <v>Shared e-scooter (new generation),- All improvements combined</v>
      </c>
      <c r="B54" s="358" t="str">
        <f t="shared" si="4"/>
        <v>All improvements combined</v>
      </c>
      <c r="C54" s="357">
        <f ca="1">HLOOKUP($A54,'0_Total'!$D$2:$ED$117,ROW('0_Total'!$A$99)-ROW('0_Total'!$A$2)+1,FALSE)+
HLOOKUP($A54,'0_Total'!$D$2:$ED$117,ROW('0_Total'!$A$100)-ROW('0_Total'!$A$2)+1,FALSE)</f>
        <v>27.537842156723507</v>
      </c>
      <c r="D54" s="357">
        <f>HLOOKUP($A54,'0_Total'!$D$2:$ED$117,ROW('0_Total'!$A$101)-ROW('0_Total'!$A$2)+1,FALSE)</f>
        <v>0</v>
      </c>
      <c r="E54" s="357">
        <f>HLOOKUP($A54,'0_Total'!$D$2:$ED$117,ROW('0_Total'!$A$103)-ROW('0_Total'!$A$2)+1,FALSE)</f>
        <v>9.4835085147745115</v>
      </c>
      <c r="F54" s="357">
        <f>HLOOKUP($A54,'0_Total'!$D$2:$ED$117,ROW('0_Total'!$A$102)-ROW('0_Total'!$A$2)+1,FALSE)</f>
        <v>0</v>
      </c>
      <c r="G54" s="448">
        <f t="shared" ca="1" si="0"/>
        <v>117.04803934532677</v>
      </c>
      <c r="H54" s="449">
        <f t="shared" ca="1" si="1"/>
        <v>161.97203672281782</v>
      </c>
      <c r="J54" s="454">
        <f t="shared" ca="1" si="2"/>
        <v>37.02135067149802</v>
      </c>
      <c r="K54" s="454">
        <f t="shared" ca="1" si="3"/>
        <v>8</v>
      </c>
      <c r="L54" s="442"/>
      <c r="M54" s="442"/>
      <c r="N54" s="442">
        <f t="shared" ca="1" si="5"/>
        <v>0.31629193345369883</v>
      </c>
      <c r="O54" s="442"/>
      <c r="P54" s="442"/>
      <c r="Q54" s="442"/>
      <c r="R54" s="442"/>
      <c r="S54" s="442"/>
      <c r="T54" s="442"/>
      <c r="U54" s="442"/>
      <c r="V54" s="442"/>
      <c r="X54" s="441"/>
      <c r="Y54" s="442"/>
      <c r="Z54" s="442"/>
      <c r="AA54" s="442"/>
      <c r="AB54" s="442"/>
      <c r="AC54" s="442"/>
      <c r="AD54" s="442"/>
      <c r="AE54" s="442"/>
      <c r="AF54" s="442"/>
      <c r="AG54" s="442"/>
      <c r="AH54" s="442"/>
      <c r="AI54" s="442"/>
      <c r="AK54" s="431"/>
      <c r="AN54" s="430"/>
    </row>
    <row r="55" spans="1:40" x14ac:dyDescent="0.3">
      <c r="B55" s="358"/>
      <c r="C55" s="357"/>
      <c r="D55" s="357"/>
      <c r="E55" s="357"/>
      <c r="F55" s="357"/>
      <c r="G55" s="357"/>
      <c r="H55" s="445"/>
      <c r="K55" s="441"/>
      <c r="L55" s="442"/>
      <c r="M55" s="442"/>
      <c r="N55" s="442"/>
      <c r="O55" s="442"/>
      <c r="P55" s="442"/>
      <c r="Q55" s="442"/>
      <c r="R55" s="442"/>
      <c r="S55" s="442"/>
      <c r="T55" s="442"/>
      <c r="U55" s="442"/>
      <c r="V55" s="442"/>
      <c r="X55" s="441"/>
      <c r="Y55" s="442"/>
      <c r="Z55" s="442"/>
      <c r="AA55" s="442"/>
      <c r="AB55" s="442"/>
      <c r="AC55" s="442"/>
      <c r="AD55" s="442"/>
      <c r="AE55" s="442"/>
      <c r="AF55" s="442"/>
      <c r="AG55" s="442"/>
      <c r="AH55" s="442"/>
      <c r="AI55" s="442"/>
      <c r="AK55" s="431"/>
      <c r="AN55" s="430"/>
    </row>
    <row r="56" spans="1:40" x14ac:dyDescent="0.3">
      <c r="B56" s="358"/>
      <c r="C56" s="357"/>
      <c r="D56" s="357"/>
      <c r="E56" s="357"/>
      <c r="F56" s="357"/>
      <c r="G56" s="357"/>
      <c r="H56" s="445"/>
      <c r="K56" s="441"/>
      <c r="L56" s="442"/>
      <c r="M56" s="442"/>
      <c r="N56" s="442"/>
      <c r="O56" s="442"/>
      <c r="P56" s="442"/>
      <c r="Q56" s="442"/>
      <c r="R56" s="442"/>
      <c r="S56" s="442"/>
      <c r="T56" s="442"/>
      <c r="U56" s="442"/>
      <c r="V56" s="442"/>
      <c r="X56" s="441"/>
      <c r="Y56" s="442"/>
      <c r="Z56" s="442"/>
      <c r="AA56" s="442"/>
      <c r="AB56" s="442"/>
      <c r="AC56" s="442"/>
      <c r="AD56" s="442"/>
      <c r="AE56" s="442"/>
      <c r="AF56" s="442"/>
      <c r="AG56" s="442"/>
      <c r="AH56" s="442"/>
      <c r="AI56" s="442"/>
      <c r="AK56" s="431"/>
      <c r="AN56" s="430"/>
    </row>
    <row r="57" spans="1:40" x14ac:dyDescent="0.3">
      <c r="B57" s="358"/>
      <c r="C57" s="357"/>
      <c r="D57" s="357"/>
      <c r="E57" s="357"/>
      <c r="F57" s="357"/>
      <c r="G57" s="357"/>
      <c r="H57" s="357"/>
      <c r="I57" s="357"/>
      <c r="J57" s="357"/>
      <c r="K57" s="445"/>
      <c r="N57" s="441"/>
      <c r="O57" s="442"/>
      <c r="P57" s="442"/>
      <c r="Q57" s="442"/>
      <c r="R57" s="442"/>
      <c r="S57" s="442"/>
      <c r="T57" s="442"/>
      <c r="U57" s="442"/>
      <c r="V57" s="442"/>
      <c r="W57" s="442"/>
      <c r="X57" s="442"/>
      <c r="Y57" s="442"/>
      <c r="AA57" s="441"/>
      <c r="AB57" s="442"/>
      <c r="AC57" s="442"/>
      <c r="AD57" s="442"/>
      <c r="AE57" s="442"/>
      <c r="AF57" s="442"/>
      <c r="AG57" s="442"/>
      <c r="AH57" s="442"/>
      <c r="AI57" s="442"/>
      <c r="AJ57" s="442"/>
      <c r="AK57" s="442"/>
      <c r="AL57" s="442"/>
    </row>
    <row r="58" spans="1:40" x14ac:dyDescent="0.3">
      <c r="B58" s="349"/>
      <c r="C58" s="349"/>
      <c r="D58" s="349"/>
      <c r="E58" s="349"/>
      <c r="F58" s="349"/>
      <c r="G58" s="349"/>
      <c r="H58" s="349"/>
      <c r="I58" s="349"/>
      <c r="J58" s="349"/>
      <c r="N58" s="441"/>
      <c r="O58" s="442"/>
      <c r="P58" s="442"/>
      <c r="Q58" s="442"/>
      <c r="R58" s="442"/>
      <c r="S58" s="442"/>
      <c r="T58" s="442"/>
      <c r="U58" s="442"/>
      <c r="V58" s="442"/>
      <c r="W58" s="442"/>
      <c r="X58" s="442"/>
      <c r="Y58" s="442"/>
      <c r="AA58" s="441"/>
      <c r="AB58" s="442"/>
      <c r="AC58" s="442"/>
      <c r="AD58" s="442"/>
      <c r="AE58" s="442"/>
      <c r="AF58" s="442"/>
      <c r="AG58" s="442"/>
      <c r="AH58" s="442"/>
      <c r="AI58" s="442"/>
      <c r="AJ58" s="442"/>
      <c r="AK58" s="442"/>
      <c r="AL58" s="442"/>
    </row>
    <row r="59" spans="1:40" x14ac:dyDescent="0.3">
      <c r="N59" s="441"/>
      <c r="O59" s="442"/>
      <c r="P59" s="442"/>
      <c r="Q59" s="442"/>
      <c r="R59" s="442"/>
      <c r="S59" s="442"/>
      <c r="T59" s="442"/>
      <c r="U59" s="442"/>
      <c r="V59" s="442"/>
      <c r="W59" s="442"/>
      <c r="X59" s="442"/>
      <c r="Y59" s="442"/>
      <c r="AA59" s="441"/>
      <c r="AB59" s="442"/>
      <c r="AC59" s="442"/>
      <c r="AD59" s="442"/>
      <c r="AE59" s="442"/>
      <c r="AF59" s="442"/>
      <c r="AG59" s="442"/>
      <c r="AH59" s="442"/>
      <c r="AI59" s="442"/>
      <c r="AJ59" s="442"/>
      <c r="AK59" s="442"/>
      <c r="AL59" s="442"/>
    </row>
    <row r="60" spans="1:40" x14ac:dyDescent="0.3">
      <c r="N60" s="441"/>
      <c r="O60" s="442"/>
      <c r="P60" s="442"/>
      <c r="Q60" s="442"/>
      <c r="R60" s="442"/>
      <c r="S60" s="442"/>
      <c r="T60" s="442"/>
      <c r="U60" s="442"/>
      <c r="V60" s="442"/>
      <c r="W60" s="442"/>
      <c r="X60" s="442"/>
      <c r="Y60" s="442"/>
      <c r="AA60" s="441"/>
      <c r="AB60" s="442"/>
      <c r="AC60" s="442"/>
      <c r="AD60" s="442"/>
      <c r="AE60" s="442"/>
      <c r="AF60" s="442"/>
      <c r="AG60" s="442"/>
      <c r="AH60" s="442"/>
      <c r="AI60" s="442"/>
      <c r="AJ60" s="442"/>
      <c r="AK60" s="442"/>
      <c r="AL60" s="442"/>
    </row>
    <row r="61" spans="1:40" x14ac:dyDescent="0.3">
      <c r="N61" s="441"/>
      <c r="O61" s="442"/>
      <c r="P61" s="442"/>
      <c r="Q61" s="442"/>
      <c r="R61" s="442"/>
      <c r="S61" s="442"/>
      <c r="T61" s="442"/>
      <c r="U61" s="442"/>
      <c r="V61" s="442"/>
      <c r="W61" s="442"/>
      <c r="X61" s="442"/>
      <c r="Y61" s="442"/>
      <c r="AA61" s="441"/>
      <c r="AB61" s="442"/>
      <c r="AC61" s="442"/>
      <c r="AD61" s="442"/>
      <c r="AE61" s="442"/>
      <c r="AF61" s="442"/>
      <c r="AG61" s="442"/>
      <c r="AH61" s="442"/>
      <c r="AI61" s="442"/>
      <c r="AJ61" s="442"/>
      <c r="AK61" s="442"/>
      <c r="AL61" s="442"/>
    </row>
    <row r="62" spans="1:40" x14ac:dyDescent="0.3">
      <c r="O62" s="431"/>
      <c r="P62" s="431"/>
    </row>
    <row r="63" spans="1:40" x14ac:dyDescent="0.3">
      <c r="B63" s="446"/>
      <c r="C63" s="435"/>
      <c r="D63" s="435"/>
      <c r="E63" s="435"/>
      <c r="F63" s="435"/>
      <c r="G63" s="435"/>
      <c r="H63" s="435"/>
      <c r="I63" s="435"/>
      <c r="J63" s="435"/>
      <c r="K63" s="435"/>
      <c r="O63" s="431"/>
      <c r="P63" s="431"/>
    </row>
    <row r="64" spans="1:40" x14ac:dyDescent="0.3">
      <c r="B64" s="435"/>
      <c r="C64" s="447"/>
      <c r="D64" s="447"/>
      <c r="E64" s="447"/>
      <c r="F64" s="447"/>
      <c r="G64" s="447"/>
      <c r="H64" s="447"/>
      <c r="I64" s="447"/>
      <c r="J64" s="447"/>
      <c r="K64" s="447"/>
      <c r="O64" s="431"/>
      <c r="P64" s="431"/>
    </row>
    <row r="65" spans="2:16" x14ac:dyDescent="0.3">
      <c r="B65" s="435"/>
      <c r="C65" s="447"/>
      <c r="D65" s="447"/>
      <c r="E65" s="447"/>
      <c r="F65" s="447"/>
      <c r="G65" s="447"/>
      <c r="H65" s="447"/>
      <c r="I65" s="447"/>
      <c r="J65" s="447"/>
      <c r="K65" s="447"/>
      <c r="O65" s="431"/>
      <c r="P65" s="431"/>
    </row>
    <row r="66" spans="2:16" x14ac:dyDescent="0.3">
      <c r="B66" s="435"/>
      <c r="C66" s="447"/>
      <c r="D66" s="447"/>
      <c r="E66" s="447"/>
      <c r="F66" s="447"/>
      <c r="G66" s="447"/>
      <c r="H66" s="447"/>
      <c r="I66" s="447"/>
      <c r="J66" s="447"/>
      <c r="K66" s="447"/>
      <c r="O66" s="431"/>
      <c r="P66" s="431"/>
    </row>
    <row r="67" spans="2:16" x14ac:dyDescent="0.3">
      <c r="B67" s="435"/>
      <c r="C67" s="447"/>
      <c r="D67" s="447"/>
      <c r="E67" s="447"/>
      <c r="F67" s="447"/>
      <c r="G67" s="447"/>
      <c r="H67" s="447"/>
      <c r="I67" s="447"/>
      <c r="J67" s="447"/>
      <c r="K67" s="447"/>
      <c r="O67" s="431"/>
      <c r="P67" s="431"/>
    </row>
    <row r="68" spans="2:16" x14ac:dyDescent="0.3">
      <c r="O68" s="431"/>
      <c r="P68" s="431"/>
    </row>
    <row r="69" spans="2:16" x14ac:dyDescent="0.3">
      <c r="O69" s="431"/>
      <c r="P69" s="431"/>
    </row>
    <row r="70" spans="2:16" x14ac:dyDescent="0.3">
      <c r="O70" s="431"/>
      <c r="P70" s="431"/>
    </row>
    <row r="71" spans="2:16" x14ac:dyDescent="0.3">
      <c r="O71" s="431"/>
      <c r="P71" s="431"/>
    </row>
    <row r="72" spans="2:16" x14ac:dyDescent="0.3">
      <c r="O72" s="431"/>
      <c r="P72" s="431"/>
    </row>
    <row r="73" spans="2:16" x14ac:dyDescent="0.3">
      <c r="O73" s="431"/>
      <c r="P73" s="431"/>
    </row>
    <row r="74" spans="2:16" x14ac:dyDescent="0.3">
      <c r="O74" s="431"/>
      <c r="P74" s="431"/>
    </row>
    <row r="75" spans="2:16" x14ac:dyDescent="0.3">
      <c r="O75" s="431"/>
      <c r="P75" s="431"/>
    </row>
    <row r="76" spans="2:16" x14ac:dyDescent="0.3">
      <c r="O76" s="431"/>
      <c r="P76" s="431"/>
    </row>
    <row r="77" spans="2:16" x14ac:dyDescent="0.3">
      <c r="O77" s="431"/>
      <c r="P77" s="431"/>
    </row>
    <row r="78" spans="2:16" x14ac:dyDescent="0.3">
      <c r="O78" s="431"/>
      <c r="P78" s="431"/>
    </row>
    <row r="79" spans="2:16" x14ac:dyDescent="0.3">
      <c r="O79" s="431"/>
      <c r="P79" s="431"/>
    </row>
    <row r="80" spans="2:16"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sheetData>
  <mergeCells count="1">
    <mergeCell ref="B19:H33"/>
  </mergeCells>
  <pageMargins left="0" right="0" top="0" bottom="0" header="0" footer="0"/>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BC143"/>
  </sheetPr>
  <dimension ref="A1:AN135"/>
  <sheetViews>
    <sheetView topLeftCell="H8" zoomScale="70" zoomScaleNormal="70" zoomScalePageLayoutView="200" workbookViewId="0">
      <selection activeCell="B18" sqref="B18"/>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Private car - ICE (central estimate)</v>
      </c>
      <c r="I44" s="358" t="str">
        <f>C59</f>
        <v>Private car - HEV (central estimate)</v>
      </c>
      <c r="J44" s="433" t="str">
        <f>C60</f>
        <v>Private car - BEV (central estimate)</v>
      </c>
      <c r="K44" s="433" t="str">
        <f>C61</f>
        <v>Private car - FCEV (central estimate)</v>
      </c>
      <c r="N44" s="430"/>
      <c r="O44" s="441"/>
      <c r="P44" s="442"/>
      <c r="Q44" s="442"/>
      <c r="R44" s="442"/>
      <c r="S44" s="442"/>
      <c r="T44" s="442"/>
      <c r="U44" s="442"/>
      <c r="V44" s="442"/>
      <c r="X44" s="441"/>
      <c r="Y44" s="442"/>
      <c r="Z44" s="442"/>
      <c r="AA44" s="442"/>
      <c r="AB44" s="442"/>
      <c r="AC44" s="442"/>
      <c r="AD44" s="442"/>
      <c r="AE44" s="442"/>
      <c r="AF44" s="442"/>
      <c r="AG44" s="442"/>
      <c r="AH44" s="442"/>
      <c r="AI44" s="442"/>
      <c r="AK44" s="431"/>
      <c r="AN44" s="430"/>
    </row>
    <row r="45" spans="1:40" x14ac:dyDescent="0.3">
      <c r="A45" s="430" t="str">
        <f>'0_Total'!AT2</f>
        <v>Private car - BEV (low carbon intensity of electricity in use phase)</v>
      </c>
      <c r="B45" s="470" t="s">
        <v>1157</v>
      </c>
      <c r="C45" s="358" t="s">
        <v>1171</v>
      </c>
      <c r="D45" s="357">
        <f ca="1">HLOOKUP($A45,'0_Total'!$D$2:$ED$117,ROW('0_Total'!$A$99)-ROW('0_Total'!$A$2)+1,FALSE)+
HLOOKUP($A45,'0_Total'!$D$2:$ED$117,ROW('0_Total'!$A$100)-ROW('0_Total'!$A$2)+1,FALSE)</f>
        <v>41.64927411276431</v>
      </c>
      <c r="E45" s="357">
        <f>HLOOKUP($A45,'0_Total'!$D$2:$ED$117,ROW('0_Total'!$A$101)-ROW('0_Total'!$A$2)+1,FALSE)</f>
        <v>0</v>
      </c>
      <c r="F45" s="357">
        <f>HLOOKUP($A45,'0_Total'!$D$2:$ED$117,ROW('0_Total'!$A$103)-ROW('0_Total'!$A$2)+1,FALSE)</f>
        <v>12.197157451329351</v>
      </c>
      <c r="G45" s="357">
        <f>HLOOKUP($A45,'0_Total'!$D$2:$ED$117,ROW('0_Total'!$A$102)-ROW('0_Total'!$A$2)+1,FALSE)</f>
        <v>0</v>
      </c>
      <c r="H45" s="448">
        <f t="shared" ref="H45:H55" ca="1" si="0">H$58</f>
        <v>161.97203672281782</v>
      </c>
      <c r="I45" s="448"/>
      <c r="J45" s="448">
        <f t="shared" ref="J45:J50" ca="1" si="1">J$60</f>
        <v>70.272939769610559</v>
      </c>
      <c r="K45" s="448"/>
      <c r="N45" s="430"/>
      <c r="O45" s="454"/>
      <c r="P45" s="442"/>
      <c r="Q45" s="442"/>
      <c r="R45" s="442"/>
      <c r="S45" s="442"/>
      <c r="T45" s="442"/>
      <c r="U45" s="442"/>
      <c r="V45" s="442"/>
      <c r="X45" s="441"/>
      <c r="Y45" s="442"/>
      <c r="Z45" s="442"/>
      <c r="AA45" s="442"/>
      <c r="AB45" s="442"/>
      <c r="AC45" s="442"/>
      <c r="AD45" s="442"/>
      <c r="AE45" s="442"/>
      <c r="AF45" s="442"/>
      <c r="AG45" s="442"/>
      <c r="AH45" s="442"/>
      <c r="AI45" s="442"/>
      <c r="AK45" s="431"/>
      <c r="AN45" s="430"/>
    </row>
    <row r="46" spans="1:40" x14ac:dyDescent="0.3">
      <c r="A46" s="430" t="str">
        <f>'0_Total'!AV2</f>
        <v>Private car - BEV (25% smaller battery)</v>
      </c>
      <c r="B46" s="470"/>
      <c r="C46" s="358" t="s">
        <v>1160</v>
      </c>
      <c r="D46" s="357">
        <f ca="1">HLOOKUP($A46,'0_Total'!$D$2:$ED$117,ROW('0_Total'!$A$99)-ROW('0_Total'!$A$2)+1,FALSE)+
HLOOKUP($A46,'0_Total'!$D$2:$ED$117,ROW('0_Total'!$A$100)-ROW('0_Total'!$A$2)+1,FALSE)</f>
        <v>36.486661607510747</v>
      </c>
      <c r="E46" s="357">
        <f>HLOOKUP($A46,'0_Total'!$D$2:$ED$117,ROW('0_Total'!$A$101)-ROW('0_Total'!$A$2)+1,FALSE)</f>
        <v>16.426508205516896</v>
      </c>
      <c r="F46" s="357">
        <f>HLOOKUP($A46,'0_Total'!$D$2:$ED$117,ROW('0_Total'!$A$103)-ROW('0_Total'!$A$2)+1,FALSE)</f>
        <v>12.197157451329351</v>
      </c>
      <c r="G46" s="357">
        <f>HLOOKUP($A46,'0_Total'!$D$2:$ED$117,ROW('0_Total'!$A$102)-ROW('0_Total'!$A$2)+1,FALSE)</f>
        <v>0</v>
      </c>
      <c r="H46" s="448">
        <f t="shared" ca="1" si="0"/>
        <v>161.97203672281782</v>
      </c>
      <c r="I46" s="448"/>
      <c r="J46" s="448">
        <f t="shared" ca="1" si="1"/>
        <v>70.272939769610559</v>
      </c>
      <c r="K46" s="448"/>
      <c r="N46" s="430"/>
      <c r="O46" s="454"/>
      <c r="P46" s="442"/>
      <c r="Q46" s="442"/>
      <c r="R46" s="442"/>
      <c r="S46" s="442"/>
      <c r="T46" s="442"/>
      <c r="U46" s="442"/>
      <c r="V46" s="442"/>
      <c r="X46" s="441"/>
      <c r="Y46" s="442"/>
      <c r="Z46" s="442"/>
      <c r="AA46" s="442"/>
      <c r="AB46" s="442"/>
      <c r="AC46" s="442"/>
      <c r="AD46" s="442"/>
      <c r="AE46" s="442"/>
      <c r="AF46" s="442"/>
      <c r="AG46" s="442"/>
      <c r="AH46" s="442"/>
      <c r="AI46" s="442"/>
      <c r="AK46" s="431"/>
      <c r="AN46" s="430"/>
    </row>
    <row r="47" spans="1:40" x14ac:dyDescent="0.3">
      <c r="A47" s="430" t="str">
        <f>'0_Total'!AU2</f>
        <v>Private car - BEV (Lower carbon intensity of battery manufacturing)</v>
      </c>
      <c r="B47" s="470"/>
      <c r="C47" s="358" t="s">
        <v>1161</v>
      </c>
      <c r="D47" s="357">
        <f ca="1">HLOOKUP($A47,'0_Total'!$D$2:$ED$117,ROW('0_Total'!$A$99)-ROW('0_Total'!$A$2)+1,FALSE)+
HLOOKUP($A47,'0_Total'!$D$2:$ED$117,ROW('0_Total'!$A$100)-ROW('0_Total'!$A$2)+1,FALSE)</f>
        <v>36.234971903239021</v>
      </c>
      <c r="E47" s="357">
        <f>HLOOKUP($A47,'0_Total'!$D$2:$ED$117,ROW('0_Total'!$A$101)-ROW('0_Total'!$A$2)+1,FALSE)</f>
        <v>16.426508205516896</v>
      </c>
      <c r="F47" s="357">
        <f>HLOOKUP($A47,'0_Total'!$D$2:$ED$117,ROW('0_Total'!$A$103)-ROW('0_Total'!$A$2)+1,FALSE)</f>
        <v>12.197157451329351</v>
      </c>
      <c r="G47" s="357">
        <f>HLOOKUP($A47,'0_Total'!$D$2:$ED$117,ROW('0_Total'!$A$102)-ROW('0_Total'!$A$2)+1,FALSE)</f>
        <v>0</v>
      </c>
      <c r="H47" s="448">
        <f t="shared" ca="1" si="0"/>
        <v>161.97203672281782</v>
      </c>
      <c r="I47" s="448"/>
      <c r="J47" s="448">
        <f t="shared" ca="1" si="1"/>
        <v>70.272939769610559</v>
      </c>
      <c r="K47" s="448"/>
      <c r="N47" s="430"/>
      <c r="O47" s="454"/>
      <c r="P47" s="442"/>
      <c r="Q47" s="442"/>
      <c r="R47" s="442"/>
      <c r="S47" s="442"/>
      <c r="T47" s="442"/>
      <c r="U47" s="442"/>
      <c r="V47" s="442"/>
      <c r="X47" s="441"/>
      <c r="Y47" s="442"/>
      <c r="Z47" s="442"/>
      <c r="AA47" s="442"/>
      <c r="AB47" s="442"/>
      <c r="AC47" s="442"/>
      <c r="AD47" s="442"/>
      <c r="AE47" s="442"/>
      <c r="AF47" s="442"/>
      <c r="AG47" s="442"/>
      <c r="AH47" s="442"/>
      <c r="AI47" s="442"/>
      <c r="AK47" s="431"/>
      <c r="AN47" s="430"/>
    </row>
    <row r="48" spans="1:40" x14ac:dyDescent="0.3">
      <c r="A48" s="430" t="str">
        <f>'0_Total'!AW2</f>
        <v>Private car - BEV (25% larger battery)</v>
      </c>
      <c r="B48" s="470"/>
      <c r="C48" s="358" t="s">
        <v>1162</v>
      </c>
      <c r="D48" s="357">
        <f ca="1">HLOOKUP($A48,'0_Total'!$D$2:$ED$117,ROW('0_Total'!$A$99)-ROW('0_Total'!$A$2)+1,FALSE)+
HLOOKUP($A48,'0_Total'!$D$2:$ED$117,ROW('0_Total'!$A$100)-ROW('0_Total'!$A$2)+1,FALSE)</f>
        <v>46.811886618017894</v>
      </c>
      <c r="E48" s="357">
        <f>HLOOKUP($A48,'0_Total'!$D$2:$ED$117,ROW('0_Total'!$A$101)-ROW('0_Total'!$A$2)+1,FALSE)</f>
        <v>16.426508205516896</v>
      </c>
      <c r="F48" s="357">
        <f>HLOOKUP($A48,'0_Total'!$D$2:$ED$117,ROW('0_Total'!$A$103)-ROW('0_Total'!$A$2)+1,FALSE)</f>
        <v>12.197157451329351</v>
      </c>
      <c r="G48" s="357">
        <f>HLOOKUP($A48,'0_Total'!$D$2:$ED$117,ROW('0_Total'!$A$102)-ROW('0_Total'!$A$2)+1,FALSE)</f>
        <v>0</v>
      </c>
      <c r="H48" s="448">
        <f t="shared" ca="1" si="0"/>
        <v>161.97203672281782</v>
      </c>
      <c r="I48" s="448"/>
      <c r="J48" s="448">
        <f t="shared" ca="1" si="1"/>
        <v>70.272939769610559</v>
      </c>
      <c r="K48" s="448"/>
      <c r="N48" s="430"/>
      <c r="O48" s="454"/>
      <c r="P48" s="442"/>
      <c r="Q48" s="442"/>
      <c r="R48" s="442"/>
      <c r="S48" s="442"/>
      <c r="T48" s="442"/>
      <c r="U48" s="442"/>
      <c r="V48" s="442"/>
      <c r="X48" s="441"/>
      <c r="Y48" s="442"/>
      <c r="Z48" s="442"/>
      <c r="AA48" s="442"/>
      <c r="AB48" s="442"/>
      <c r="AC48" s="442"/>
      <c r="AD48" s="442"/>
      <c r="AE48" s="442"/>
      <c r="AF48" s="442"/>
      <c r="AG48" s="442"/>
      <c r="AH48" s="442"/>
      <c r="AI48" s="442"/>
      <c r="AK48" s="431"/>
      <c r="AN48" s="430"/>
    </row>
    <row r="49" spans="1:40" x14ac:dyDescent="0.3">
      <c r="A49" s="430" t="str">
        <f>'0_Total'!CQ2</f>
        <v>Large Private car - BEV</v>
      </c>
      <c r="B49" s="470"/>
      <c r="C49" s="466" t="s">
        <v>1163</v>
      </c>
      <c r="D49" s="357">
        <f ca="1">HLOOKUP($A49,'0_Total'!$D$2:$ED$117,ROW('0_Total'!$A$99)-ROW('0_Total'!$A$2)+1,FALSE)+
HLOOKUP($A49,'0_Total'!$D$2:$ED$117,ROW('0_Total'!$A$100)-ROW('0_Total'!$A$2)+1,FALSE)</f>
        <v>46.957313094209155</v>
      </c>
      <c r="E49" s="357">
        <f>HLOOKUP($A49,'0_Total'!$D$2:$ED$117,ROW('0_Total'!$A$101)-ROW('0_Total'!$A$2)+1,FALSE)</f>
        <v>17.268084769409189</v>
      </c>
      <c r="F49" s="357">
        <f>HLOOKUP($A49,'0_Total'!$D$2:$ED$117,ROW('0_Total'!$A$103)-ROW('0_Total'!$A$2)+1,FALSE)</f>
        <v>13.256105319669301</v>
      </c>
      <c r="G49" s="357">
        <f>HLOOKUP($A49,'0_Total'!$D$2:$ED$117,ROW('0_Total'!$A$102)-ROW('0_Total'!$A$2)+1,FALSE)</f>
        <v>0</v>
      </c>
      <c r="H49" s="448">
        <f t="shared" ca="1" si="0"/>
        <v>161.97203672281782</v>
      </c>
      <c r="I49" s="448"/>
      <c r="J49" s="448">
        <f t="shared" ca="1" si="1"/>
        <v>70.272939769610559</v>
      </c>
      <c r="K49" s="448"/>
      <c r="N49" s="430"/>
      <c r="O49" s="454"/>
      <c r="P49" s="442"/>
      <c r="Q49" s="442"/>
      <c r="R49" s="442"/>
      <c r="S49" s="442"/>
      <c r="T49" s="442"/>
      <c r="U49" s="442"/>
      <c r="V49" s="442"/>
      <c r="X49" s="441"/>
      <c r="Y49" s="442"/>
      <c r="Z49" s="442"/>
      <c r="AA49" s="442"/>
      <c r="AB49" s="442"/>
      <c r="AC49" s="442"/>
      <c r="AD49" s="442"/>
      <c r="AE49" s="442"/>
      <c r="AF49" s="442"/>
      <c r="AG49" s="442"/>
      <c r="AH49" s="442"/>
      <c r="AI49" s="442"/>
      <c r="AK49" s="431"/>
      <c r="AN49" s="430"/>
    </row>
    <row r="50" spans="1:40" x14ac:dyDescent="0.3">
      <c r="A50" s="430" t="str">
        <f>'0_Total'!AS2</f>
        <v>Private car - BEV (high carbon intensity of electricity in use phase)</v>
      </c>
      <c r="B50" s="470"/>
      <c r="C50" s="358" t="s">
        <v>1166</v>
      </c>
      <c r="D50" s="357">
        <f ca="1">HLOOKUP($A50,'0_Total'!$D$2:$ED$117,ROW('0_Total'!$A$99)-ROW('0_Total'!$A$2)+1,FALSE)+
HLOOKUP($A50,'0_Total'!$D$2:$ED$117,ROW('0_Total'!$A$100)-ROW('0_Total'!$A$2)+1,FALSE)</f>
        <v>41.64927411276431</v>
      </c>
      <c r="E50" s="357">
        <f>HLOOKUP($A50,'0_Total'!$D$2:$ED$117,ROW('0_Total'!$A$101)-ROW('0_Total'!$A$2)+1,FALSE)</f>
        <v>134.73929417206867</v>
      </c>
      <c r="F50" s="357">
        <f>HLOOKUP($A50,'0_Total'!$D$2:$ED$117,ROW('0_Total'!$A$103)-ROW('0_Total'!$A$2)+1,FALSE)</f>
        <v>12.197157451329351</v>
      </c>
      <c r="G50" s="357">
        <f>HLOOKUP($A50,'0_Total'!$D$2:$ED$117,ROW('0_Total'!$A$102)-ROW('0_Total'!$A$2)+1,FALSE)</f>
        <v>0</v>
      </c>
      <c r="H50" s="448">
        <f t="shared" ca="1" si="0"/>
        <v>161.97203672281782</v>
      </c>
      <c r="I50" s="448"/>
      <c r="J50" s="448">
        <f t="shared" ca="1" si="1"/>
        <v>70.272939769610559</v>
      </c>
      <c r="K50" s="448"/>
      <c r="N50" s="430"/>
      <c r="O50" s="454"/>
      <c r="P50" s="442"/>
      <c r="Q50" s="442"/>
      <c r="R50" s="442"/>
      <c r="S50" s="442"/>
      <c r="T50" s="442"/>
      <c r="U50" s="442"/>
      <c r="V50" s="442"/>
      <c r="X50" s="441"/>
      <c r="Y50" s="442"/>
      <c r="Z50" s="442"/>
      <c r="AA50" s="442"/>
      <c r="AB50" s="442"/>
      <c r="AC50" s="442"/>
      <c r="AD50" s="442"/>
      <c r="AE50" s="442"/>
      <c r="AF50" s="442"/>
      <c r="AG50" s="442"/>
      <c r="AH50" s="442"/>
      <c r="AI50" s="442"/>
      <c r="AK50" s="431"/>
      <c r="AN50" s="430"/>
    </row>
    <row r="51" spans="1:40" x14ac:dyDescent="0.3">
      <c r="A51" s="430" t="str">
        <f>'0_Total'!AZ2</f>
        <v>Private car - FCEV (hydrogen from electrolysis, 100% renewable electricity)</v>
      </c>
      <c r="B51" s="470" t="s">
        <v>1158</v>
      </c>
      <c r="C51" s="469" t="s">
        <v>1170</v>
      </c>
      <c r="D51" s="357">
        <f ca="1">HLOOKUP($A51,'0_Total'!$D$2:$ED$117,ROW('0_Total'!$A$99)-ROW('0_Total'!$A$2)+1,FALSE)+
HLOOKUP($A51,'0_Total'!$D$2:$ED$117,ROW('0_Total'!$A$100)-ROW('0_Total'!$A$2)+1,FALSE)</f>
        <v>37.744913578184971</v>
      </c>
      <c r="E51" s="357">
        <f>HLOOKUP($A51,'0_Total'!$D$2:$ED$117,ROW('0_Total'!$A$101)-ROW('0_Total'!$A$2)+1,FALSE)</f>
        <v>0.8367214586828573</v>
      </c>
      <c r="F51" s="357">
        <f>HLOOKUP($A51,'0_Total'!$D$2:$ED$117,ROW('0_Total'!$A$103)-ROW('0_Total'!$A$2)+1,FALSE)</f>
        <v>12.984188392693992</v>
      </c>
      <c r="G51" s="357">
        <f>HLOOKUP($A51,'0_Total'!$D$2:$ED$117,ROW('0_Total'!$A$102)-ROW('0_Total'!$A$2)+1,FALSE)</f>
        <v>0</v>
      </c>
      <c r="H51" s="448">
        <f t="shared" ca="1" si="0"/>
        <v>161.97203672281782</v>
      </c>
      <c r="I51" s="448"/>
      <c r="J51" s="448"/>
      <c r="K51" s="448">
        <f ca="1">K$61</f>
        <v>133.40880708387149</v>
      </c>
      <c r="N51" s="430"/>
      <c r="O51" s="454"/>
      <c r="P51" s="442"/>
      <c r="Q51" s="442"/>
      <c r="R51" s="442"/>
      <c r="S51" s="442"/>
      <c r="T51" s="442"/>
      <c r="U51" s="442"/>
      <c r="V51" s="442"/>
      <c r="X51" s="441"/>
      <c r="Y51" s="442"/>
      <c r="Z51" s="442"/>
      <c r="AA51" s="442"/>
      <c r="AB51" s="442"/>
      <c r="AC51" s="442"/>
      <c r="AD51" s="442"/>
      <c r="AE51" s="442"/>
      <c r="AF51" s="442"/>
      <c r="AG51" s="442"/>
      <c r="AH51" s="442"/>
      <c r="AI51" s="442"/>
      <c r="AK51" s="431"/>
      <c r="AN51" s="430"/>
    </row>
    <row r="52" spans="1:40" x14ac:dyDescent="0.3">
      <c r="A52" s="430" t="str">
        <f>'0_Total'!CR2</f>
        <v>Large Private car - FCEV</v>
      </c>
      <c r="B52" s="470"/>
      <c r="C52" s="466" t="s">
        <v>1169</v>
      </c>
      <c r="D52" s="357">
        <f ca="1">HLOOKUP($A52,'0_Total'!$D$2:$ED$117,ROW('0_Total'!$A$99)-ROW('0_Total'!$A$2)+1,FALSE)+
HLOOKUP($A52,'0_Total'!$D$2:$ED$117,ROW('0_Total'!$A$100)-ROW('0_Total'!$A$2)+1,FALSE)</f>
        <v>47.515907344864623</v>
      </c>
      <c r="E52" s="357">
        <f>HLOOKUP($A52,'0_Total'!$D$2:$ED$117,ROW('0_Total'!$A$101)-ROW('0_Total'!$A$2)+1,FALSE)</f>
        <v>94.481920496077464</v>
      </c>
      <c r="F52" s="357">
        <f>HLOOKUP($A52,'0_Total'!$D$2:$ED$117,ROW('0_Total'!$A$103)-ROW('0_Total'!$A$2)+1,FALSE)</f>
        <v>14.249525493909287</v>
      </c>
      <c r="G52" s="357">
        <f>HLOOKUP($A52,'0_Total'!$D$2:$ED$117,ROW('0_Total'!$A$102)-ROW('0_Total'!$A$2)+1,FALSE)</f>
        <v>0</v>
      </c>
      <c r="H52" s="448">
        <f t="shared" ca="1" si="0"/>
        <v>161.97203672281782</v>
      </c>
      <c r="I52" s="448"/>
      <c r="J52" s="448"/>
      <c r="K52" s="448">
        <f ca="1">K$61</f>
        <v>133.40880708387149</v>
      </c>
      <c r="N52" s="430"/>
      <c r="O52" s="454"/>
      <c r="P52" s="442"/>
      <c r="Q52" s="442"/>
      <c r="R52" s="442"/>
      <c r="S52" s="442"/>
      <c r="T52" s="442"/>
      <c r="U52" s="442"/>
      <c r="V52" s="442"/>
      <c r="X52" s="441"/>
      <c r="Y52" s="442"/>
      <c r="Z52" s="442"/>
      <c r="AA52" s="442"/>
      <c r="AB52" s="442"/>
      <c r="AC52" s="442"/>
      <c r="AD52" s="442"/>
      <c r="AE52" s="442"/>
      <c r="AF52" s="442"/>
      <c r="AG52" s="442"/>
      <c r="AH52" s="442"/>
      <c r="AI52" s="442"/>
      <c r="AK52" s="431"/>
      <c r="AN52" s="430"/>
    </row>
    <row r="53" spans="1:40" x14ac:dyDescent="0.3">
      <c r="A53" s="430" t="str">
        <f>'0_Total'!AY2</f>
        <v>Private car - FCEV (hydrogen from electrolysis, 100% natural gas electricity)</v>
      </c>
      <c r="B53" s="470"/>
      <c r="C53" s="469" t="s">
        <v>1167</v>
      </c>
      <c r="D53" s="357">
        <f ca="1">HLOOKUP($A53,'0_Total'!$D$2:$ED$117,ROW('0_Total'!$A$99)-ROW('0_Total'!$A$2)+1,FALSE)+
HLOOKUP($A53,'0_Total'!$D$2:$ED$117,ROW('0_Total'!$A$100)-ROW('0_Total'!$A$2)+1,FALSE)</f>
        <v>37.744913578184971</v>
      </c>
      <c r="E53" s="357">
        <f>HLOOKUP($A53,'0_Total'!$D$2:$ED$117,ROW('0_Total'!$A$101)-ROW('0_Total'!$A$2)+1,FALSE)</f>
        <v>162.79128163523271</v>
      </c>
      <c r="F53" s="357">
        <f>HLOOKUP($A53,'0_Total'!$D$2:$ED$117,ROW('0_Total'!$A$103)-ROW('0_Total'!$A$2)+1,FALSE)</f>
        <v>12.984188392693992</v>
      </c>
      <c r="G53" s="357">
        <f>HLOOKUP($A53,'0_Total'!$D$2:$ED$117,ROW('0_Total'!$A$102)-ROW('0_Total'!$A$2)+1,FALSE)</f>
        <v>0</v>
      </c>
      <c r="H53" s="448">
        <f t="shared" ca="1" si="0"/>
        <v>161.97203672281782</v>
      </c>
      <c r="I53" s="448"/>
      <c r="J53" s="448"/>
      <c r="K53" s="448">
        <f ca="1">K$61</f>
        <v>133.40880708387149</v>
      </c>
      <c r="N53" s="430"/>
      <c r="O53" s="454"/>
      <c r="P53" s="442"/>
      <c r="Q53" s="442"/>
      <c r="R53" s="442"/>
      <c r="S53" s="442"/>
      <c r="T53" s="442"/>
      <c r="U53" s="442"/>
      <c r="V53" s="442"/>
      <c r="X53" s="441"/>
      <c r="Y53" s="442"/>
      <c r="Z53" s="442"/>
      <c r="AA53" s="442"/>
      <c r="AB53" s="442"/>
      <c r="AC53" s="442"/>
      <c r="AD53" s="442"/>
      <c r="AE53" s="442"/>
      <c r="AF53" s="442"/>
      <c r="AG53" s="442"/>
      <c r="AH53" s="442"/>
      <c r="AI53" s="442"/>
      <c r="AK53" s="431"/>
      <c r="AN53" s="430"/>
    </row>
    <row r="54" spans="1:40" x14ac:dyDescent="0.3">
      <c r="A54" s="430" t="str">
        <f>'0_Total'!BA2</f>
        <v>Private car - FCEV (hydrogen from electrolysis, global grid mix)</v>
      </c>
      <c r="B54" s="470"/>
      <c r="C54" s="469" t="s">
        <v>1168</v>
      </c>
      <c r="D54" s="357">
        <f ca="1">HLOOKUP($A54,'0_Total'!$D$2:$ED$117,ROW('0_Total'!$A$99)-ROW('0_Total'!$A$2)+1,FALSE)+
HLOOKUP($A54,'0_Total'!$D$2:$ED$117,ROW('0_Total'!$A$100)-ROW('0_Total'!$A$2)+1,FALSE)</f>
        <v>37.744913578184971</v>
      </c>
      <c r="E54" s="357">
        <f>HLOOKUP($A54,'0_Total'!$D$2:$ED$117,ROW('0_Total'!$A$101)-ROW('0_Total'!$A$2)+1,FALSE)</f>
        <v>41.860816766149433</v>
      </c>
      <c r="F54" s="357">
        <f>HLOOKUP($A54,'0_Total'!$D$2:$ED$117,ROW('0_Total'!$A$103)-ROW('0_Total'!$A$2)+1,FALSE)</f>
        <v>12.984188392693992</v>
      </c>
      <c r="G54" s="357">
        <f>HLOOKUP($A54,'0_Total'!$D$2:$ED$117,ROW('0_Total'!$A$102)-ROW('0_Total'!$A$2)+1,FALSE)</f>
        <v>0</v>
      </c>
      <c r="H54" s="448">
        <f t="shared" ca="1" si="0"/>
        <v>161.97203672281782</v>
      </c>
      <c r="I54" s="448"/>
      <c r="J54" s="448"/>
      <c r="K54" s="448">
        <f ca="1">K$61</f>
        <v>133.40880708387149</v>
      </c>
      <c r="N54" s="430"/>
      <c r="O54" s="454"/>
      <c r="P54" s="442"/>
      <c r="Q54" s="442"/>
      <c r="R54" s="442"/>
      <c r="S54" s="442"/>
      <c r="T54" s="442"/>
      <c r="U54" s="442"/>
      <c r="V54" s="442"/>
      <c r="X54" s="441"/>
      <c r="Y54" s="442"/>
      <c r="Z54" s="442"/>
      <c r="AA54" s="442"/>
      <c r="AB54" s="442"/>
      <c r="AC54" s="442"/>
      <c r="AD54" s="442"/>
      <c r="AE54" s="442"/>
      <c r="AF54" s="442"/>
      <c r="AG54" s="442"/>
      <c r="AH54" s="442"/>
      <c r="AI54" s="442"/>
      <c r="AK54" s="431"/>
      <c r="AN54" s="430"/>
    </row>
    <row r="55" spans="1:40" x14ac:dyDescent="0.3">
      <c r="A55" s="430" t="str">
        <f>'0_Total'!CO2</f>
        <v>Large Private car - HEV</v>
      </c>
      <c r="B55" s="470" t="s">
        <v>1159</v>
      </c>
      <c r="C55" s="467" t="s">
        <v>1164</v>
      </c>
      <c r="D55" s="357">
        <f ca="1">HLOOKUP($A55,'0_Total'!$D$2:$ED$117,ROW('0_Total'!$A$99)-ROW('0_Total'!$A$2)+1,FALSE)+
HLOOKUP($A55,'0_Total'!$D$2:$ED$117,ROW('0_Total'!$A$100)-ROW('0_Total'!$A$2)+1,FALSE)</f>
        <v>32.596237936569302</v>
      </c>
      <c r="E55" s="357">
        <f>HLOOKUP($A55,'0_Total'!$D$2:$ED$117,ROW('0_Total'!$A$101)-ROW('0_Total'!$A$2)+1,FALSE)</f>
        <v>120.36400015290464</v>
      </c>
      <c r="F55" s="357">
        <f>HLOOKUP($A55,'0_Total'!$D$2:$ED$117,ROW('0_Total'!$A$103)-ROW('0_Total'!$A$2)+1,FALSE)</f>
        <v>13.875075274876075</v>
      </c>
      <c r="G55" s="357">
        <f>HLOOKUP($A55,'0_Total'!$D$2:$ED$117,ROW('0_Total'!$A$102)-ROW('0_Total'!$A$2)+1,FALSE)</f>
        <v>0</v>
      </c>
      <c r="H55" s="448">
        <f t="shared" ca="1" si="0"/>
        <v>161.97203672281782</v>
      </c>
      <c r="I55" s="448">
        <f ca="1">I$59</f>
        <v>132.2777663422327</v>
      </c>
      <c r="J55" s="448"/>
      <c r="K55" s="448"/>
      <c r="N55" s="430"/>
      <c r="O55" s="454"/>
      <c r="P55" s="442"/>
      <c r="Q55" s="442"/>
      <c r="R55" s="442"/>
      <c r="S55" s="442"/>
      <c r="T55" s="442"/>
      <c r="U55" s="442"/>
      <c r="V55" s="442"/>
      <c r="X55" s="441"/>
      <c r="Y55" s="442"/>
      <c r="Z55" s="442"/>
      <c r="AA55" s="442"/>
      <c r="AB55" s="442"/>
      <c r="AC55" s="442"/>
      <c r="AD55" s="442"/>
      <c r="AE55" s="442"/>
      <c r="AF55" s="442"/>
      <c r="AG55" s="442"/>
      <c r="AH55" s="442"/>
      <c r="AI55" s="442"/>
      <c r="AK55" s="431"/>
      <c r="AN55" s="430"/>
    </row>
    <row r="56" spans="1:40" x14ac:dyDescent="0.3">
      <c r="A56" s="430" t="str">
        <f>'0_Total'!CN2</f>
        <v>Large Private car - ICE</v>
      </c>
      <c r="B56" s="470"/>
      <c r="C56" s="468" t="s">
        <v>1165</v>
      </c>
      <c r="D56" s="357">
        <f ca="1">HLOOKUP($A56,'0_Total'!$D$2:$ED$117,ROW('0_Total'!$A$99)-ROW('0_Total'!$A$2)+1,FALSE)+
HLOOKUP($A56,'0_Total'!$D$2:$ED$117,ROW('0_Total'!$A$100)-ROW('0_Total'!$A$2)+1,FALSE)</f>
        <v>29.842966869586352</v>
      </c>
      <c r="E56" s="357">
        <f>HLOOKUP($A56,'0_Total'!$D$2:$ED$117,ROW('0_Total'!$A$101)-ROW('0_Total'!$A$2)+1,FALSE)</f>
        <v>163.50651827999997</v>
      </c>
      <c r="F56" s="357">
        <f>HLOOKUP($A56,'0_Total'!$D$2:$ED$117,ROW('0_Total'!$A$103)-ROW('0_Total'!$A$2)+1,FALSE)</f>
        <v>13.588504018815213</v>
      </c>
      <c r="G56" s="357">
        <f>HLOOKUP($A56,'0_Total'!$D$2:$ED$117,ROW('0_Total'!$A$102)-ROW('0_Total'!$A$2)+1,FALSE)</f>
        <v>0</v>
      </c>
      <c r="H56" s="448">
        <f ca="1">H$58</f>
        <v>161.97203672281782</v>
      </c>
      <c r="I56" s="448"/>
      <c r="J56" s="448"/>
      <c r="K56" s="448"/>
      <c r="N56" s="430"/>
      <c r="O56" s="454"/>
      <c r="P56" s="442"/>
      <c r="Q56" s="442"/>
      <c r="R56" s="442"/>
      <c r="S56" s="442"/>
      <c r="T56" s="442"/>
      <c r="U56" s="442"/>
      <c r="V56" s="442"/>
      <c r="X56" s="441"/>
      <c r="Y56" s="442"/>
      <c r="Z56" s="442"/>
      <c r="AA56" s="442"/>
      <c r="AB56" s="442"/>
      <c r="AC56" s="442"/>
      <c r="AD56" s="442"/>
      <c r="AE56" s="442"/>
      <c r="AF56" s="442"/>
      <c r="AG56" s="442"/>
      <c r="AH56" s="442"/>
      <c r="AI56" s="442"/>
      <c r="AK56" s="431"/>
      <c r="AN56" s="430"/>
    </row>
    <row r="57" spans="1:40" x14ac:dyDescent="0.3">
      <c r="C57" s="358"/>
      <c r="D57" s="357"/>
      <c r="E57" s="357"/>
      <c r="F57" s="357"/>
      <c r="G57" s="357"/>
      <c r="H57" s="448"/>
      <c r="I57" s="449"/>
      <c r="J57" s="449"/>
      <c r="N57" s="430"/>
      <c r="O57" s="454"/>
      <c r="P57" s="442"/>
      <c r="Q57" s="442"/>
      <c r="R57" s="442"/>
      <c r="S57" s="442"/>
      <c r="T57" s="442"/>
      <c r="U57" s="442"/>
      <c r="V57" s="442"/>
      <c r="X57" s="441"/>
      <c r="Y57" s="442"/>
      <c r="Z57" s="442"/>
      <c r="AA57" s="442"/>
      <c r="AB57" s="442"/>
      <c r="AC57" s="442"/>
      <c r="AD57" s="442"/>
      <c r="AE57" s="442"/>
      <c r="AF57" s="442"/>
      <c r="AG57" s="442"/>
      <c r="AH57" s="442"/>
      <c r="AI57" s="442"/>
      <c r="AK57" s="431"/>
      <c r="AN57" s="430"/>
    </row>
    <row r="58" spans="1:40" x14ac:dyDescent="0.3">
      <c r="A58" s="430" t="str">
        <f>'0_Total'!AO2</f>
        <v>Private car - ICE</v>
      </c>
      <c r="C58" s="358" t="str">
        <f>A58&amp;" (central estimate)"</f>
        <v>Private car - ICE (central estimate)</v>
      </c>
      <c r="D58" s="357"/>
      <c r="E58" s="357"/>
      <c r="F58" s="357"/>
      <c r="G58" s="357"/>
      <c r="H58" s="444">
        <f ca="1">HLOOKUP($A58,'0_Total'!$D$2:$ED$117,ROW('0_Total'!$A$98)-ROW('0_Total'!$A$2)+1,FALSE)</f>
        <v>161.97203672281782</v>
      </c>
      <c r="J58" s="464"/>
      <c r="K58" s="464"/>
      <c r="N58" s="430"/>
      <c r="P58" s="442"/>
      <c r="Q58" s="442"/>
      <c r="R58" s="442"/>
      <c r="S58" s="442"/>
      <c r="T58" s="442"/>
      <c r="U58" s="442"/>
      <c r="V58" s="442"/>
      <c r="X58" s="441"/>
      <c r="Y58" s="442"/>
      <c r="Z58" s="442"/>
      <c r="AA58" s="442"/>
      <c r="AB58" s="442"/>
      <c r="AC58" s="442"/>
      <c r="AD58" s="442"/>
      <c r="AE58" s="442"/>
      <c r="AF58" s="442"/>
      <c r="AG58" s="442"/>
      <c r="AH58" s="442"/>
      <c r="AI58" s="442"/>
      <c r="AK58" s="431"/>
      <c r="AN58" s="430"/>
    </row>
    <row r="59" spans="1:40" ht="14.25" customHeight="1" x14ac:dyDescent="0.3">
      <c r="A59" s="430" t="str">
        <f>'0_Total'!AP2</f>
        <v>Private car - HEV</v>
      </c>
      <c r="C59" s="358" t="str">
        <f>A59&amp;" (central estimate)"</f>
        <v>Private car - HEV (central estimate)</v>
      </c>
      <c r="D59" s="357"/>
      <c r="E59" s="357"/>
      <c r="F59" s="357"/>
      <c r="G59" s="357"/>
      <c r="H59" s="357"/>
      <c r="I59" s="444">
        <f ca="1">HLOOKUP($A59,'0_Total'!$D$2:$ED$117,ROW('0_Total'!$A$98)-ROW('0_Total'!$A$2)+1,FALSE)</f>
        <v>132.2777663422327</v>
      </c>
      <c r="J59" s="464"/>
      <c r="N59" s="430"/>
      <c r="O59" s="454"/>
      <c r="P59" s="442"/>
      <c r="Q59" s="442"/>
      <c r="R59" s="442"/>
      <c r="S59" s="442"/>
      <c r="T59" s="442"/>
      <c r="U59" s="442"/>
      <c r="V59" s="442"/>
      <c r="X59" s="441"/>
      <c r="Y59" s="442"/>
      <c r="Z59" s="442"/>
      <c r="AA59" s="442"/>
      <c r="AB59" s="442"/>
      <c r="AC59" s="442"/>
      <c r="AD59" s="442"/>
      <c r="AE59" s="442"/>
      <c r="AF59" s="442"/>
      <c r="AG59" s="442"/>
      <c r="AH59" s="442"/>
      <c r="AI59" s="442"/>
      <c r="AK59" s="431"/>
      <c r="AN59" s="430"/>
    </row>
    <row r="60" spans="1:40" x14ac:dyDescent="0.3">
      <c r="A60" s="430" t="str">
        <f>'0_Total'!AX2</f>
        <v>Private car - BEV</v>
      </c>
      <c r="C60" s="358" t="str">
        <f>A60&amp;" (central estimate)"</f>
        <v>Private car - BEV (central estimate)</v>
      </c>
      <c r="D60" s="357"/>
      <c r="E60" s="357"/>
      <c r="F60" s="357"/>
      <c r="G60" s="357"/>
      <c r="I60" s="444"/>
      <c r="J60" s="357">
        <f ca="1">HLOOKUP($A60,'0_Total'!$D$2:$ED$117,ROW('0_Total'!$A$98)-ROW('0_Total'!$A$2)+1,FALSE)</f>
        <v>70.272939769610559</v>
      </c>
      <c r="N60" s="430"/>
      <c r="P60" s="442"/>
      <c r="Q60" s="442"/>
      <c r="R60" s="442"/>
      <c r="S60" s="442"/>
      <c r="T60" s="442"/>
      <c r="U60" s="442"/>
      <c r="V60" s="442"/>
      <c r="X60" s="441"/>
      <c r="Y60" s="442"/>
      <c r="Z60" s="442"/>
      <c r="AA60" s="442"/>
      <c r="AB60" s="442"/>
      <c r="AC60" s="442"/>
      <c r="AD60" s="442"/>
      <c r="AE60" s="442"/>
      <c r="AF60" s="442"/>
      <c r="AG60" s="442"/>
      <c r="AH60" s="442"/>
      <c r="AI60" s="442"/>
      <c r="AK60" s="431"/>
      <c r="AN60" s="430"/>
    </row>
    <row r="61" spans="1:40" x14ac:dyDescent="0.3">
      <c r="A61" s="430" t="str">
        <f>'0_Total'!BB2</f>
        <v>Private car - FCEV</v>
      </c>
      <c r="C61" s="358" t="str">
        <f>A61&amp;" (central estimate)"</f>
        <v>Private car - FCEV (central estimate)</v>
      </c>
      <c r="D61" s="357"/>
      <c r="E61" s="357"/>
      <c r="F61" s="357"/>
      <c r="G61" s="357"/>
      <c r="H61" s="357"/>
      <c r="I61" s="444"/>
      <c r="K61" s="444">
        <f ca="1">HLOOKUP($A61,'0_Total'!$D$2:$ED$117,ROW('0_Total'!$A$98)-ROW('0_Total'!$A$2)+1,FALSE)</f>
        <v>133.40880708387149</v>
      </c>
      <c r="N61" s="430"/>
      <c r="O61" s="454"/>
      <c r="P61" s="442"/>
      <c r="Q61" s="442"/>
      <c r="R61" s="442"/>
      <c r="S61" s="442"/>
      <c r="T61" s="442"/>
      <c r="U61" s="442"/>
      <c r="V61" s="442"/>
      <c r="X61" s="441"/>
      <c r="Y61" s="442"/>
      <c r="Z61" s="442"/>
      <c r="AA61" s="442"/>
      <c r="AB61" s="442"/>
      <c r="AC61" s="442"/>
      <c r="AD61" s="442"/>
      <c r="AE61" s="442"/>
      <c r="AF61" s="442"/>
      <c r="AG61" s="442"/>
      <c r="AH61" s="442"/>
      <c r="AI61" s="442"/>
      <c r="AK61" s="431"/>
      <c r="AN61" s="430"/>
    </row>
    <row r="62" spans="1:40" x14ac:dyDescent="0.3">
      <c r="B62" s="358"/>
      <c r="C62" s="357"/>
      <c r="D62" s="357"/>
      <c r="E62" s="357"/>
      <c r="F62" s="357"/>
      <c r="G62" s="448"/>
      <c r="H62" s="449"/>
      <c r="I62" s="449"/>
      <c r="K62" s="454"/>
      <c r="L62" s="454"/>
      <c r="M62" s="442"/>
      <c r="N62" s="442"/>
      <c r="O62" s="442"/>
      <c r="P62" s="442"/>
      <c r="Q62" s="442"/>
      <c r="R62" s="442"/>
      <c r="S62" s="442"/>
      <c r="T62" s="442"/>
      <c r="U62" s="442"/>
      <c r="V62" s="442"/>
      <c r="X62" s="441"/>
      <c r="Y62" s="442"/>
      <c r="Z62" s="442"/>
      <c r="AA62" s="442"/>
      <c r="AB62" s="442"/>
      <c r="AC62" s="442"/>
      <c r="AD62" s="442"/>
      <c r="AE62" s="442"/>
      <c r="AF62" s="442"/>
      <c r="AG62" s="442"/>
      <c r="AH62" s="442"/>
      <c r="AI62" s="442"/>
      <c r="AK62" s="431"/>
      <c r="AN62" s="430"/>
    </row>
    <row r="63" spans="1:40" x14ac:dyDescent="0.3">
      <c r="B63" s="358"/>
      <c r="C63" s="357"/>
      <c r="D63" s="357"/>
      <c r="E63" s="357"/>
      <c r="F63" s="357"/>
      <c r="G63" s="448"/>
      <c r="H63" s="449"/>
      <c r="I63" s="449"/>
      <c r="K63" s="454"/>
      <c r="L63" s="454"/>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448"/>
      <c r="H64" s="449"/>
      <c r="I64" s="449"/>
      <c r="K64" s="454"/>
      <c r="L64" s="454"/>
      <c r="M64" s="442"/>
      <c r="N64" s="442"/>
      <c r="O64" s="442"/>
      <c r="P64" s="442"/>
      <c r="Q64" s="442"/>
      <c r="R64" s="442"/>
      <c r="S64" s="442"/>
      <c r="T64" s="442"/>
      <c r="U64" s="442"/>
      <c r="V64" s="442"/>
      <c r="X64" s="441"/>
      <c r="Y64" s="442"/>
      <c r="Z64" s="442"/>
      <c r="AA64" s="442"/>
      <c r="AB64" s="442"/>
      <c r="AC64" s="442"/>
      <c r="AD64" s="442"/>
      <c r="AE64" s="442"/>
      <c r="AF64" s="442"/>
      <c r="AG64" s="442"/>
      <c r="AH64" s="442"/>
      <c r="AI64" s="442"/>
      <c r="AK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445"/>
      <c r="K66" s="441"/>
      <c r="L66" s="442"/>
      <c r="M66" s="442"/>
      <c r="N66" s="442"/>
      <c r="O66" s="442"/>
      <c r="P66" s="442"/>
      <c r="Q66" s="442"/>
      <c r="R66" s="442"/>
      <c r="S66" s="442"/>
      <c r="T66" s="442"/>
      <c r="U66" s="442"/>
      <c r="V66" s="442"/>
      <c r="X66" s="441"/>
      <c r="Y66" s="442"/>
      <c r="Z66" s="442"/>
      <c r="AA66" s="442"/>
      <c r="AB66" s="442"/>
      <c r="AC66" s="442"/>
      <c r="AD66" s="442"/>
      <c r="AE66" s="442"/>
      <c r="AF66" s="442"/>
      <c r="AG66" s="442"/>
      <c r="AH66" s="442"/>
      <c r="AI66" s="442"/>
      <c r="AK66" s="431"/>
      <c r="AN66" s="430"/>
    </row>
    <row r="67" spans="2:40" x14ac:dyDescent="0.3">
      <c r="B67" s="358"/>
      <c r="C67" s="357"/>
      <c r="D67" s="357"/>
      <c r="E67" s="357"/>
      <c r="F67" s="357"/>
      <c r="G67" s="357"/>
      <c r="H67" s="357"/>
      <c r="I67" s="357"/>
      <c r="J67" s="357"/>
      <c r="K67" s="445"/>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B68" s="349"/>
      <c r="C68" s="349"/>
      <c r="D68" s="349"/>
      <c r="E68" s="349"/>
      <c r="F68" s="349"/>
      <c r="G68" s="349"/>
      <c r="H68" s="349"/>
      <c r="I68" s="349"/>
      <c r="J68" s="349"/>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O72" s="431"/>
      <c r="P72" s="431"/>
    </row>
    <row r="73" spans="2:40" x14ac:dyDescent="0.3">
      <c r="B73" s="446"/>
      <c r="C73" s="435"/>
      <c r="D73" s="435"/>
      <c r="E73" s="435"/>
      <c r="F73" s="435"/>
      <c r="G73" s="435"/>
      <c r="H73" s="435"/>
      <c r="I73" s="435"/>
      <c r="J73" s="435"/>
      <c r="K73" s="435"/>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sheetData>
  <mergeCells count="1">
    <mergeCell ref="B19:H33"/>
  </mergeCells>
  <pageMargins left="0" right="0" top="0" bottom="0" header="0" footer="0"/>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Y142"/>
  <sheetViews>
    <sheetView topLeftCell="A2" zoomScale="70" zoomScaleNormal="70" workbookViewId="0">
      <pane xSplit="2" ySplit="1" topLeftCell="W3" activePane="bottomRight" state="frozen"/>
      <selection activeCell="DV1" sqref="DV1:DV1048576"/>
      <selection pane="topRight" activeCell="DV1" sqref="DV1:DV1048576"/>
      <selection pane="bottomLeft" activeCell="DV1" sqref="DV1:DV1048576"/>
      <selection pane="bottomRight" activeCell="W2" sqref="W2"/>
    </sheetView>
  </sheetViews>
  <sheetFormatPr defaultColWidth="9.109375" defaultRowHeight="13.8" x14ac:dyDescent="0.3"/>
  <cols>
    <col min="1" max="1" width="41.21875" style="21" bestFit="1" customWidth="1"/>
    <col min="2" max="2" width="11.5546875" style="21" customWidth="1"/>
    <col min="3" max="3" width="25.77734375" style="21" bestFit="1" customWidth="1"/>
    <col min="4" max="134" width="11.21875" style="21" customWidth="1"/>
    <col min="135" max="136" width="9.109375" style="21" customWidth="1"/>
    <col min="137" max="137" width="9.109375" style="74" customWidth="1"/>
    <col min="138" max="138" width="35.44140625" style="21" customWidth="1"/>
    <col min="139" max="153" width="9.109375" style="21" customWidth="1"/>
    <col min="154" max="16384" width="9.109375" style="21"/>
  </cols>
  <sheetData>
    <row r="1" spans="1:137" x14ac:dyDescent="0.3">
      <c r="D1" s="21" t="s">
        <v>64</v>
      </c>
    </row>
    <row r="2" spans="1:137" s="174" customFormat="1" ht="151.80000000000001" x14ac:dyDescent="0.25">
      <c r="C2" s="174" t="s">
        <v>62</v>
      </c>
      <c r="D2" s="174" t="s">
        <v>1209</v>
      </c>
      <c r="E2" s="174" t="s">
        <v>1470</v>
      </c>
      <c r="F2" s="174" t="s">
        <v>1471</v>
      </c>
      <c r="G2" s="174" t="s">
        <v>1472</v>
      </c>
      <c r="H2" s="174" t="s">
        <v>1473</v>
      </c>
      <c r="I2" s="174" t="s">
        <v>1474</v>
      </c>
      <c r="J2" s="174" t="s">
        <v>1475</v>
      </c>
      <c r="K2" s="174" t="s">
        <v>1476</v>
      </c>
      <c r="L2" s="174" t="s">
        <v>1477</v>
      </c>
      <c r="M2" s="174" t="s">
        <v>1478</v>
      </c>
      <c r="N2" s="174" t="s">
        <v>1479</v>
      </c>
      <c r="O2" s="174" t="s">
        <v>1480</v>
      </c>
      <c r="P2" s="174" t="s">
        <v>1481</v>
      </c>
      <c r="Q2" s="174" t="s">
        <v>1482</v>
      </c>
      <c r="R2" s="174" t="s">
        <v>1483</v>
      </c>
      <c r="S2" s="174" t="s">
        <v>1484</v>
      </c>
      <c r="T2" s="174" t="s">
        <v>1485</v>
      </c>
      <c r="U2" s="174" t="s">
        <v>1486</v>
      </c>
      <c r="V2" s="174" t="s">
        <v>1487</v>
      </c>
      <c r="W2" s="174" t="s">
        <v>1463</v>
      </c>
      <c r="X2" s="174" t="s">
        <v>1374</v>
      </c>
      <c r="Y2" s="174" t="s">
        <v>1376</v>
      </c>
      <c r="Z2" s="174" t="s">
        <v>1373</v>
      </c>
      <c r="AA2" s="174" t="s">
        <v>1372</v>
      </c>
      <c r="AB2" s="174" t="s">
        <v>1371</v>
      </c>
      <c r="AC2" s="174" t="s">
        <v>1377</v>
      </c>
      <c r="AD2" s="174" t="s">
        <v>1370</v>
      </c>
      <c r="AE2" s="174" t="s">
        <v>1375</v>
      </c>
      <c r="AF2" s="174" t="s">
        <v>961</v>
      </c>
      <c r="AG2" s="174" t="s">
        <v>1210</v>
      </c>
      <c r="AH2" s="174" t="s">
        <v>1211</v>
      </c>
      <c r="AI2" s="174" t="s">
        <v>221</v>
      </c>
      <c r="AJ2" s="174" t="s">
        <v>222</v>
      </c>
      <c r="AK2" s="174" t="s">
        <v>1212</v>
      </c>
      <c r="AL2" s="174" t="s">
        <v>1256</v>
      </c>
      <c r="AM2" s="174" t="s">
        <v>413</v>
      </c>
      <c r="AN2" s="174" t="s">
        <v>1255</v>
      </c>
      <c r="AO2" s="174" t="s">
        <v>1213</v>
      </c>
      <c r="AP2" s="174" t="s">
        <v>1214</v>
      </c>
      <c r="AQ2" s="174" t="s">
        <v>1215</v>
      </c>
      <c r="AR2" s="174" t="s">
        <v>1150</v>
      </c>
      <c r="AS2" s="174" t="s">
        <v>1216</v>
      </c>
      <c r="AT2" s="174" t="s">
        <v>1217</v>
      </c>
      <c r="AU2" s="174" t="s">
        <v>1218</v>
      </c>
      <c r="AV2" s="174" t="str">
        <f>"Private car - BEV ("&amp;ABS(('0_Total'!AV11/'0_Total'!$AX11-1)*100)&amp;"% smaller battery)"</f>
        <v>Private car - BEV (25% smaller battery)</v>
      </c>
      <c r="AW2" s="174" t="str">
        <f>"Private car - BEV ("&amp;('0_Total'!AW11/'0_Total'!$AX11-1)*100&amp;"% larger battery)"</f>
        <v>Private car - BEV (25% larger battery)</v>
      </c>
      <c r="AX2" s="174" t="s">
        <v>1219</v>
      </c>
      <c r="AY2" s="174" t="s">
        <v>1220</v>
      </c>
      <c r="AZ2" s="174" t="s">
        <v>1221</v>
      </c>
      <c r="BA2" s="174" t="s">
        <v>1222</v>
      </c>
      <c r="BB2" s="174" t="s">
        <v>1223</v>
      </c>
      <c r="BC2" s="174" t="s">
        <v>1422</v>
      </c>
      <c r="BD2" s="174" t="s">
        <v>1423</v>
      </c>
      <c r="BE2" s="174" t="s">
        <v>1424</v>
      </c>
      <c r="BF2" s="174" t="s">
        <v>1425</v>
      </c>
      <c r="BG2" s="174" t="s">
        <v>1426</v>
      </c>
      <c r="BH2" s="174" t="str">
        <f>"Ridesourcing - car - ICE (25% higher average load: "&amp;ROUND(Tech_Spec_TNC!D20*1.25,2)&amp;" passengers on board, no change in deadheading km share)"</f>
        <v>Ridesourcing - car - ICE (25% higher average load: 1,94 passengers on board, no change in deadheading km share)</v>
      </c>
      <c r="BI2" s="174" t="s">
        <v>1427</v>
      </c>
      <c r="BJ2" s="174" t="s">
        <v>1428</v>
      </c>
      <c r="BK2" s="174" t="s">
        <v>1429</v>
      </c>
      <c r="BL2" s="174" t="str">
        <f>$BT2&amp;" "&amp;MID($BF2,27,LEN($BF2)-26)</f>
        <v>Ridesourcing - car - BEV single passenger on board, no change in deadheading km share)</v>
      </c>
      <c r="BM2" s="174" t="str">
        <f>$BT2&amp;" "&amp;MID($BG2,27,LEN($BG2)-26)</f>
        <v>Ridesourcing - car - BEV two passengers on board, no change in deadheading km share)</v>
      </c>
      <c r="BN2" s="174" t="str">
        <f>$BT2&amp;" "&amp;MID($BH2,27,LEN($BH2)-26)</f>
        <v>Ridesourcing - car - BEV 25% higher average load: 1,94 passengers on board, no change in deadheading km share)</v>
      </c>
      <c r="BO2" s="174" t="str">
        <f>$BT2&amp;" (high carbon intensity of electricity in use phase)"</f>
        <v>Ridesourcing - car - BEV (high carbon intensity of electricity in use phase)</v>
      </c>
      <c r="BP2" s="174" t="str">
        <f>$BT2&amp;" (low carbon intensity of electricity in use phase)"</f>
        <v>Ridesourcing - car - BEV (low carbon intensity of electricity in use phase)</v>
      </c>
      <c r="BQ2" s="174" t="str">
        <f>$BT2&amp;" (Lower carbon intensity of battery manufacturing)"</f>
        <v>Ridesourcing - car - BEV (Lower carbon intensity of battery manufacturing)</v>
      </c>
      <c r="BR2" s="174" t="str">
        <f>$BT2&amp;" ("&amp;ABS(('0_Total'!BR11/'0_Total'!$BT11-1)*100)&amp;"% smaller battery)"</f>
        <v>Ridesourcing - car - BEV (25% smaller battery)</v>
      </c>
      <c r="BS2" s="174" t="str">
        <f>$BT2&amp;" ("&amp;('0_Total'!BS11/'0_Total'!$BT11-1)*100&amp;"% larger battery)"</f>
        <v>Ridesourcing - car - BEV (25% larger battery)</v>
      </c>
      <c r="BT2" s="174" t="s">
        <v>1430</v>
      </c>
      <c r="BU2" s="472" t="str">
        <f>$CC2&amp;" "&amp;MID($BF2,27,LEN($BF2)-26)</f>
        <v>Ridesourcing - car - BEV (two packs) single passenger on board, no change in deadheading km share)</v>
      </c>
      <c r="BV2" s="472" t="str">
        <f>$CC2&amp;" "&amp;MID($BG2,27,LEN($BG2)-26)</f>
        <v>Ridesourcing - car - BEV (two packs) two passengers on board, no change in deadheading km share)</v>
      </c>
      <c r="BW2" s="472" t="str">
        <f>$CC2&amp;" "&amp;MID($BH2,27,LEN($BH2)-26)</f>
        <v>Ridesourcing - car - BEV (two packs) 25% higher average load: 1,94 passengers on board, no change in deadheading km share)</v>
      </c>
      <c r="BX2" s="472" t="str">
        <f>$CC2&amp;" (high carbon intensity of electricity in use phase)"</f>
        <v>Ridesourcing - car - BEV (two packs) (high carbon intensity of electricity in use phase)</v>
      </c>
      <c r="BY2" s="472" t="str">
        <f>$CC2&amp;" (low carbon intensity of electricity in use phase)"</f>
        <v>Ridesourcing - car - BEV (two packs) (low carbon intensity of electricity in use phase)</v>
      </c>
      <c r="BZ2" s="472" t="str">
        <f>$CC2&amp;" (Lower carbon intensity of battery manufacturing)"</f>
        <v>Ridesourcing - car - BEV (two packs) (Lower carbon intensity of battery manufacturing)</v>
      </c>
      <c r="CA2" s="472" t="str">
        <f>$CC2&amp;" ("&amp;ABS(('0_Total'!CA11/'0_Total'!$CC11-1)*100)&amp;"% smaller battery)"</f>
        <v>Ridesourcing - car - BEV (two packs) (25% smaller battery)</v>
      </c>
      <c r="CB2" s="472" t="str">
        <f>$CC2&amp;" ("&amp;('0_Total'!CB11/'0_Total'!$CC11-1)*100&amp;"% larger battery)"</f>
        <v>Ridesourcing - car - BEV (two packs) (25% larger battery)</v>
      </c>
      <c r="CC2" s="472" t="s">
        <v>1464</v>
      </c>
      <c r="CD2" s="174" t="s">
        <v>1431</v>
      </c>
      <c r="CE2" s="174" t="s">
        <v>1432</v>
      </c>
      <c r="CF2" s="174" t="s">
        <v>1433</v>
      </c>
      <c r="CG2" s="174" t="s">
        <v>1434</v>
      </c>
      <c r="CH2" s="174" t="str">
        <f>"Taxi "&amp;MID(CS2,27,20)</f>
        <v>Taxi  ICE</v>
      </c>
      <c r="CI2" s="174" t="str">
        <f>"Taxi "&amp;MID(CT2,27,20)</f>
        <v>Taxi  HEV</v>
      </c>
      <c r="CJ2" s="174" t="str">
        <f>"Taxi "&amp;MID(CU2,27,20)</f>
        <v>Taxi  PHEV</v>
      </c>
      <c r="CK2" s="174" t="str">
        <f>"Taxi "&amp;MID(CV2,27,20)</f>
        <v>Taxi  BEV</v>
      </c>
      <c r="CL2" s="174" t="str">
        <f>"Taxi "&amp;MID(CW2,27,20)</f>
        <v>Taxi  BEV (two packs)</v>
      </c>
      <c r="CM2" s="174" t="str">
        <f>"Taxi "&amp;MID(CR2,19,20)</f>
        <v>Taxi - FCEV</v>
      </c>
      <c r="CN2" s="174" t="str">
        <f>"Large "&amp;AO2</f>
        <v>Large Private car - ICE</v>
      </c>
      <c r="CO2" s="174" t="str">
        <f>"Large "&amp;AP2</f>
        <v>Large Private car - HEV</v>
      </c>
      <c r="CP2" s="174" t="str">
        <f>"Large "&amp;AQ2</f>
        <v>Large Private car - PHEV</v>
      </c>
      <c r="CQ2" s="174" t="str">
        <f>"Large "&amp;AX2</f>
        <v>Large Private car - BEV</v>
      </c>
      <c r="CR2" s="174" t="str">
        <f>"Large "&amp;BB2</f>
        <v>Large Private car - FCEV</v>
      </c>
      <c r="CS2" s="174" t="s">
        <v>1435</v>
      </c>
      <c r="CT2" s="174" t="s">
        <v>1436</v>
      </c>
      <c r="CU2" s="174" t="s">
        <v>1437</v>
      </c>
      <c r="CV2" s="174" t="s">
        <v>1438</v>
      </c>
      <c r="CW2" s="472" t="s">
        <v>1465</v>
      </c>
      <c r="CX2" s="174" t="s">
        <v>1439</v>
      </c>
      <c r="CY2" s="174" t="s">
        <v>1440</v>
      </c>
      <c r="CZ2" s="174" t="s">
        <v>1441</v>
      </c>
      <c r="DA2" s="174" t="s">
        <v>1442</v>
      </c>
      <c r="DB2" s="174" t="s">
        <v>1443</v>
      </c>
      <c r="DC2" s="472" t="s">
        <v>1466</v>
      </c>
      <c r="DD2" s="174" t="s">
        <v>1444</v>
      </c>
      <c r="DE2" s="174" t="s">
        <v>1445</v>
      </c>
      <c r="DF2" s="174" t="s">
        <v>1446</v>
      </c>
      <c r="DH2" s="174" t="s">
        <v>1447</v>
      </c>
      <c r="DI2" s="472" t="s">
        <v>1467</v>
      </c>
      <c r="DJ2" s="174" t="s">
        <v>1448</v>
      </c>
      <c r="DK2" s="490" t="s">
        <v>1184</v>
      </c>
      <c r="DL2" s="490" t="s">
        <v>1183</v>
      </c>
      <c r="DM2" s="490" t="s">
        <v>1187</v>
      </c>
      <c r="DN2" s="490" t="s">
        <v>1182</v>
      </c>
      <c r="DO2" s="490" t="s">
        <v>1186</v>
      </c>
      <c r="DP2" s="490" t="s">
        <v>1185</v>
      </c>
      <c r="DQ2" s="174" t="s">
        <v>262</v>
      </c>
      <c r="DR2" s="174" t="s">
        <v>264</v>
      </c>
      <c r="DS2" s="174" t="s">
        <v>1468</v>
      </c>
      <c r="DT2" s="174" t="s">
        <v>1469</v>
      </c>
      <c r="DU2" s="174" t="s">
        <v>265</v>
      </c>
      <c r="DV2" s="174" t="s">
        <v>1398</v>
      </c>
      <c r="DW2" s="174" t="s">
        <v>965</v>
      </c>
      <c r="DX2" s="490" t="s">
        <v>1179</v>
      </c>
      <c r="DY2" s="490" t="s">
        <v>1178</v>
      </c>
      <c r="DZ2" s="490" t="s">
        <v>1177</v>
      </c>
      <c r="EA2" s="490" t="s">
        <v>1176</v>
      </c>
      <c r="EB2" s="490" t="s">
        <v>1181</v>
      </c>
      <c r="EC2" s="490" t="s">
        <v>1180</v>
      </c>
      <c r="ED2" s="174" t="s">
        <v>285</v>
      </c>
      <c r="EG2" s="175"/>
    </row>
    <row r="3" spans="1:137" x14ac:dyDescent="0.3">
      <c r="A3" s="21" t="s">
        <v>61</v>
      </c>
      <c r="B3" s="21" t="s">
        <v>79</v>
      </c>
      <c r="C3" s="21" t="s">
        <v>122</v>
      </c>
      <c r="D3" s="303">
        <f>'0_Total'!D10</f>
        <v>10.881479876872589</v>
      </c>
      <c r="E3" s="303">
        <f>'0_Total'!E10</f>
        <v>13.601849846090737</v>
      </c>
      <c r="F3" s="303">
        <f>'0_Total'!F10</f>
        <v>10.881479876872589</v>
      </c>
      <c r="G3" s="303">
        <f>'0_Total'!G10</f>
        <v>10.881479876872589</v>
      </c>
      <c r="H3" s="303">
        <f>'0_Total'!H10</f>
        <v>10.881479876872589</v>
      </c>
      <c r="I3" s="303">
        <f>'0_Total'!I10</f>
        <v>10.881479876872589</v>
      </c>
      <c r="J3" s="303">
        <f>'0_Total'!J10</f>
        <v>10.881479876872589</v>
      </c>
      <c r="K3" s="303">
        <f>'0_Total'!K10</f>
        <v>10.881479876872589</v>
      </c>
      <c r="L3" s="303">
        <f>'0_Total'!L10</f>
        <v>10.881479876872589</v>
      </c>
      <c r="M3" s="303">
        <f>'0_Total'!M10</f>
        <v>10.881479876872589</v>
      </c>
      <c r="N3" s="303">
        <f>'0_Total'!N10</f>
        <v>10.881479876872589</v>
      </c>
      <c r="O3" s="303">
        <f>'0_Total'!O10</f>
        <v>10.881479876872589</v>
      </c>
      <c r="P3" s="303">
        <f>'0_Total'!P10</f>
        <v>10.881479876872589</v>
      </c>
      <c r="Q3" s="303">
        <f>'0_Total'!Q10</f>
        <v>10.881479876872589</v>
      </c>
      <c r="R3" s="303">
        <f>'0_Total'!R10</f>
        <v>10.881479876872589</v>
      </c>
      <c r="S3" s="303">
        <f>'0_Total'!S10</f>
        <v>13.601849846090737</v>
      </c>
      <c r="T3" s="303">
        <f>'0_Total'!T10</f>
        <v>10.881479876872589</v>
      </c>
      <c r="U3" s="303">
        <f>'0_Total'!U10</f>
        <v>10.881479876872589</v>
      </c>
      <c r="V3" s="303">
        <f>'0_Total'!V10</f>
        <v>10.881479876872589</v>
      </c>
      <c r="W3" s="303">
        <f>'0_Total'!W10</f>
        <v>10.881479876872589</v>
      </c>
      <c r="X3" s="303">
        <f>'0_Total'!X10</f>
        <v>24.636668958139129</v>
      </c>
      <c r="Y3" s="303">
        <f>'0_Total'!Y10</f>
        <v>24.636668958139129</v>
      </c>
      <c r="Z3" s="303">
        <f>'0_Total'!Z10</f>
        <v>24.636668958139129</v>
      </c>
      <c r="AA3" s="303">
        <f>'0_Total'!AA10</f>
        <v>24.636668958139129</v>
      </c>
      <c r="AB3" s="303">
        <f>'0_Total'!AB10</f>
        <v>24.636668958139129</v>
      </c>
      <c r="AC3" s="303">
        <f>'0_Total'!AC10</f>
        <v>24.636668958139129</v>
      </c>
      <c r="AD3" s="303">
        <f>'0_Total'!AD10</f>
        <v>24.636668958139129</v>
      </c>
      <c r="AE3" s="303">
        <f>'0_Total'!AE10</f>
        <v>24.636668958139129</v>
      </c>
      <c r="AF3" s="303">
        <f>'0_Total'!AF10</f>
        <v>10.881479876872589</v>
      </c>
      <c r="AG3" s="303">
        <f>'0_Total'!AG10</f>
        <v>20.6448</v>
      </c>
      <c r="AH3" s="303">
        <f>'0_Total'!AH10</f>
        <v>23.296279876872589</v>
      </c>
      <c r="AI3" s="303">
        <f>'0_Total'!AI10</f>
        <v>26.633600000000001</v>
      </c>
      <c r="AJ3" s="303">
        <f>'0_Total'!AJ10</f>
        <v>30.833600000000001</v>
      </c>
      <c r="AK3" s="303">
        <f>'0_Total'!AK10</f>
        <v>94</v>
      </c>
      <c r="AL3" s="303">
        <f>'0_Total'!AL10</f>
        <v>82.86820809248556</v>
      </c>
      <c r="AM3" s="303">
        <f>'0_Total'!AM10</f>
        <v>94</v>
      </c>
      <c r="AN3" s="303">
        <f>'0_Total'!AN10</f>
        <v>82.86820809248556</v>
      </c>
      <c r="AO3" s="303">
        <f>'0_Total'!AO10</f>
        <v>1494.1010327851752</v>
      </c>
      <c r="AP3" s="303">
        <f>'0_Total'!AP10</f>
        <v>1581.4712309860752</v>
      </c>
      <c r="AQ3" s="303">
        <f>'0_Total'!AQ10</f>
        <v>1661.4710705892749</v>
      </c>
      <c r="AR3" s="303">
        <f>'0_Total'!AR10</f>
        <v>1392.6061731980951</v>
      </c>
      <c r="AS3" s="303">
        <f>'0_Total'!AS10</f>
        <v>1392.6061731980951</v>
      </c>
      <c r="AT3" s="303">
        <f>'0_Total'!AT10</f>
        <v>1392.6061731980951</v>
      </c>
      <c r="AU3" s="303">
        <f>'0_Total'!AU10</f>
        <v>1392.6061731980951</v>
      </c>
      <c r="AV3" s="303">
        <f>'0_Total'!AV10</f>
        <v>1392.6061731980951</v>
      </c>
      <c r="AW3" s="303">
        <f>'0_Total'!AW10</f>
        <v>1392.6061731980951</v>
      </c>
      <c r="AX3" s="303">
        <f>'0_Total'!AX10</f>
        <v>1392.6061731980951</v>
      </c>
      <c r="AY3" s="303">
        <f>'0_Total'!AY10</f>
        <v>1678.6055997795354</v>
      </c>
      <c r="AZ3" s="303">
        <f>'0_Total'!AY10</f>
        <v>1678.6055997795354</v>
      </c>
      <c r="BA3" s="303">
        <f>'0_Total'!BA10</f>
        <v>1678.6055997795354</v>
      </c>
      <c r="BB3" s="303">
        <f>'0_Total'!BB10</f>
        <v>1678.6055997795354</v>
      </c>
      <c r="BC3" s="303">
        <f>'0_Total'!BC10</f>
        <v>1494.1010327851752</v>
      </c>
      <c r="BD3" s="303">
        <f>'0_Total'!BD10</f>
        <v>1494.1010327851752</v>
      </c>
      <c r="BE3" s="303">
        <f>'0_Total'!BE10</f>
        <v>1494.1010327851752</v>
      </c>
      <c r="BF3" s="303">
        <f>'0_Total'!BF10</f>
        <v>1494.1010327851752</v>
      </c>
      <c r="BG3" s="303">
        <f>'0_Total'!BG10</f>
        <v>1494.1010327851752</v>
      </c>
      <c r="BH3" s="303">
        <f>'0_Total'!BH10</f>
        <v>1494.1010327851752</v>
      </c>
      <c r="BI3" s="303">
        <f>'0_Total'!BI10</f>
        <v>1494.1010327851752</v>
      </c>
      <c r="BJ3" s="303">
        <f>'0_Total'!BJ10</f>
        <v>1581.4712309860752</v>
      </c>
      <c r="BK3" s="303">
        <f>'0_Total'!BK10</f>
        <v>1661.4710705892749</v>
      </c>
      <c r="BL3" s="303">
        <f>'0_Total'!BL10</f>
        <v>1392.6061731980951</v>
      </c>
      <c r="BM3" s="303">
        <f>'0_Total'!BM10</f>
        <v>1392.6061731980951</v>
      </c>
      <c r="BN3" s="303">
        <f>'0_Total'!BN10</f>
        <v>1392.6061731980951</v>
      </c>
      <c r="BO3" s="303">
        <f>'0_Total'!BO10</f>
        <v>1392.6061731980951</v>
      </c>
      <c r="BP3" s="303">
        <f>'0_Total'!BP10</f>
        <v>1392.6061731980951</v>
      </c>
      <c r="BQ3" s="303">
        <f>'0_Total'!BQ10</f>
        <v>1392.6061731980951</v>
      </c>
      <c r="BR3" s="303">
        <f>'0_Total'!BR10</f>
        <v>1392.6061731980951</v>
      </c>
      <c r="BS3" s="303">
        <f>'0_Total'!BS10</f>
        <v>1392.6061731980951</v>
      </c>
      <c r="BT3" s="303">
        <f>'0_Total'!BT10</f>
        <v>1392.6061731980951</v>
      </c>
      <c r="BU3" s="303">
        <f>'0_Total'!BU10</f>
        <v>1392.6061731980951</v>
      </c>
      <c r="BV3" s="303">
        <f>'0_Total'!BV10</f>
        <v>1392.6061731980951</v>
      </c>
      <c r="BW3" s="303">
        <f>'0_Total'!BW10</f>
        <v>1392.6061731980951</v>
      </c>
      <c r="BX3" s="303">
        <f>'0_Total'!BX10</f>
        <v>1392.6061731980951</v>
      </c>
      <c r="BY3" s="303">
        <f>'0_Total'!BY10</f>
        <v>1392.6061731980951</v>
      </c>
      <c r="BZ3" s="303">
        <f>'0_Total'!BZ10</f>
        <v>1392.6061731980951</v>
      </c>
      <c r="CA3" s="303">
        <f>'0_Total'!CA10</f>
        <v>1392.6061731980951</v>
      </c>
      <c r="CB3" s="303">
        <f>'0_Total'!CB10</f>
        <v>1392.6061731980951</v>
      </c>
      <c r="CC3" s="303">
        <f>'0_Total'!CC10</f>
        <v>1392.6061731980951</v>
      </c>
      <c r="CD3" s="303">
        <f>'0_Total'!CD10</f>
        <v>1678.6055997795354</v>
      </c>
      <c r="CE3" s="303">
        <f>'0_Total'!CD10</f>
        <v>1678.6055997795354</v>
      </c>
      <c r="CF3" s="303">
        <f>'0_Total'!CF10</f>
        <v>1678.6055997795354</v>
      </c>
      <c r="CG3" s="303">
        <f>'0_Total'!CG10</f>
        <v>1678.6055997795354</v>
      </c>
      <c r="CH3" s="303">
        <f>'0_Total'!CH10</f>
        <v>1494.1010327851752</v>
      </c>
      <c r="CI3" s="303">
        <f>'0_Total'!CI10</f>
        <v>1581.4712309860752</v>
      </c>
      <c r="CJ3" s="303">
        <f>'0_Total'!CJ10</f>
        <v>1661.4710705892749</v>
      </c>
      <c r="CK3" s="303">
        <f>'0_Total'!CK10</f>
        <v>1392.6061731980951</v>
      </c>
      <c r="CL3" s="303">
        <f>'0_Total'!CL10</f>
        <v>1392.6061731980951</v>
      </c>
      <c r="CM3" s="303">
        <f>'0_Total'!CM10</f>
        <v>1678.6055997795354</v>
      </c>
      <c r="CN3" s="303">
        <f>'0_Total'!CN10</f>
        <v>1898.2080492654404</v>
      </c>
      <c r="CO3" s="303">
        <f>'0_Total'!CO10</f>
        <v>2002.34527005376</v>
      </c>
      <c r="CP3" s="303">
        <f>'0_Total'!CP10</f>
        <v>2097.3450795825606</v>
      </c>
      <c r="CQ3" s="303">
        <f>'0_Total'!CQ10</f>
        <v>1777.4175792144003</v>
      </c>
      <c r="CR3" s="303">
        <f>'0_Total'!CR10</f>
        <v>2138.4168554238399</v>
      </c>
      <c r="CS3" s="303">
        <f>'0_Total'!CS10</f>
        <v>1898.2080492654404</v>
      </c>
      <c r="CT3" s="303">
        <f>'0_Total'!CT10</f>
        <v>2002.34527005376</v>
      </c>
      <c r="CU3" s="303">
        <f>'0_Total'!CU10</f>
        <v>2097.3450795825606</v>
      </c>
      <c r="CV3" s="303">
        <f>'0_Total'!CV10</f>
        <v>1777.4175792144003</v>
      </c>
      <c r="CW3" s="303">
        <f>'0_Total'!CW10</f>
        <v>1777.4175792144003</v>
      </c>
      <c r="CX3" s="303">
        <f>'0_Total'!CX10</f>
        <v>2138.4168554238399</v>
      </c>
      <c r="CY3" s="303">
        <f>'0_Total'!CY10</f>
        <v>1898.2080492654404</v>
      </c>
      <c r="CZ3" s="303">
        <f>'0_Total'!CZ10</f>
        <v>2002.34527005376</v>
      </c>
      <c r="DA3" s="303">
        <f>'0_Total'!DA10</f>
        <v>2097.3450795825606</v>
      </c>
      <c r="DB3" s="303">
        <f>'0_Total'!DB10</f>
        <v>1777.4175792144003</v>
      </c>
      <c r="DC3" s="303">
        <f>'0_Total'!DC10</f>
        <v>1777.4175792144003</v>
      </c>
      <c r="DD3" s="303">
        <f>'0_Total'!DD10</f>
        <v>2138.4168554238399</v>
      </c>
      <c r="DE3" s="303">
        <f>'0_Total'!DE10</f>
        <v>3554.1797866057218</v>
      </c>
      <c r="DF3" s="303">
        <f>'0_Total'!DF10</f>
        <v>3605.297880700612</v>
      </c>
      <c r="DG3" s="303"/>
      <c r="DH3" s="303">
        <f>'0_Total'!DH10</f>
        <v>3692.3711869205181</v>
      </c>
      <c r="DI3" s="303">
        <f>'0_Total'!DI10</f>
        <v>3692.3711869205181</v>
      </c>
      <c r="DJ3" s="303">
        <f>'0_Total'!DJ10</f>
        <v>4081.9599178517346</v>
      </c>
      <c r="DK3" s="303">
        <f>'0_Total'!DK10</f>
        <v>10398</v>
      </c>
      <c r="DL3" s="303">
        <f>'0_Total'!DL10</f>
        <v>10398</v>
      </c>
      <c r="DM3" s="303">
        <f>'0_Total'!DM10</f>
        <v>10398</v>
      </c>
      <c r="DN3" s="303">
        <f>'0_Total'!DN10</f>
        <v>10398</v>
      </c>
      <c r="DO3" s="303">
        <f>'0_Total'!DO10</f>
        <v>10398</v>
      </c>
      <c r="DP3" s="303">
        <f>'0_Total'!DP10</f>
        <v>10398</v>
      </c>
      <c r="DQ3" s="303">
        <f>'0_Total'!DQ10</f>
        <v>10398</v>
      </c>
      <c r="DR3" s="303">
        <f>'0_Total'!DR10</f>
        <v>10230</v>
      </c>
      <c r="DS3" s="303">
        <f>'0_Total'!DS10</f>
        <v>11606.514836002854</v>
      </c>
      <c r="DT3" s="303">
        <f>'0_Total'!DT10</f>
        <v>11606.514836002854</v>
      </c>
      <c r="DU3" s="303">
        <f>'0_Total'!DU10</f>
        <v>11606.514836002854</v>
      </c>
      <c r="DV3" s="303">
        <f>'0_Total'!DV10</f>
        <v>12114.258414449205</v>
      </c>
      <c r="DW3" s="303">
        <f>'0_Total'!DW10</f>
        <v>12114.258414449205</v>
      </c>
      <c r="DX3" s="303">
        <f>'0_Total'!DX10</f>
        <v>186000</v>
      </c>
      <c r="DY3" s="303">
        <f>'0_Total'!DY10</f>
        <v>186000</v>
      </c>
      <c r="DZ3" s="303">
        <f>'0_Total'!DZ10</f>
        <v>186000</v>
      </c>
      <c r="EA3" s="303">
        <f>'0_Total'!EA10</f>
        <v>186000</v>
      </c>
      <c r="EB3" s="303">
        <f>'0_Total'!EB10</f>
        <v>186000</v>
      </c>
      <c r="EC3" s="303">
        <f>'0_Total'!EC10</f>
        <v>186000</v>
      </c>
      <c r="ED3" s="303">
        <f>'0_Total'!ED10</f>
        <v>186000</v>
      </c>
      <c r="EF3" s="21" t="s">
        <v>82</v>
      </c>
    </row>
    <row r="4" spans="1:137" x14ac:dyDescent="0.3">
      <c r="A4" s="21" t="s">
        <v>112</v>
      </c>
      <c r="B4" s="21" t="s">
        <v>171</v>
      </c>
      <c r="D4" s="277">
        <f>'0_Total'!D11</f>
        <v>0.33</v>
      </c>
      <c r="E4" s="277">
        <f>'0_Total'!E11</f>
        <v>0.33</v>
      </c>
      <c r="F4" s="277">
        <f>'0_Total'!F11</f>
        <v>0.33</v>
      </c>
      <c r="G4" s="277">
        <f>'0_Total'!G11</f>
        <v>0.33</v>
      </c>
      <c r="H4" s="277">
        <f>'0_Total'!H11</f>
        <v>0.33</v>
      </c>
      <c r="I4" s="277">
        <f>'0_Total'!I11</f>
        <v>0.33</v>
      </c>
      <c r="J4" s="277">
        <f>'0_Total'!J11</f>
        <v>0.33</v>
      </c>
      <c r="K4" s="277">
        <f>'0_Total'!K11</f>
        <v>0.33</v>
      </c>
      <c r="L4" s="277">
        <f>'0_Total'!L11</f>
        <v>0.33</v>
      </c>
      <c r="M4" s="277">
        <f>'0_Total'!M11</f>
        <v>0.33</v>
      </c>
      <c r="N4" s="277">
        <f>'0_Total'!N11</f>
        <v>0.33</v>
      </c>
      <c r="O4" s="277">
        <f>'0_Total'!O11</f>
        <v>0.33</v>
      </c>
      <c r="P4" s="277">
        <f>'0_Total'!P11</f>
        <v>0.33</v>
      </c>
      <c r="Q4" s="277">
        <f>'0_Total'!Q11</f>
        <v>0.2475</v>
      </c>
      <c r="R4" s="277">
        <f>'0_Total'!R11</f>
        <v>0.41250000000000003</v>
      </c>
      <c r="S4" s="277">
        <f>'0_Total'!S11</f>
        <v>0.33</v>
      </c>
      <c r="T4" s="277">
        <f>'0_Total'!T11</f>
        <v>0.33</v>
      </c>
      <c r="U4" s="277">
        <f>'0_Total'!U11</f>
        <v>0.33</v>
      </c>
      <c r="V4" s="277">
        <f>'0_Total'!V11</f>
        <v>0.33</v>
      </c>
      <c r="W4" s="277">
        <f>'0_Total'!W11</f>
        <v>0.33</v>
      </c>
      <c r="X4" s="277">
        <f>'0_Total'!X11</f>
        <v>0.55100000000000005</v>
      </c>
      <c r="Y4" s="277">
        <f>'0_Total'!Y11</f>
        <v>0.55100000000000005</v>
      </c>
      <c r="Z4" s="277">
        <f>'0_Total'!Z11</f>
        <v>0.55100000000000005</v>
      </c>
      <c r="AA4" s="277">
        <f>'0_Total'!AA11</f>
        <v>0.55100000000000005</v>
      </c>
      <c r="AB4" s="277">
        <f>'0_Total'!AB11</f>
        <v>0.55100000000000005</v>
      </c>
      <c r="AC4" s="277">
        <f>'0_Total'!AC11</f>
        <v>0.55100000000000005</v>
      </c>
      <c r="AD4" s="277">
        <f>'0_Total'!AD11</f>
        <v>0.55100000000000005</v>
      </c>
      <c r="AE4" s="277">
        <f>'0_Total'!AE11</f>
        <v>0.55100000000000005</v>
      </c>
      <c r="AF4" s="277">
        <f>'0_Total'!AF11</f>
        <v>0.33</v>
      </c>
      <c r="AG4" s="277">
        <f>'0_Total'!AG11</f>
        <v>0</v>
      </c>
      <c r="AH4" s="277">
        <f>'0_Total'!AH11</f>
        <v>0.48328767123287675</v>
      </c>
      <c r="AI4" s="277">
        <f>'0_Total'!AI11</f>
        <v>0</v>
      </c>
      <c r="AJ4" s="277">
        <f>'0_Total'!AJ11</f>
        <v>0.48328767123287675</v>
      </c>
      <c r="AK4" s="277">
        <f>'0_Total'!AK11</f>
        <v>0</v>
      </c>
      <c r="AL4" s="277">
        <f>'0_Total'!AL11</f>
        <v>1.3</v>
      </c>
      <c r="AM4" s="277">
        <f>'0_Total'!AM11</f>
        <v>0</v>
      </c>
      <c r="AN4" s="277">
        <f>'0_Total'!AN11</f>
        <v>2.6</v>
      </c>
      <c r="AO4" s="277">
        <f>'0_Total'!AO11</f>
        <v>0</v>
      </c>
      <c r="AP4" s="277">
        <f>'0_Total'!AP11</f>
        <v>2.1411100330896784</v>
      </c>
      <c r="AQ4" s="277">
        <f>'0_Total'!AQ11</f>
        <v>15.273378000000001</v>
      </c>
      <c r="AR4" s="277">
        <f>'0_Total'!AR11</f>
        <v>60</v>
      </c>
      <c r="AS4" s="277">
        <f>'0_Total'!AS11</f>
        <v>60</v>
      </c>
      <c r="AT4" s="277">
        <f>'0_Total'!AT11</f>
        <v>60</v>
      </c>
      <c r="AU4" s="277">
        <f>'0_Total'!AU11</f>
        <v>60</v>
      </c>
      <c r="AV4" s="277">
        <f>'0_Total'!AV11</f>
        <v>45</v>
      </c>
      <c r="AW4" s="277">
        <f>'0_Total'!AW11</f>
        <v>75</v>
      </c>
      <c r="AX4" s="277">
        <f>'0_Total'!AX11</f>
        <v>60</v>
      </c>
      <c r="AY4" s="277">
        <f>'0_Total'!AY11</f>
        <v>2.1411100330896784</v>
      </c>
      <c r="AZ4" s="277">
        <f>'0_Total'!AY11</f>
        <v>2.1411100330896784</v>
      </c>
      <c r="BA4" s="277">
        <f>'0_Total'!BA11</f>
        <v>2.1411100330896784</v>
      </c>
      <c r="BB4" s="277">
        <f>'0_Total'!BB11</f>
        <v>2.1411100330896784</v>
      </c>
      <c r="BC4" s="277">
        <f>'0_Total'!BC11</f>
        <v>0</v>
      </c>
      <c r="BD4" s="277">
        <f>'0_Total'!BD11</f>
        <v>0</v>
      </c>
      <c r="BE4" s="277">
        <f>'0_Total'!BE11</f>
        <v>0</v>
      </c>
      <c r="BF4" s="277">
        <f>'0_Total'!BF11</f>
        <v>0</v>
      </c>
      <c r="BG4" s="277">
        <f>'0_Total'!BG11</f>
        <v>0</v>
      </c>
      <c r="BH4" s="277">
        <f>'0_Total'!BH11</f>
        <v>0</v>
      </c>
      <c r="BI4" s="277">
        <f>'0_Total'!BI11</f>
        <v>0</v>
      </c>
      <c r="BJ4" s="277">
        <f>'0_Total'!BJ11</f>
        <v>2.1411100330896784</v>
      </c>
      <c r="BK4" s="277">
        <f>'0_Total'!BK11</f>
        <v>15.273378000000001</v>
      </c>
      <c r="BL4" s="277">
        <f>'0_Total'!BL11</f>
        <v>70</v>
      </c>
      <c r="BM4" s="277">
        <f>'0_Total'!BM11</f>
        <v>70</v>
      </c>
      <c r="BN4" s="277">
        <f>'0_Total'!BN11</f>
        <v>70</v>
      </c>
      <c r="BO4" s="277">
        <f>'0_Total'!BO11</f>
        <v>70</v>
      </c>
      <c r="BP4" s="277">
        <f>'0_Total'!BP11</f>
        <v>70</v>
      </c>
      <c r="BQ4" s="277">
        <f>'0_Total'!BQ11</f>
        <v>70</v>
      </c>
      <c r="BR4" s="277">
        <f>'0_Total'!BR11</f>
        <v>52.5</v>
      </c>
      <c r="BS4" s="277">
        <f>'0_Total'!BS11</f>
        <v>87.5</v>
      </c>
      <c r="BT4" s="277">
        <f>'0_Total'!BT11</f>
        <v>70</v>
      </c>
      <c r="BU4" s="277">
        <f>'0_Total'!BU11</f>
        <v>140</v>
      </c>
      <c r="BV4" s="277">
        <f>'0_Total'!BV11</f>
        <v>140</v>
      </c>
      <c r="BW4" s="277">
        <f>'0_Total'!BW11</f>
        <v>140</v>
      </c>
      <c r="BX4" s="277">
        <f>'0_Total'!BX11</f>
        <v>140</v>
      </c>
      <c r="BY4" s="277">
        <f>'0_Total'!BY11</f>
        <v>140</v>
      </c>
      <c r="BZ4" s="277">
        <f>'0_Total'!BZ11</f>
        <v>140</v>
      </c>
      <c r="CA4" s="277">
        <f>'0_Total'!CA11</f>
        <v>105</v>
      </c>
      <c r="CB4" s="277">
        <f>'0_Total'!CB11</f>
        <v>175</v>
      </c>
      <c r="CC4" s="277">
        <f>'0_Total'!CC11</f>
        <v>140</v>
      </c>
      <c r="CD4" s="277">
        <f>'0_Total'!CD11</f>
        <v>2.1411100330896784</v>
      </c>
      <c r="CE4" s="277">
        <f>'0_Total'!CD11</f>
        <v>2.1411100330896784</v>
      </c>
      <c r="CF4" s="277">
        <f>'0_Total'!CF11</f>
        <v>2.1411100330896784</v>
      </c>
      <c r="CG4" s="277">
        <f>'0_Total'!CG11</f>
        <v>2.1411100330896784</v>
      </c>
      <c r="CH4" s="277">
        <f>'0_Total'!CH11</f>
        <v>0</v>
      </c>
      <c r="CI4" s="277">
        <f>'0_Total'!CI11</f>
        <v>2.1411100330896784</v>
      </c>
      <c r="CJ4" s="277">
        <f>'0_Total'!CJ11</f>
        <v>15.273378000000001</v>
      </c>
      <c r="CK4" s="277">
        <f>'0_Total'!CK11</f>
        <v>70</v>
      </c>
      <c r="CL4" s="277">
        <f>'0_Total'!CL11</f>
        <v>140</v>
      </c>
      <c r="CM4" s="277">
        <f>'0_Total'!CM11</f>
        <v>2.1411100330896784</v>
      </c>
      <c r="CN4" s="277">
        <f>'0_Total'!CN11</f>
        <v>0</v>
      </c>
      <c r="CO4" s="277">
        <f>'0_Total'!CO11</f>
        <v>3.0134141206447325</v>
      </c>
      <c r="CP4" s="277">
        <f>'0_Total'!CP11</f>
        <v>16.055876435787546</v>
      </c>
      <c r="CQ4" s="277">
        <f>'0_Total'!CQ11</f>
        <v>60</v>
      </c>
      <c r="CR4" s="277">
        <f>'0_Total'!CR11</f>
        <v>3.0134141206447325</v>
      </c>
      <c r="CS4" s="277">
        <f>'0_Total'!CS11</f>
        <v>0</v>
      </c>
      <c r="CT4" s="277">
        <f>'0_Total'!CT11</f>
        <v>3.0134141206447325</v>
      </c>
      <c r="CU4" s="277">
        <f>'0_Total'!CU11</f>
        <v>16.055876435787546</v>
      </c>
      <c r="CV4" s="277">
        <f>'0_Total'!CV11</f>
        <v>70</v>
      </c>
      <c r="CW4" s="277">
        <f>'0_Total'!CW11</f>
        <v>140</v>
      </c>
      <c r="CX4" s="277">
        <f>'0_Total'!CX11</f>
        <v>3.0134141206447325</v>
      </c>
      <c r="CY4" s="277">
        <f>'0_Total'!CY11</f>
        <v>0</v>
      </c>
      <c r="CZ4" s="277">
        <f>'0_Total'!CZ11</f>
        <v>3.0134141206447325</v>
      </c>
      <c r="DA4" s="277">
        <f>'0_Total'!DA11</f>
        <v>16.055876435787546</v>
      </c>
      <c r="DB4" s="277">
        <f>'0_Total'!DB11</f>
        <v>70</v>
      </c>
      <c r="DC4" s="277">
        <f>'0_Total'!DC11</f>
        <v>140</v>
      </c>
      <c r="DD4" s="277">
        <f>'0_Total'!DD11</f>
        <v>3.0134141206447325</v>
      </c>
      <c r="DE4" s="277">
        <f>'0_Total'!DE11</f>
        <v>0</v>
      </c>
      <c r="DF4" s="277">
        <f>'0_Total'!DF11</f>
        <v>6.4576427005561392</v>
      </c>
      <c r="DG4" s="277"/>
      <c r="DH4" s="277">
        <f>'0_Total'!DH11</f>
        <v>150</v>
      </c>
      <c r="DI4" s="277">
        <f>'0_Total'!DI11</f>
        <v>300</v>
      </c>
      <c r="DJ4" s="277">
        <f>'0_Total'!DJ11</f>
        <v>6.4576427005561392</v>
      </c>
      <c r="DK4" s="277">
        <f>'0_Total'!DK11</f>
        <v>0</v>
      </c>
      <c r="DL4" s="277">
        <f>'0_Total'!DL11</f>
        <v>0</v>
      </c>
      <c r="DM4" s="277">
        <f>'0_Total'!DM11</f>
        <v>0</v>
      </c>
      <c r="DN4" s="277">
        <f>'0_Total'!DN11</f>
        <v>0</v>
      </c>
      <c r="DO4" s="277">
        <f>'0_Total'!DO11</f>
        <v>0</v>
      </c>
      <c r="DP4" s="277">
        <f>'0_Total'!DP11</f>
        <v>0</v>
      </c>
      <c r="DQ4" s="277">
        <f>'0_Total'!DQ11</f>
        <v>0</v>
      </c>
      <c r="DR4" s="277">
        <f>'0_Total'!DR11</f>
        <v>20</v>
      </c>
      <c r="DS4" s="277">
        <f>'0_Total'!DS11</f>
        <v>650</v>
      </c>
      <c r="DT4" s="277">
        <f>'0_Total'!DT11</f>
        <v>650</v>
      </c>
      <c r="DU4" s="277">
        <f>'0_Total'!DU11</f>
        <v>325</v>
      </c>
      <c r="DV4" s="277">
        <f>'0_Total'!DV11</f>
        <v>20</v>
      </c>
      <c r="DW4" s="277">
        <f>'0_Total'!DW11</f>
        <v>20</v>
      </c>
      <c r="DX4" s="277">
        <f>'0_Total'!DX11</f>
        <v>0</v>
      </c>
      <c r="DY4" s="277">
        <f>'0_Total'!DY11</f>
        <v>0</v>
      </c>
      <c r="DZ4" s="277">
        <f>'0_Total'!DZ11</f>
        <v>0</v>
      </c>
      <c r="EA4" s="277">
        <f>'0_Total'!EA11</f>
        <v>0</v>
      </c>
      <c r="EB4" s="277">
        <f>'0_Total'!EB11</f>
        <v>0</v>
      </c>
      <c r="EC4" s="277">
        <f>'0_Total'!EC11</f>
        <v>0</v>
      </c>
      <c r="ED4" s="277">
        <f>'0_Total'!ED11</f>
        <v>0</v>
      </c>
    </row>
    <row r="5" spans="1:137" x14ac:dyDescent="0.3">
      <c r="A5" s="21" t="s">
        <v>923</v>
      </c>
      <c r="D5" s="303" t="str">
        <f>'0_Total'!D12</f>
        <v>With Al smelting mostly form coal</v>
      </c>
      <c r="E5" s="303" t="str">
        <f>'0_Total'!E12</f>
        <v>With Al smelting mostly form coal</v>
      </c>
      <c r="F5" s="303" t="str">
        <f>'0_Total'!F12</f>
        <v>Default</v>
      </c>
      <c r="G5" s="303" t="str">
        <f>'0_Total'!G12</f>
        <v>With Al smelting mostly form coal</v>
      </c>
      <c r="H5" s="303" t="str">
        <f>'0_Total'!H12</f>
        <v>With Al smelting mostly form coal</v>
      </c>
      <c r="I5" s="303" t="str">
        <f>'0_Total'!I12</f>
        <v>With Al smelting mostly form coal</v>
      </c>
      <c r="J5" s="303" t="str">
        <f>'0_Total'!J12</f>
        <v>With Al smelting mostly form coal</v>
      </c>
      <c r="K5" s="303" t="str">
        <f>'0_Total'!K12</f>
        <v>With Al smelting mostly form coal</v>
      </c>
      <c r="L5" s="303" t="str">
        <f>'0_Total'!L12</f>
        <v>With Al smelting mostly form coal</v>
      </c>
      <c r="M5" s="303" t="str">
        <f>'0_Total'!M12</f>
        <v>With Al smelting mostly form coal</v>
      </c>
      <c r="N5" s="303" t="str">
        <f>'0_Total'!N12</f>
        <v>With Al smelting mostly form coal</v>
      </c>
      <c r="O5" s="303" t="str">
        <f>'0_Total'!O12</f>
        <v>With Al smelting mostly form coal</v>
      </c>
      <c r="P5" s="303" t="str">
        <f>'0_Total'!P12</f>
        <v>With Al smelting mostly form coal</v>
      </c>
      <c r="Q5" s="303" t="str">
        <f>'0_Total'!Q12</f>
        <v>With Al smelting mostly form coal</v>
      </c>
      <c r="R5" s="303" t="str">
        <f>'0_Total'!R12</f>
        <v>With Al smelting mostly form coal</v>
      </c>
      <c r="S5" s="303" t="str">
        <f>'0_Total'!S12</f>
        <v>With Al smelting mostly form coal</v>
      </c>
      <c r="T5" s="303" t="str">
        <f>'0_Total'!T12</f>
        <v>Default</v>
      </c>
      <c r="U5" s="303" t="str">
        <f>'0_Total'!U12</f>
        <v>With Al smelting mostly form coal</v>
      </c>
      <c r="V5" s="303" t="str">
        <f>'0_Total'!V12</f>
        <v>With Al smelting mostly form coal</v>
      </c>
      <c r="W5" s="303" t="str">
        <f>'0_Total'!W12</f>
        <v>With Al smelting mostly form coal</v>
      </c>
      <c r="X5" s="303" t="str">
        <f>'0_Total'!X12</f>
        <v>Default</v>
      </c>
      <c r="Y5" s="303" t="str">
        <f>'0_Total'!Y12</f>
        <v>With Al smelting mostly form coal</v>
      </c>
      <c r="Z5" s="303" t="str">
        <f>'0_Total'!Z12</f>
        <v>With Al smelting mostly form coal</v>
      </c>
      <c r="AA5" s="303" t="str">
        <f>'0_Total'!AA12</f>
        <v>With Al smelting mostly form coal</v>
      </c>
      <c r="AB5" s="303" t="str">
        <f>'0_Total'!AB12</f>
        <v>Default</v>
      </c>
      <c r="AC5" s="303" t="str">
        <f>'0_Total'!AC12</f>
        <v>With Al smelting mostly form coal</v>
      </c>
      <c r="AD5" s="303" t="str">
        <f>'0_Total'!AD12</f>
        <v>With Al smelting mostly form coal</v>
      </c>
      <c r="AE5" s="303" t="str">
        <f>'0_Total'!AE12</f>
        <v>With Al smelting mostly form coal</v>
      </c>
      <c r="AF5" s="303" t="str">
        <f>'0_Total'!AF12</f>
        <v>With Al smelting mostly form coal</v>
      </c>
      <c r="AG5" s="303" t="str">
        <f>'0_Total'!AG12</f>
        <v>With Al smelting mostly form coal</v>
      </c>
      <c r="AH5" s="303" t="str">
        <f>'0_Total'!AH12</f>
        <v>With Al smelting mostly form coal</v>
      </c>
      <c r="AI5" s="303" t="str">
        <f>'0_Total'!AI12</f>
        <v>With Al smelting mostly form coal</v>
      </c>
      <c r="AJ5" s="303" t="str">
        <f>'0_Total'!AJ12</f>
        <v>With Al smelting mostly form coal</v>
      </c>
      <c r="AK5" s="303" t="str">
        <f>'0_Total'!AK12</f>
        <v>With Al smelting mostly form coal</v>
      </c>
      <c r="AL5" s="303" t="str">
        <f>'0_Total'!AL12</f>
        <v>With Al smelting mostly form coal</v>
      </c>
      <c r="AM5" s="303" t="str">
        <f>'0_Total'!AM12</f>
        <v>With Al smelting mostly form coal</v>
      </c>
      <c r="AN5" s="303" t="str">
        <f>'0_Total'!AN12</f>
        <v>With Al smelting mostly form coal</v>
      </c>
      <c r="AO5" s="303" t="str">
        <f>'0_Total'!AO12</f>
        <v>With Al smelting mostly form coal</v>
      </c>
      <c r="AP5" s="303" t="str">
        <f>'0_Total'!AP12</f>
        <v>With Al smelting mostly form coal</v>
      </c>
      <c r="AQ5" s="303" t="str">
        <f>'0_Total'!AQ12</f>
        <v>With Al smelting mostly form coal</v>
      </c>
      <c r="AR5" s="303" t="str">
        <f>'0_Total'!AR12</f>
        <v>With Al smelting mostly form coal</v>
      </c>
      <c r="AS5" s="303" t="str">
        <f>'0_Total'!AS12</f>
        <v>With Al smelting mostly form coal</v>
      </c>
      <c r="AT5" s="303" t="str">
        <f>'0_Total'!AT12</f>
        <v>With Al smelting mostly form coal</v>
      </c>
      <c r="AU5" s="303" t="str">
        <f>'0_Total'!AU12</f>
        <v>Default</v>
      </c>
      <c r="AV5" s="303" t="str">
        <f>'0_Total'!AV12</f>
        <v>With Al smelting mostly form coal</v>
      </c>
      <c r="AW5" s="303" t="str">
        <f>'0_Total'!AW12</f>
        <v>With Al smelting mostly form coal</v>
      </c>
      <c r="AX5" s="303" t="str">
        <f>'0_Total'!AX12</f>
        <v>With Al smelting mostly form coal</v>
      </c>
      <c r="AY5" s="303" t="str">
        <f>'0_Total'!AY12</f>
        <v>With Al smelting mostly form coal</v>
      </c>
      <c r="AZ5" s="303" t="str">
        <f>'0_Total'!AY12</f>
        <v>With Al smelting mostly form coal</v>
      </c>
      <c r="BA5" s="303" t="str">
        <f>'0_Total'!BA12</f>
        <v>With Al smelting mostly form coal</v>
      </c>
      <c r="BB5" s="303" t="str">
        <f>'0_Total'!BB12</f>
        <v>With Al smelting mostly form coal</v>
      </c>
      <c r="BC5" s="303" t="str">
        <f>'0_Total'!BC12</f>
        <v>With Al smelting mostly form coal</v>
      </c>
      <c r="BD5" s="303" t="str">
        <f>'0_Total'!BD12</f>
        <v>With Al smelting mostly form coal</v>
      </c>
      <c r="BE5" s="303" t="str">
        <f>'0_Total'!BE12</f>
        <v>With Al smelting mostly form coal</v>
      </c>
      <c r="BF5" s="303" t="str">
        <f>'0_Total'!BF12</f>
        <v>With Al smelting mostly form coal</v>
      </c>
      <c r="BG5" s="303" t="str">
        <f>'0_Total'!BG12</f>
        <v>With Al smelting mostly form coal</v>
      </c>
      <c r="BH5" s="303" t="str">
        <f>'0_Total'!BH12</f>
        <v>With Al smelting mostly form coal</v>
      </c>
      <c r="BI5" s="303" t="str">
        <f>'0_Total'!BI12</f>
        <v>With Al smelting mostly form coal</v>
      </c>
      <c r="BJ5" s="303" t="str">
        <f>'0_Total'!BJ12</f>
        <v>With Al smelting mostly form coal</v>
      </c>
      <c r="BK5" s="303" t="str">
        <f>'0_Total'!BK12</f>
        <v>With Al smelting mostly form coal</v>
      </c>
      <c r="BL5" s="303" t="str">
        <f>'0_Total'!BL12</f>
        <v>With Al smelting mostly form coal</v>
      </c>
      <c r="BM5" s="303" t="str">
        <f>'0_Total'!BM12</f>
        <v>With Al smelting mostly form coal</v>
      </c>
      <c r="BN5" s="303" t="str">
        <f>'0_Total'!BN12</f>
        <v>With Al smelting mostly form coal</v>
      </c>
      <c r="BO5" s="303" t="str">
        <f>'0_Total'!BO12</f>
        <v>With Al smelting mostly form coal</v>
      </c>
      <c r="BP5" s="303" t="str">
        <f>'0_Total'!BP12</f>
        <v>With Al smelting mostly form coal</v>
      </c>
      <c r="BQ5" s="303" t="str">
        <f>'0_Total'!BQ12</f>
        <v>Default</v>
      </c>
      <c r="BR5" s="303" t="str">
        <f>'0_Total'!BR12</f>
        <v>With Al smelting mostly form coal</v>
      </c>
      <c r="BS5" s="303" t="str">
        <f>'0_Total'!BS12</f>
        <v>With Al smelting mostly form coal</v>
      </c>
      <c r="BT5" s="303" t="str">
        <f>'0_Total'!BT12</f>
        <v>With Al smelting mostly form coal</v>
      </c>
      <c r="BU5" s="303" t="str">
        <f>'0_Total'!BU12</f>
        <v>With Al smelting mostly form coal</v>
      </c>
      <c r="BV5" s="303" t="str">
        <f>'0_Total'!BV12</f>
        <v>With Al smelting mostly form coal</v>
      </c>
      <c r="BW5" s="303" t="str">
        <f>'0_Total'!BW12</f>
        <v>With Al smelting mostly form coal</v>
      </c>
      <c r="BX5" s="303" t="str">
        <f>'0_Total'!BX12</f>
        <v>With Al smelting mostly form coal</v>
      </c>
      <c r="BY5" s="303" t="str">
        <f>'0_Total'!BY12</f>
        <v>With Al smelting mostly form coal</v>
      </c>
      <c r="BZ5" s="303" t="str">
        <f>'0_Total'!BZ12</f>
        <v>Default</v>
      </c>
      <c r="CA5" s="303" t="str">
        <f>'0_Total'!CA12</f>
        <v>With Al smelting mostly form coal</v>
      </c>
      <c r="CB5" s="303" t="str">
        <f>'0_Total'!CB12</f>
        <v>With Al smelting mostly form coal</v>
      </c>
      <c r="CC5" s="303" t="str">
        <f>'0_Total'!CC12</f>
        <v>With Al smelting mostly form coal</v>
      </c>
      <c r="CD5" s="303" t="str">
        <f>'0_Total'!CD12</f>
        <v>With Al smelting mostly form coal</v>
      </c>
      <c r="CE5" s="303" t="str">
        <f>'0_Total'!CD12</f>
        <v>With Al smelting mostly form coal</v>
      </c>
      <c r="CF5" s="303" t="str">
        <f>'0_Total'!CF12</f>
        <v>With Al smelting mostly form coal</v>
      </c>
      <c r="CG5" s="303" t="str">
        <f>'0_Total'!CG12</f>
        <v>With Al smelting mostly form coal</v>
      </c>
      <c r="CH5" s="303" t="str">
        <f>'0_Total'!CH12</f>
        <v>With Al smelting mostly form coal</v>
      </c>
      <c r="CI5" s="303" t="str">
        <f>'0_Total'!CI12</f>
        <v>With Al smelting mostly form coal</v>
      </c>
      <c r="CJ5" s="303" t="str">
        <f>'0_Total'!CJ12</f>
        <v>With Al smelting mostly form coal</v>
      </c>
      <c r="CK5" s="303" t="str">
        <f>'0_Total'!CK12</f>
        <v>With Al smelting mostly form coal</v>
      </c>
      <c r="CL5" s="303" t="str">
        <f>'0_Total'!CL12</f>
        <v>With Al smelting mostly form coal</v>
      </c>
      <c r="CM5" s="303" t="str">
        <f>'0_Total'!CM12</f>
        <v>With Al smelting mostly form coal</v>
      </c>
      <c r="CN5" s="303" t="str">
        <f>'0_Total'!CN12</f>
        <v>With Al smelting mostly form coal</v>
      </c>
      <c r="CO5" s="303" t="str">
        <f>'0_Total'!CO12</f>
        <v>With Al smelting mostly form coal</v>
      </c>
      <c r="CP5" s="303" t="str">
        <f>'0_Total'!CP12</f>
        <v>With Al smelting mostly form coal</v>
      </c>
      <c r="CQ5" s="303" t="str">
        <f>'0_Total'!CQ12</f>
        <v>With Al smelting mostly form coal</v>
      </c>
      <c r="CR5" s="303" t="str">
        <f>'0_Total'!CR12</f>
        <v>With Al smelting mostly form coal</v>
      </c>
      <c r="CS5" s="303" t="str">
        <f>'0_Total'!CS12</f>
        <v>With Al smelting mostly form coal</v>
      </c>
      <c r="CT5" s="303" t="str">
        <f>'0_Total'!CT12</f>
        <v>With Al smelting mostly form coal</v>
      </c>
      <c r="CU5" s="303" t="str">
        <f>'0_Total'!CU12</f>
        <v>With Al smelting mostly form coal</v>
      </c>
      <c r="CV5" s="303" t="str">
        <f>'0_Total'!CV12</f>
        <v>With Al smelting mostly form coal</v>
      </c>
      <c r="CW5" s="303" t="str">
        <f>'0_Total'!CW12</f>
        <v>With Al smelting mostly form coal</v>
      </c>
      <c r="CX5" s="303" t="str">
        <f>'0_Total'!CX12</f>
        <v>With Al smelting mostly form coal</v>
      </c>
      <c r="CY5" s="303" t="str">
        <f>'0_Total'!CY12</f>
        <v>With Al smelting mostly form coal</v>
      </c>
      <c r="CZ5" s="303" t="str">
        <f>'0_Total'!CZ12</f>
        <v>With Al smelting mostly form coal</v>
      </c>
      <c r="DA5" s="303" t="str">
        <f>'0_Total'!DA12</f>
        <v>With Al smelting mostly form coal</v>
      </c>
      <c r="DB5" s="303" t="str">
        <f>'0_Total'!DB12</f>
        <v>With Al smelting mostly form coal</v>
      </c>
      <c r="DC5" s="303" t="str">
        <f>'0_Total'!DC12</f>
        <v>With Al smelting mostly form coal</v>
      </c>
      <c r="DD5" s="303" t="str">
        <f>'0_Total'!DD12</f>
        <v>With Al smelting mostly form coal</v>
      </c>
      <c r="DE5" s="303" t="str">
        <f>'0_Total'!DE12</f>
        <v>With Al smelting mostly form coal</v>
      </c>
      <c r="DF5" s="303" t="str">
        <f>'0_Total'!DF12</f>
        <v>With Al smelting mostly form coal</v>
      </c>
      <c r="DG5" s="303"/>
      <c r="DH5" s="303" t="str">
        <f>'0_Total'!DH12</f>
        <v>With Al smelting mostly form coal</v>
      </c>
      <c r="DI5" s="303" t="str">
        <f>'0_Total'!DI12</f>
        <v>With Al smelting mostly form coal</v>
      </c>
      <c r="DJ5" s="303" t="str">
        <f>'0_Total'!DJ12</f>
        <v>With Al smelting mostly form coal</v>
      </c>
      <c r="DK5" s="303" t="str">
        <f>'0_Total'!DK12</f>
        <v>With Al smelting mostly form coal</v>
      </c>
      <c r="DL5" s="303" t="str">
        <f>'0_Total'!DL12</f>
        <v>With Al smelting mostly form coal</v>
      </c>
      <c r="DM5" s="303" t="str">
        <f>'0_Total'!DM12</f>
        <v>With Al smelting mostly form coal</v>
      </c>
      <c r="DN5" s="303" t="str">
        <f>'0_Total'!DN12</f>
        <v>With Al smelting mostly form coal</v>
      </c>
      <c r="DO5" s="303" t="str">
        <f>'0_Total'!DO12</f>
        <v>With Al smelting mostly form coal</v>
      </c>
      <c r="DP5" s="303" t="str">
        <f>'0_Total'!DP12</f>
        <v>With Al smelting mostly form coal</v>
      </c>
      <c r="DQ5" s="303" t="str">
        <f>'0_Total'!DQ12</f>
        <v>With Al smelting mostly form coal</v>
      </c>
      <c r="DR5" s="303" t="str">
        <f>'0_Total'!DR12</f>
        <v>With Al smelting mostly form coal</v>
      </c>
      <c r="DS5" s="303" t="str">
        <f>'0_Total'!DS12</f>
        <v>With Al smelting mostly form coal</v>
      </c>
      <c r="DT5" s="303" t="str">
        <f>'0_Total'!DT12</f>
        <v>With Al smelting mostly form coal</v>
      </c>
      <c r="DU5" s="303" t="str">
        <f>'0_Total'!DU12</f>
        <v>With Al smelting mostly form coal</v>
      </c>
      <c r="DV5" s="303" t="str">
        <f>'0_Total'!DV12</f>
        <v>With Al smelting mostly form coal</v>
      </c>
      <c r="DW5" s="303" t="str">
        <f>'0_Total'!DW12</f>
        <v>With Al smelting mostly form coal</v>
      </c>
      <c r="DX5" s="303" t="str">
        <f>'0_Total'!DX12</f>
        <v>With Al smelting mostly form coal</v>
      </c>
      <c r="DY5" s="303" t="str">
        <f>'0_Total'!DY12</f>
        <v>With Al smelting mostly form coal</v>
      </c>
      <c r="DZ5" s="303" t="str">
        <f>'0_Total'!DZ12</f>
        <v>With Al smelting mostly form coal</v>
      </c>
      <c r="EA5" s="303" t="str">
        <f>'0_Total'!EA12</f>
        <v>With Al smelting mostly form coal</v>
      </c>
      <c r="EB5" s="303" t="str">
        <f>'0_Total'!EB12</f>
        <v>With Al smelting mostly form coal</v>
      </c>
      <c r="EC5" s="303" t="str">
        <f>'0_Total'!EC12</f>
        <v>With Al smelting mostly form coal</v>
      </c>
      <c r="ED5" s="303" t="str">
        <f>'0_Total'!ED12</f>
        <v>With Al smelting mostly form coal</v>
      </c>
    </row>
    <row r="6" spans="1:137" x14ac:dyDescent="0.3">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row>
    <row r="7" spans="1:137" x14ac:dyDescent="0.3">
      <c r="A7" s="21" t="s">
        <v>119</v>
      </c>
      <c r="B7" s="21" t="s">
        <v>118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row>
    <row r="8" spans="1:137" x14ac:dyDescent="0.3">
      <c r="A8" s="21" t="s">
        <v>227</v>
      </c>
      <c r="D8" s="65">
        <f>(Tech_Spec_Escoot!C8+Tech_Spec_Escoot!C10*Tech_Spec_Escoot!C18)/Tech_Spec_Escoot!C14</f>
        <v>0.16846973212681013</v>
      </c>
      <c r="E8" s="315">
        <f t="shared" ref="E8:N8" si="0">G8</f>
        <v>0.16846973212681013</v>
      </c>
      <c r="F8" s="315">
        <f t="shared" si="0"/>
        <v>0.16846973212681013</v>
      </c>
      <c r="G8" s="315">
        <f>J8</f>
        <v>0.16846973212681013</v>
      </c>
      <c r="H8" s="315">
        <f>K8</f>
        <v>0.16846973212681013</v>
      </c>
      <c r="I8" s="315">
        <f t="shared" si="0"/>
        <v>0.16846973212681013</v>
      </c>
      <c r="J8" s="315">
        <f t="shared" si="0"/>
        <v>0.16846973212681013</v>
      </c>
      <c r="K8" s="315">
        <f t="shared" si="0"/>
        <v>0.16846973212681013</v>
      </c>
      <c r="L8" s="315">
        <f t="shared" si="0"/>
        <v>0.16846973212681013</v>
      </c>
      <c r="M8" s="315">
        <f t="shared" si="0"/>
        <v>0.16846973212681013</v>
      </c>
      <c r="N8" s="315">
        <f t="shared" si="0"/>
        <v>0.16846973212681013</v>
      </c>
      <c r="O8" s="315">
        <f>S8</f>
        <v>0.16846973212681013</v>
      </c>
      <c r="P8" s="315">
        <f>T8</f>
        <v>0.16846973212681013</v>
      </c>
      <c r="Q8" s="315">
        <f>S8</f>
        <v>0.16846973212681013</v>
      </c>
      <c r="R8" s="315">
        <f>T8</f>
        <v>0.16846973212681013</v>
      </c>
      <c r="S8" s="315">
        <f>U8</f>
        <v>0.16846973212681013</v>
      </c>
      <c r="T8" s="315">
        <f>V8</f>
        <v>0.16846973212681013</v>
      </c>
      <c r="U8" s="315">
        <f>V8</f>
        <v>0.16846973212681013</v>
      </c>
      <c r="V8" s="315">
        <f>W8</f>
        <v>0.16846973212681013</v>
      </c>
      <c r="W8" s="65">
        <f>D8</f>
        <v>0.16846973212681013</v>
      </c>
      <c r="X8" s="315">
        <f>$AE8</f>
        <v>0.16906810766818101</v>
      </c>
      <c r="Y8" s="315">
        <f>$AE8</f>
        <v>0.16906810766818101</v>
      </c>
      <c r="Z8" s="315">
        <f>$AE8</f>
        <v>0.16906810766818101</v>
      </c>
      <c r="AA8" s="315">
        <f>$AE8</f>
        <v>0.16906810766818101</v>
      </c>
      <c r="AB8" s="315">
        <f t="shared" ref="AB8:AD8" si="1">$AE8</f>
        <v>0.16906810766818101</v>
      </c>
      <c r="AC8" s="315">
        <f t="shared" si="1"/>
        <v>0.16906810766818101</v>
      </c>
      <c r="AD8" s="315">
        <f t="shared" si="1"/>
        <v>0.16906810766818101</v>
      </c>
      <c r="AE8" s="65">
        <f>(Tech_Spec_Escoot!L8+Tech_Spec_Escoot!L10*Tech_Spec_Escoot!L18)/Tech_Spec_Escoot!L14</f>
        <v>0.16906810766818101</v>
      </c>
      <c r="AF8" s="65">
        <f>W8</f>
        <v>0.16846973212681013</v>
      </c>
      <c r="AG8" s="65">
        <f>Tech_Spec_Bikes!H9/Tech_Spec_Bikes!H22</f>
        <v>0.64636131132294816</v>
      </c>
      <c r="AH8" s="65">
        <f>(Tech_Spec_Bikes!L9+Tech_Spec_Bikes!L25*Tech_Spec_Bikes!$T24)/(Tech_Spec_Bikes!L22+Tech_Spec_Bikes!L25)</f>
        <v>0.59139055990125411</v>
      </c>
      <c r="AI8" s="65">
        <f>Tech_Spec_Bikes!J9/Tech_Spec_Bikes!J22</f>
        <v>0.56439985582121832</v>
      </c>
      <c r="AJ8" s="65">
        <f>(Tech_Spec_Bikes!N9+Tech_Spec_Bikes!N25*Tech_Spec_Bikes!$T24)/(Tech_Spec_Bikes!N22+Tech_Spec_Bikes!N25)</f>
        <v>0.59886617196824243</v>
      </c>
      <c r="AK8" s="65">
        <f>Tech_Specs_2W!F9/Tech_Specs_2W!F$22</f>
        <v>0.81276595744680857</v>
      </c>
      <c r="AL8" s="65">
        <f>Tech_Specs_2W!G9/Tech_Specs_2W!G$22</f>
        <v>0.75141250819603511</v>
      </c>
      <c r="AM8" s="65">
        <f>AK8</f>
        <v>0.81276595744680857</v>
      </c>
      <c r="AN8" s="65">
        <f>AL8</f>
        <v>0.75141250819603511</v>
      </c>
      <c r="AO8" s="65">
        <f>[5]Vehi_Comp_Sum!$B150/SUM([5]Vehi_Comp_Sum!$B150:$B$172)</f>
        <v>0.60789529330175929</v>
      </c>
      <c r="AP8" s="65">
        <f>[5]Vehi_Comp_Sum!$D150/SUM([5]Vehi_Comp_Sum!$D150:$D$172)</f>
        <v>0.62624721559175889</v>
      </c>
      <c r="AQ8" s="65">
        <f>[5]Vehi_Comp_Sum!$F150/SUM([5]Vehi_Comp_Sum!$F150:$F$172)</f>
        <v>0.62279516098398202</v>
      </c>
      <c r="AR8" s="315">
        <f t="shared" ref="AR8:AW18" si="2">$AX8</f>
        <v>0.62978295591883771</v>
      </c>
      <c r="AS8" s="315">
        <f t="shared" si="2"/>
        <v>0.62978295591883771</v>
      </c>
      <c r="AT8" s="315">
        <f t="shared" si="2"/>
        <v>0.62978295591883771</v>
      </c>
      <c r="AU8" s="315">
        <f t="shared" si="2"/>
        <v>0.62978295591883771</v>
      </c>
      <c r="AV8" s="315">
        <f t="shared" si="2"/>
        <v>0.62978295591883771</v>
      </c>
      <c r="AW8" s="315">
        <f t="shared" si="2"/>
        <v>0.62978295591883771</v>
      </c>
      <c r="AX8" s="65">
        <f>[5]Vehi_Comp_Sum!$H150/SUM([5]Vehi_Comp_Sum!$H150:$H$172)</f>
        <v>0.62978295591883771</v>
      </c>
      <c r="AY8" s="65">
        <f>[5]Vehi_Comp_Sum!$J150/SUM([5]Vehi_Comp_Sum!$J150:$J$172)</f>
        <v>0.57434118604655926</v>
      </c>
      <c r="AZ8" s="65">
        <f>[5]Vehi_Comp_Sum!$J150/SUM([5]Vehi_Comp_Sum!$J150:$J$172)</f>
        <v>0.57434118604655926</v>
      </c>
      <c r="BA8" s="65">
        <f>[5]Vehi_Comp_Sum!$J150/SUM([5]Vehi_Comp_Sum!$J150:$J$172)</f>
        <v>0.57434118604655926</v>
      </c>
      <c r="BB8" s="65">
        <f>[5]Vehi_Comp_Sum!$J150/SUM([5]Vehi_Comp_Sum!$J150:$J$172)</f>
        <v>0.57434118604655926</v>
      </c>
      <c r="BC8" s="315">
        <f t="shared" ref="BC8:BH18" si="3">$BI8</f>
        <v>0.60789529330175929</v>
      </c>
      <c r="BD8" s="315">
        <f t="shared" si="3"/>
        <v>0.60789529330175929</v>
      </c>
      <c r="BE8" s="315">
        <f t="shared" si="3"/>
        <v>0.60789529330175929</v>
      </c>
      <c r="BF8" s="315">
        <f t="shared" si="3"/>
        <v>0.60789529330175929</v>
      </c>
      <c r="BG8" s="315">
        <f t="shared" si="3"/>
        <v>0.60789529330175929</v>
      </c>
      <c r="BH8" s="315">
        <f t="shared" si="3"/>
        <v>0.60789529330175929</v>
      </c>
      <c r="BI8" s="65">
        <f>[5]Vehi_Comp_Sum!$B150/SUM([5]Vehi_Comp_Sum!$B150:$B$172)</f>
        <v>0.60789529330175929</v>
      </c>
      <c r="BJ8" s="65">
        <f>[5]Vehi_Comp_Sum!$D150/SUM([5]Vehi_Comp_Sum!$D150:$D$172)</f>
        <v>0.62624721559175889</v>
      </c>
      <c r="BK8" s="65">
        <f>[5]Vehi_Comp_Sum!$F150/SUM([5]Vehi_Comp_Sum!$F150:$F$172)</f>
        <v>0.62279516098398202</v>
      </c>
      <c r="BL8" s="315">
        <f t="shared" ref="BL8:BS18" si="4">$BT8</f>
        <v>0.62978295591883771</v>
      </c>
      <c r="BM8" s="315">
        <f t="shared" si="4"/>
        <v>0.62978295591883771</v>
      </c>
      <c r="BN8" s="315">
        <f t="shared" si="4"/>
        <v>0.62978295591883771</v>
      </c>
      <c r="BO8" s="315">
        <f t="shared" si="4"/>
        <v>0.62978295591883771</v>
      </c>
      <c r="BP8" s="315">
        <f t="shared" si="4"/>
        <v>0.62978295591883771</v>
      </c>
      <c r="BQ8" s="315">
        <f t="shared" si="4"/>
        <v>0.62978295591883771</v>
      </c>
      <c r="BR8" s="315">
        <f t="shared" si="4"/>
        <v>0.62978295591883771</v>
      </c>
      <c r="BS8" s="315">
        <f t="shared" si="4"/>
        <v>0.62978295591883771</v>
      </c>
      <c r="BT8" s="65">
        <f>[5]Vehi_Comp_Sum!$H150/SUM([5]Vehi_Comp_Sum!$H150:$H$172)</f>
        <v>0.62978295591883771</v>
      </c>
      <c r="BU8" s="315">
        <f t="shared" ref="BU8:CB18" si="5">$CC8</f>
        <v>0.62978295591883771</v>
      </c>
      <c r="BV8" s="315">
        <f t="shared" si="5"/>
        <v>0.62978295591883771</v>
      </c>
      <c r="BW8" s="315">
        <f t="shared" si="5"/>
        <v>0.62978295591883771</v>
      </c>
      <c r="BX8" s="315">
        <f t="shared" si="5"/>
        <v>0.62978295591883771</v>
      </c>
      <c r="BY8" s="315">
        <f t="shared" si="5"/>
        <v>0.62978295591883771</v>
      </c>
      <c r="BZ8" s="315">
        <f t="shared" si="5"/>
        <v>0.62978295591883771</v>
      </c>
      <c r="CA8" s="315">
        <f t="shared" si="5"/>
        <v>0.62978295591883771</v>
      </c>
      <c r="CB8" s="315">
        <f t="shared" si="5"/>
        <v>0.62978295591883771</v>
      </c>
      <c r="CC8" s="65">
        <f>[5]Vehi_Comp_Sum!$H150/SUM([5]Vehi_Comp_Sum!$H150:$H$172)</f>
        <v>0.62978295591883771</v>
      </c>
      <c r="CD8" s="65">
        <f>[5]Vehi_Comp_Sum!$J150/SUM([5]Vehi_Comp_Sum!$J150:$J$172)</f>
        <v>0.57434118604655926</v>
      </c>
      <c r="CE8" s="65">
        <f>[5]Vehi_Comp_Sum!$J150/SUM([5]Vehi_Comp_Sum!$J150:$J$172)</f>
        <v>0.57434118604655926</v>
      </c>
      <c r="CF8" s="65">
        <f>[5]Vehi_Comp_Sum!$J150/SUM([5]Vehi_Comp_Sum!$J150:$J$172)</f>
        <v>0.57434118604655926</v>
      </c>
      <c r="CG8" s="65">
        <f>[5]Vehi_Comp_Sum!$J150/SUM([5]Vehi_Comp_Sum!$J150:$J$172)</f>
        <v>0.57434118604655926</v>
      </c>
      <c r="CH8" s="65">
        <f>[5]Vehi_Comp_Sum!$B150/SUM([5]Vehi_Comp_Sum!$B150:$B$172)</f>
        <v>0.60789529330175929</v>
      </c>
      <c r="CI8" s="65">
        <f>[5]Vehi_Comp_Sum!$D150/SUM([5]Vehi_Comp_Sum!$D150:$D$172)</f>
        <v>0.62624721559175889</v>
      </c>
      <c r="CJ8" s="65">
        <f>[5]Vehi_Comp_Sum!$F150/SUM([5]Vehi_Comp_Sum!$F150:$F$172)</f>
        <v>0.62279516098398202</v>
      </c>
      <c r="CK8" s="65">
        <f>[5]Vehi_Comp_Sum!$H150/SUM([5]Vehi_Comp_Sum!$H150:$H$172)</f>
        <v>0.62978295591883771</v>
      </c>
      <c r="CL8" s="65">
        <f>[5]Vehi_Comp_Sum!$H150/SUM([5]Vehi_Comp_Sum!$H150:$H$172)</f>
        <v>0.62978295591883771</v>
      </c>
      <c r="CM8" s="65">
        <f>[5]Vehi_Comp_Sum!$J150/SUM([5]Vehi_Comp_Sum!$J150:$J$172)</f>
        <v>0.57434118604655926</v>
      </c>
      <c r="CN8" s="65">
        <f>[6]Vehi_Comp_Sum!$B150/SUM([6]Vehi_Comp_Sum!$B150:$B$172)</f>
        <v>0.6091005027598001</v>
      </c>
      <c r="CO8" s="65">
        <f>[6]Vehi_Comp_Sum!$D150/SUM([6]Vehi_Comp_Sum!$D150:$D$172)</f>
        <v>0.62490321030949358</v>
      </c>
      <c r="CP8" s="65">
        <f>[6]Vehi_Comp_Sum!$F150/SUM([6]Vehi_Comp_Sum!$F150:$F$172)</f>
        <v>0.63987880223609095</v>
      </c>
      <c r="CQ8" s="65">
        <f>[6]Vehi_Comp_Sum!$H150/SUM([6]Vehi_Comp_Sum!$H150:$H$172)</f>
        <v>0.62715122175703719</v>
      </c>
      <c r="CR8" s="65">
        <f>[6]Vehi_Comp_Sum!$J150/SUM([6]Vehi_Comp_Sum!$J150:$J$172)</f>
        <v>0.57293605174332685</v>
      </c>
      <c r="CS8" s="65">
        <f>[6]Vehi_Comp_Sum!$B150/SUM([6]Vehi_Comp_Sum!$B150:$B$172)</f>
        <v>0.6091005027598001</v>
      </c>
      <c r="CT8" s="65">
        <f>[6]Vehi_Comp_Sum!$D150/SUM([6]Vehi_Comp_Sum!$D150:$D$172)</f>
        <v>0.62490321030949358</v>
      </c>
      <c r="CU8" s="65">
        <f>[6]Vehi_Comp_Sum!$F150/SUM([6]Vehi_Comp_Sum!$F150:$F$172)</f>
        <v>0.63987880223609095</v>
      </c>
      <c r="CV8" s="65">
        <f>[6]Vehi_Comp_Sum!$H150/SUM([6]Vehi_Comp_Sum!$H150:$H$172)</f>
        <v>0.62715122175703719</v>
      </c>
      <c r="CW8" s="65">
        <f>[6]Vehi_Comp_Sum!$H150/SUM([6]Vehi_Comp_Sum!$H150:$H$172)</f>
        <v>0.62715122175703719</v>
      </c>
      <c r="CX8" s="65">
        <f>[6]Vehi_Comp_Sum!$J150/SUM([6]Vehi_Comp_Sum!$J150:$J$172)</f>
        <v>0.57293605174332685</v>
      </c>
      <c r="CY8" s="65">
        <f>[6]Vehi_Comp_Sum!$B150/SUM([6]Vehi_Comp_Sum!$B150:$B$172)</f>
        <v>0.6091005027598001</v>
      </c>
      <c r="CZ8" s="65">
        <f>[6]Vehi_Comp_Sum!$D150/SUM([6]Vehi_Comp_Sum!$D150:$D$172)</f>
        <v>0.62490321030949358</v>
      </c>
      <c r="DA8" s="65">
        <f>[6]Vehi_Comp_Sum!$F150/SUM([6]Vehi_Comp_Sum!$F150:$F$172)</f>
        <v>0.63987880223609095</v>
      </c>
      <c r="DB8" s="65">
        <f>[6]Vehi_Comp_Sum!$H150/SUM([6]Vehi_Comp_Sum!$H150:$H$172)</f>
        <v>0.62715122175703719</v>
      </c>
      <c r="DC8" s="65">
        <f>[6]Vehi_Comp_Sum!$H150/SUM([6]Vehi_Comp_Sum!$H150:$H$172)</f>
        <v>0.62715122175703719</v>
      </c>
      <c r="DD8" s="65">
        <f>[6]Vehi_Comp_Sum!$J150/SUM([6]Vehi_Comp_Sum!$J150:$J$172)</f>
        <v>0.57293605174332685</v>
      </c>
      <c r="DE8" s="520">
        <f>CY8*(DQ$3-DE$3)/(DQ$3-CY$3)+DQ8*(DE$3-CY$3)/(DQ$3-CY$3)</f>
        <v>0.60853039842728041</v>
      </c>
      <c r="DF8" s="520">
        <f>CZ8*(DR$3-DF$3)/(DR$3-CZ$3)+DR8*(DF$3-CZ$3)/(DR$3-CZ$3)</f>
        <v>0.62319378130749281</v>
      </c>
      <c r="DG8" s="65"/>
      <c r="DH8" s="520">
        <f>DB8*(DT$3-DH$3)/(DT$3-DB$3)+DT8*(DH$3-DB$3)/(DT$3-DB$3)</f>
        <v>0.60010066545303398</v>
      </c>
      <c r="DI8" s="520">
        <f>DC8*(DU$3-DI$3)/(DU$3-DC$3)+DU8*(DI$3-DC$3)/(DU$3-DC$3)</f>
        <v>0.60010066545303398</v>
      </c>
      <c r="DJ8" s="520">
        <f t="shared" ref="DJ8:DJ18" si="6">DD8*(DW$3-DJ$3)/(DW$3-DD$3)+DW8*(DJ$3-DD$3)/(DW$3-DD$3)</f>
        <v>0.55667426886717775</v>
      </c>
      <c r="DK8" s="315">
        <f t="shared" ref="DK8:DP8" si="7">$DQ8</f>
        <v>0.6061742642815926</v>
      </c>
      <c r="DL8" s="315">
        <f t="shared" si="7"/>
        <v>0.6061742642815926</v>
      </c>
      <c r="DM8" s="315">
        <f t="shared" si="7"/>
        <v>0.6061742642815926</v>
      </c>
      <c r="DN8" s="315">
        <f t="shared" si="7"/>
        <v>0.6061742642815926</v>
      </c>
      <c r="DO8" s="315">
        <f t="shared" si="7"/>
        <v>0.6061742642815926</v>
      </c>
      <c r="DP8" s="315">
        <f t="shared" si="7"/>
        <v>0.6061742642815926</v>
      </c>
      <c r="DQ8" s="65">
        <f>Tech_Specs_Bus!M9/Tech_Specs_Bus!M$23</f>
        <v>0.6061742642815926</v>
      </c>
      <c r="DR8" s="65">
        <f>Tech_Specs_Bus!N9/Tech_Specs_Bus!N$23</f>
        <v>0.61612903225806448</v>
      </c>
      <c r="DS8" s="315">
        <f>DT8</f>
        <v>0.48830579610686975</v>
      </c>
      <c r="DT8" s="315">
        <f>DU8</f>
        <v>0.48830579610686975</v>
      </c>
      <c r="DU8" s="65">
        <f>Tech_Specs_Bus!O9/Tech_Specs_Bus!O$23</f>
        <v>0.48830579610686975</v>
      </c>
      <c r="DV8" s="65">
        <f>Tech_Specs_Bus!O9/Tech_Specs_Bus!O$23</f>
        <v>0.48830579610686975</v>
      </c>
      <c r="DW8" s="65">
        <f>Tech_Specs_Bus!P9/Tech_Specs_Bus!P$23</f>
        <v>0.48946737406088697</v>
      </c>
      <c r="DX8" s="315">
        <f t="shared" ref="DX8:EC8" si="8">$ED8</f>
        <v>0.69730277707685717</v>
      </c>
      <c r="DY8" s="315">
        <f t="shared" si="8"/>
        <v>0.69730277707685717</v>
      </c>
      <c r="DZ8" s="315">
        <f t="shared" si="8"/>
        <v>0.69730277707685717</v>
      </c>
      <c r="EA8" s="315">
        <f t="shared" si="8"/>
        <v>0.69730277707685717</v>
      </c>
      <c r="EB8" s="315">
        <f t="shared" si="8"/>
        <v>0.69730277707685717</v>
      </c>
      <c r="EC8" s="315">
        <f t="shared" si="8"/>
        <v>0.69730277707685717</v>
      </c>
      <c r="ED8" s="65">
        <f>Tech_Spec_Rail!AA29</f>
        <v>0.69730277707685717</v>
      </c>
    </row>
    <row r="9" spans="1:137" x14ac:dyDescent="0.3">
      <c r="A9" s="21" t="s">
        <v>135</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f>[5]Vehi_Comp_Sum!$B151/SUM([5]Vehi_Comp_Sum!$B150:$B$172)</f>
        <v>0</v>
      </c>
      <c r="AP9" s="65">
        <f>[5]Vehi_Comp_Sum!$D151/SUM([5]Vehi_Comp_Sum!$D150:$D$172)</f>
        <v>0</v>
      </c>
      <c r="AQ9" s="65">
        <f>[5]Vehi_Comp_Sum!$F151/SUM([5]Vehi_Comp_Sum!$F150:$F$172)</f>
        <v>0</v>
      </c>
      <c r="AR9" s="315">
        <f t="shared" si="2"/>
        <v>0</v>
      </c>
      <c r="AS9" s="315">
        <f t="shared" si="2"/>
        <v>0</v>
      </c>
      <c r="AT9" s="315">
        <f t="shared" si="2"/>
        <v>0</v>
      </c>
      <c r="AU9" s="315">
        <f t="shared" si="2"/>
        <v>0</v>
      </c>
      <c r="AV9" s="315">
        <f t="shared" si="2"/>
        <v>0</v>
      </c>
      <c r="AW9" s="315">
        <f t="shared" si="2"/>
        <v>0</v>
      </c>
      <c r="AX9" s="65">
        <f>[5]Vehi_Comp_Sum!$H151/SUM([5]Vehi_Comp_Sum!$H150:$H$172)</f>
        <v>0</v>
      </c>
      <c r="AY9" s="65">
        <f>[5]Vehi_Comp_Sum!$J151/SUM([5]Vehi_Comp_Sum!$J150:$J$172)</f>
        <v>3.0830633126011631E-2</v>
      </c>
      <c r="AZ9" s="65">
        <f>[5]Vehi_Comp_Sum!$J151/SUM([5]Vehi_Comp_Sum!$J150:$J$172)</f>
        <v>3.0830633126011631E-2</v>
      </c>
      <c r="BA9" s="65">
        <f>[5]Vehi_Comp_Sum!$J151/SUM([5]Vehi_Comp_Sum!$J150:$J$172)</f>
        <v>3.0830633126011631E-2</v>
      </c>
      <c r="BB9" s="65">
        <f>[5]Vehi_Comp_Sum!$J151/SUM([5]Vehi_Comp_Sum!$J150:$J$172)</f>
        <v>3.0830633126011631E-2</v>
      </c>
      <c r="BC9" s="315">
        <f t="shared" si="3"/>
        <v>0</v>
      </c>
      <c r="BD9" s="315">
        <f t="shared" si="3"/>
        <v>0</v>
      </c>
      <c r="BE9" s="315">
        <f t="shared" si="3"/>
        <v>0</v>
      </c>
      <c r="BF9" s="315">
        <f t="shared" si="3"/>
        <v>0</v>
      </c>
      <c r="BG9" s="315">
        <f t="shared" si="3"/>
        <v>0</v>
      </c>
      <c r="BH9" s="315">
        <f t="shared" si="3"/>
        <v>0</v>
      </c>
      <c r="BI9" s="65">
        <f>[5]Vehi_Comp_Sum!$B151/SUM([5]Vehi_Comp_Sum!$B150:$B$172)</f>
        <v>0</v>
      </c>
      <c r="BJ9" s="65">
        <f>[5]Vehi_Comp_Sum!$D151/SUM([5]Vehi_Comp_Sum!$D150:$D$172)</f>
        <v>0</v>
      </c>
      <c r="BK9" s="65">
        <f>[5]Vehi_Comp_Sum!$F151/SUM([5]Vehi_Comp_Sum!$F150:$F$172)</f>
        <v>0</v>
      </c>
      <c r="BL9" s="315">
        <f t="shared" si="4"/>
        <v>0</v>
      </c>
      <c r="BM9" s="315">
        <f t="shared" si="4"/>
        <v>0</v>
      </c>
      <c r="BN9" s="315">
        <f t="shared" si="4"/>
        <v>0</v>
      </c>
      <c r="BO9" s="315">
        <f t="shared" si="4"/>
        <v>0</v>
      </c>
      <c r="BP9" s="315">
        <f t="shared" si="4"/>
        <v>0</v>
      </c>
      <c r="BQ9" s="315">
        <f t="shared" si="4"/>
        <v>0</v>
      </c>
      <c r="BR9" s="315">
        <f t="shared" si="4"/>
        <v>0</v>
      </c>
      <c r="BS9" s="315">
        <f t="shared" si="4"/>
        <v>0</v>
      </c>
      <c r="BT9" s="65">
        <f>[5]Vehi_Comp_Sum!$H151/SUM([5]Vehi_Comp_Sum!$H150:$H$172)</f>
        <v>0</v>
      </c>
      <c r="BU9" s="315">
        <f t="shared" si="5"/>
        <v>0</v>
      </c>
      <c r="BV9" s="315">
        <f t="shared" si="5"/>
        <v>0</v>
      </c>
      <c r="BW9" s="315">
        <f t="shared" si="5"/>
        <v>0</v>
      </c>
      <c r="BX9" s="315">
        <f t="shared" si="5"/>
        <v>0</v>
      </c>
      <c r="BY9" s="315">
        <f t="shared" si="5"/>
        <v>0</v>
      </c>
      <c r="BZ9" s="315">
        <f t="shared" si="5"/>
        <v>0</v>
      </c>
      <c r="CA9" s="315">
        <f t="shared" si="5"/>
        <v>0</v>
      </c>
      <c r="CB9" s="315">
        <f t="shared" si="5"/>
        <v>0</v>
      </c>
      <c r="CC9" s="65">
        <f>[5]Vehi_Comp_Sum!$H151/SUM([5]Vehi_Comp_Sum!$H150:$H$172)</f>
        <v>0</v>
      </c>
      <c r="CD9" s="65">
        <f>[5]Vehi_Comp_Sum!$J151/SUM([5]Vehi_Comp_Sum!$J150:$J$172)</f>
        <v>3.0830633126011631E-2</v>
      </c>
      <c r="CE9" s="65">
        <f>[5]Vehi_Comp_Sum!$J151/SUM([5]Vehi_Comp_Sum!$J150:$J$172)</f>
        <v>3.0830633126011631E-2</v>
      </c>
      <c r="CF9" s="65">
        <f>[5]Vehi_Comp_Sum!$J151/SUM([5]Vehi_Comp_Sum!$J150:$J$172)</f>
        <v>3.0830633126011631E-2</v>
      </c>
      <c r="CG9" s="65">
        <f>[5]Vehi_Comp_Sum!$J151/SUM([5]Vehi_Comp_Sum!$J150:$J$172)</f>
        <v>3.0830633126011631E-2</v>
      </c>
      <c r="CH9" s="65">
        <f>[5]Vehi_Comp_Sum!$B151/SUM([5]Vehi_Comp_Sum!$B150:$B$172)</f>
        <v>0</v>
      </c>
      <c r="CI9" s="65">
        <f>[5]Vehi_Comp_Sum!$D151/SUM([5]Vehi_Comp_Sum!$D150:$D$172)</f>
        <v>0</v>
      </c>
      <c r="CJ9" s="65">
        <f>[5]Vehi_Comp_Sum!$F151/SUM([5]Vehi_Comp_Sum!$F150:$F$172)</f>
        <v>0</v>
      </c>
      <c r="CK9" s="65">
        <f>[5]Vehi_Comp_Sum!$H151/SUM([5]Vehi_Comp_Sum!$H150:$H$172)</f>
        <v>0</v>
      </c>
      <c r="CL9" s="65">
        <f>[5]Vehi_Comp_Sum!$H151/SUM([5]Vehi_Comp_Sum!$H150:$H$172)</f>
        <v>0</v>
      </c>
      <c r="CM9" s="65">
        <f>[5]Vehi_Comp_Sum!$J151/SUM([5]Vehi_Comp_Sum!$J150:$J$172)</f>
        <v>3.0830633126011631E-2</v>
      </c>
      <c r="CN9" s="65">
        <f>[6]Vehi_Comp_Sum!$B151/SUM([6]Vehi_Comp_Sum!$B150:$B$172)</f>
        <v>0</v>
      </c>
      <c r="CO9" s="65">
        <f>[6]Vehi_Comp_Sum!$D151/SUM([6]Vehi_Comp_Sum!$D150:$D$172)</f>
        <v>0</v>
      </c>
      <c r="CP9" s="65">
        <f>[6]Vehi_Comp_Sum!$F151/SUM([6]Vehi_Comp_Sum!$F150:$F$172)</f>
        <v>0</v>
      </c>
      <c r="CQ9" s="65">
        <f>[6]Vehi_Comp_Sum!$H151/SUM([6]Vehi_Comp_Sum!$H150:$H$172)</f>
        <v>0</v>
      </c>
      <c r="CR9" s="65">
        <f>[6]Vehi_Comp_Sum!$J151/SUM([6]Vehi_Comp_Sum!$J150:$J$172)</f>
        <v>2.9005692113998151E-2</v>
      </c>
      <c r="CS9" s="65">
        <f>[6]Vehi_Comp_Sum!$B151/SUM([6]Vehi_Comp_Sum!$B150:$B$172)</f>
        <v>0</v>
      </c>
      <c r="CT9" s="65">
        <f>[6]Vehi_Comp_Sum!$D151/SUM([6]Vehi_Comp_Sum!$D150:$D$172)</f>
        <v>0</v>
      </c>
      <c r="CU9" s="65">
        <f>[6]Vehi_Comp_Sum!$F151/SUM([6]Vehi_Comp_Sum!$F150:$F$172)</f>
        <v>0</v>
      </c>
      <c r="CV9" s="65">
        <f>[6]Vehi_Comp_Sum!$H151/SUM([6]Vehi_Comp_Sum!$H150:$H$172)</f>
        <v>0</v>
      </c>
      <c r="CW9" s="65">
        <f>[6]Vehi_Comp_Sum!$H151/SUM([6]Vehi_Comp_Sum!$H150:$H$172)</f>
        <v>0</v>
      </c>
      <c r="CX9" s="65">
        <f>[6]Vehi_Comp_Sum!$J151/SUM([6]Vehi_Comp_Sum!$J150:$J$172)</f>
        <v>2.9005692113998151E-2</v>
      </c>
      <c r="CY9" s="65">
        <f>[6]Vehi_Comp_Sum!$B151/SUM([6]Vehi_Comp_Sum!$B150:$B$172)</f>
        <v>0</v>
      </c>
      <c r="CZ9" s="65">
        <f>[6]Vehi_Comp_Sum!$D151/SUM([6]Vehi_Comp_Sum!$D150:$D$172)</f>
        <v>0</v>
      </c>
      <c r="DA9" s="65">
        <f>[6]Vehi_Comp_Sum!$F151/SUM([6]Vehi_Comp_Sum!$F150:$F$172)</f>
        <v>0</v>
      </c>
      <c r="DB9" s="65">
        <f>[6]Vehi_Comp_Sum!$H151/SUM([6]Vehi_Comp_Sum!$H150:$H$172)</f>
        <v>0</v>
      </c>
      <c r="DC9" s="65">
        <f>[6]Vehi_Comp_Sum!$H151/SUM([6]Vehi_Comp_Sum!$H150:$H$172)</f>
        <v>0</v>
      </c>
      <c r="DD9" s="65">
        <f>[6]Vehi_Comp_Sum!$J151/SUM([6]Vehi_Comp_Sum!$J150:$J$172)</f>
        <v>2.9005692113998151E-2</v>
      </c>
      <c r="DE9" s="520">
        <f t="shared" ref="DE9:DI18" si="9">CY9*(DQ$3-DE$3)/(DQ$3-CY$3)+DQ9*(DE$3-CY$3)/(DQ$3-CY$3)</f>
        <v>0</v>
      </c>
      <c r="DF9" s="520">
        <f t="shared" si="9"/>
        <v>0</v>
      </c>
      <c r="DG9" s="65"/>
      <c r="DH9" s="520">
        <f t="shared" si="9"/>
        <v>0</v>
      </c>
      <c r="DI9" s="520">
        <f t="shared" si="9"/>
        <v>0</v>
      </c>
      <c r="DJ9" s="520">
        <f t="shared" si="6"/>
        <v>2.3354658930930205E-2</v>
      </c>
      <c r="DK9" s="65"/>
      <c r="DL9" s="65"/>
      <c r="DM9" s="65"/>
      <c r="DN9" s="65"/>
      <c r="DO9" s="65"/>
      <c r="DP9" s="65"/>
      <c r="DQ9" s="65"/>
      <c r="DR9" s="65"/>
      <c r="DS9" s="315"/>
      <c r="DT9" s="315"/>
      <c r="DU9" s="65"/>
      <c r="DV9" s="65"/>
      <c r="DW9" s="65"/>
      <c r="DX9" s="65"/>
      <c r="DY9" s="65"/>
      <c r="DZ9" s="65"/>
      <c r="EA9" s="65"/>
      <c r="EB9" s="65"/>
      <c r="EC9" s="65"/>
      <c r="ED9" s="65"/>
    </row>
    <row r="10" spans="1:137" x14ac:dyDescent="0.3">
      <c r="A10" s="21" t="s">
        <v>136</v>
      </c>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f>[5]Vehi_Comp_Sum!$B152/SUM([5]Vehi_Comp_Sum!$B150:$B$172)</f>
        <v>9.5402715422111192E-2</v>
      </c>
      <c r="AP10" s="65">
        <f>[5]Vehi_Comp_Sum!$D152/SUM([5]Vehi_Comp_Sum!$D150:$D$172)</f>
        <v>6.6063764254463975E-2</v>
      </c>
      <c r="AQ10" s="65">
        <f>[5]Vehi_Comp_Sum!$F152/SUM([5]Vehi_Comp_Sum!$F150:$F$172)</f>
        <v>6.692806324569929E-2</v>
      </c>
      <c r="AR10" s="315">
        <f t="shared" si="2"/>
        <v>1.8382182597737051E-2</v>
      </c>
      <c r="AS10" s="315">
        <f t="shared" si="2"/>
        <v>1.8382182597737051E-2</v>
      </c>
      <c r="AT10" s="315">
        <f t="shared" si="2"/>
        <v>1.8382182597737051E-2</v>
      </c>
      <c r="AU10" s="315">
        <f t="shared" si="2"/>
        <v>1.8382182597737051E-2</v>
      </c>
      <c r="AV10" s="315">
        <f t="shared" si="2"/>
        <v>1.8382182597737051E-2</v>
      </c>
      <c r="AW10" s="315">
        <f t="shared" si="2"/>
        <v>1.8382182597737051E-2</v>
      </c>
      <c r="AX10" s="65">
        <f>[5]Vehi_Comp_Sum!$H152/SUM([5]Vehi_Comp_Sum!$H150:$H$172)</f>
        <v>1.8382182597737051E-2</v>
      </c>
      <c r="AY10" s="65">
        <f>[5]Vehi_Comp_Sum!$J152/SUM([5]Vehi_Comp_Sum!$J150:$J$172)</f>
        <v>1.6188278621412679E-2</v>
      </c>
      <c r="AZ10" s="65">
        <f>[5]Vehi_Comp_Sum!$J152/SUM([5]Vehi_Comp_Sum!$J150:$J$172)</f>
        <v>1.6188278621412679E-2</v>
      </c>
      <c r="BA10" s="65">
        <f>[5]Vehi_Comp_Sum!$J152/SUM([5]Vehi_Comp_Sum!$J150:$J$172)</f>
        <v>1.6188278621412679E-2</v>
      </c>
      <c r="BB10" s="65">
        <f>[5]Vehi_Comp_Sum!$J152/SUM([5]Vehi_Comp_Sum!$J150:$J$172)</f>
        <v>1.6188278621412679E-2</v>
      </c>
      <c r="BC10" s="315">
        <f t="shared" si="3"/>
        <v>9.5402715422111192E-2</v>
      </c>
      <c r="BD10" s="315">
        <f t="shared" si="3"/>
        <v>9.5402715422111192E-2</v>
      </c>
      <c r="BE10" s="315">
        <f t="shared" si="3"/>
        <v>9.5402715422111192E-2</v>
      </c>
      <c r="BF10" s="315">
        <f t="shared" si="3"/>
        <v>9.5402715422111192E-2</v>
      </c>
      <c r="BG10" s="315">
        <f t="shared" si="3"/>
        <v>9.5402715422111192E-2</v>
      </c>
      <c r="BH10" s="315">
        <f t="shared" si="3"/>
        <v>9.5402715422111192E-2</v>
      </c>
      <c r="BI10" s="65">
        <f>[5]Vehi_Comp_Sum!$B152/SUM([5]Vehi_Comp_Sum!$B150:$B$172)</f>
        <v>9.5402715422111192E-2</v>
      </c>
      <c r="BJ10" s="65">
        <f>[5]Vehi_Comp_Sum!$D152/SUM([5]Vehi_Comp_Sum!$D150:$D$172)</f>
        <v>6.6063764254463975E-2</v>
      </c>
      <c r="BK10" s="65">
        <f>[5]Vehi_Comp_Sum!$F152/SUM([5]Vehi_Comp_Sum!$F150:$F$172)</f>
        <v>6.692806324569929E-2</v>
      </c>
      <c r="BL10" s="315">
        <f t="shared" si="4"/>
        <v>1.8382182597737051E-2</v>
      </c>
      <c r="BM10" s="315">
        <f t="shared" si="4"/>
        <v>1.8382182597737051E-2</v>
      </c>
      <c r="BN10" s="315">
        <f t="shared" si="4"/>
        <v>1.8382182597737051E-2</v>
      </c>
      <c r="BO10" s="315">
        <f t="shared" si="4"/>
        <v>1.8382182597737051E-2</v>
      </c>
      <c r="BP10" s="315">
        <f t="shared" si="4"/>
        <v>1.8382182597737051E-2</v>
      </c>
      <c r="BQ10" s="315">
        <f t="shared" si="4"/>
        <v>1.8382182597737051E-2</v>
      </c>
      <c r="BR10" s="315">
        <f t="shared" si="4"/>
        <v>1.8382182597737051E-2</v>
      </c>
      <c r="BS10" s="315">
        <f t="shared" si="4"/>
        <v>1.8382182597737051E-2</v>
      </c>
      <c r="BT10" s="65">
        <f>[5]Vehi_Comp_Sum!$H152/SUM([5]Vehi_Comp_Sum!$H150:$H$172)</f>
        <v>1.8382182597737051E-2</v>
      </c>
      <c r="BU10" s="315">
        <f t="shared" si="5"/>
        <v>1.8382182597737051E-2</v>
      </c>
      <c r="BV10" s="315">
        <f t="shared" si="5"/>
        <v>1.8382182597737051E-2</v>
      </c>
      <c r="BW10" s="315">
        <f t="shared" si="5"/>
        <v>1.8382182597737051E-2</v>
      </c>
      <c r="BX10" s="315">
        <f t="shared" si="5"/>
        <v>1.8382182597737051E-2</v>
      </c>
      <c r="BY10" s="315">
        <f t="shared" si="5"/>
        <v>1.8382182597737051E-2</v>
      </c>
      <c r="BZ10" s="315">
        <f t="shared" si="5"/>
        <v>1.8382182597737051E-2</v>
      </c>
      <c r="CA10" s="315">
        <f t="shared" si="5"/>
        <v>1.8382182597737051E-2</v>
      </c>
      <c r="CB10" s="315">
        <f t="shared" si="5"/>
        <v>1.8382182597737051E-2</v>
      </c>
      <c r="CC10" s="65">
        <f>[5]Vehi_Comp_Sum!$H152/SUM([5]Vehi_Comp_Sum!$H150:$H$172)</f>
        <v>1.8382182597737051E-2</v>
      </c>
      <c r="CD10" s="65">
        <f>[5]Vehi_Comp_Sum!$J152/SUM([5]Vehi_Comp_Sum!$J150:$J$172)</f>
        <v>1.6188278621412679E-2</v>
      </c>
      <c r="CE10" s="65">
        <f>[5]Vehi_Comp_Sum!$J152/SUM([5]Vehi_Comp_Sum!$J150:$J$172)</f>
        <v>1.6188278621412679E-2</v>
      </c>
      <c r="CF10" s="65">
        <f>[5]Vehi_Comp_Sum!$J152/SUM([5]Vehi_Comp_Sum!$J150:$J$172)</f>
        <v>1.6188278621412679E-2</v>
      </c>
      <c r="CG10" s="65">
        <f>[5]Vehi_Comp_Sum!$J152/SUM([5]Vehi_Comp_Sum!$J150:$J$172)</f>
        <v>1.6188278621412679E-2</v>
      </c>
      <c r="CH10" s="65">
        <f>[5]Vehi_Comp_Sum!$B152/SUM([5]Vehi_Comp_Sum!$B150:$B$172)</f>
        <v>9.5402715422111192E-2</v>
      </c>
      <c r="CI10" s="65">
        <f>[5]Vehi_Comp_Sum!$D152/SUM([5]Vehi_Comp_Sum!$D150:$D$172)</f>
        <v>6.6063764254463975E-2</v>
      </c>
      <c r="CJ10" s="65">
        <f>[5]Vehi_Comp_Sum!$F152/SUM([5]Vehi_Comp_Sum!$F150:$F$172)</f>
        <v>6.692806324569929E-2</v>
      </c>
      <c r="CK10" s="65">
        <f>[5]Vehi_Comp_Sum!$H152/SUM([5]Vehi_Comp_Sum!$H150:$H$172)</f>
        <v>1.8382182597737051E-2</v>
      </c>
      <c r="CL10" s="65">
        <f>[5]Vehi_Comp_Sum!$H152/SUM([5]Vehi_Comp_Sum!$H150:$H$172)</f>
        <v>1.8382182597737051E-2</v>
      </c>
      <c r="CM10" s="65">
        <f>[5]Vehi_Comp_Sum!$J152/SUM([5]Vehi_Comp_Sum!$J150:$J$172)</f>
        <v>1.6188278621412679E-2</v>
      </c>
      <c r="CN10" s="65">
        <f>[6]Vehi_Comp_Sum!$B152/SUM([6]Vehi_Comp_Sum!$B150:$B$172)</f>
        <v>8.9981995943736112E-2</v>
      </c>
      <c r="CO10" s="65">
        <f>[6]Vehi_Comp_Sum!$D152/SUM([6]Vehi_Comp_Sum!$D150:$D$172)</f>
        <v>6.3741220378357624E-2</v>
      </c>
      <c r="CP10" s="65">
        <f>[6]Vehi_Comp_Sum!$F152/SUM([6]Vehi_Comp_Sum!$F150:$F$172)</f>
        <v>7.2220171331126598E-2</v>
      </c>
      <c r="CQ10" s="65">
        <f>[6]Vehi_Comp_Sum!$H152/SUM([6]Vehi_Comp_Sum!$H150:$H$172)</f>
        <v>2.2450096647979589E-2</v>
      </c>
      <c r="CR10" s="65">
        <f>[6]Vehi_Comp_Sum!$J152/SUM([6]Vehi_Comp_Sum!$J150:$J$172)</f>
        <v>2.0972595522586651E-2</v>
      </c>
      <c r="CS10" s="65">
        <f>[6]Vehi_Comp_Sum!$B152/SUM([6]Vehi_Comp_Sum!$B150:$B$172)</f>
        <v>8.9981995943736112E-2</v>
      </c>
      <c r="CT10" s="65">
        <f>[6]Vehi_Comp_Sum!$D152/SUM([6]Vehi_Comp_Sum!$D150:$D$172)</f>
        <v>6.3741220378357624E-2</v>
      </c>
      <c r="CU10" s="65">
        <f>[6]Vehi_Comp_Sum!$F152/SUM([6]Vehi_Comp_Sum!$F150:$F$172)</f>
        <v>7.2220171331126598E-2</v>
      </c>
      <c r="CV10" s="65">
        <f>[6]Vehi_Comp_Sum!$H152/SUM([6]Vehi_Comp_Sum!$H150:$H$172)</f>
        <v>2.2450096647979589E-2</v>
      </c>
      <c r="CW10" s="65">
        <f>[6]Vehi_Comp_Sum!$H152/SUM([6]Vehi_Comp_Sum!$H150:$H$172)</f>
        <v>2.2450096647979589E-2</v>
      </c>
      <c r="CX10" s="65">
        <f>[6]Vehi_Comp_Sum!$J152/SUM([6]Vehi_Comp_Sum!$J150:$J$172)</f>
        <v>2.0972595522586651E-2</v>
      </c>
      <c r="CY10" s="65">
        <f>[6]Vehi_Comp_Sum!$B152/SUM([6]Vehi_Comp_Sum!$B150:$B$172)</f>
        <v>8.9981995943736112E-2</v>
      </c>
      <c r="CZ10" s="65">
        <f>[6]Vehi_Comp_Sum!$D152/SUM([6]Vehi_Comp_Sum!$D150:$D$172)</f>
        <v>6.3741220378357624E-2</v>
      </c>
      <c r="DA10" s="65">
        <f>[6]Vehi_Comp_Sum!$F152/SUM([6]Vehi_Comp_Sum!$F150:$F$172)</f>
        <v>7.2220171331126598E-2</v>
      </c>
      <c r="DB10" s="65">
        <f>[6]Vehi_Comp_Sum!$H152/SUM([6]Vehi_Comp_Sum!$H150:$H$172)</f>
        <v>2.2450096647979589E-2</v>
      </c>
      <c r="DC10" s="65">
        <f>[6]Vehi_Comp_Sum!$H152/SUM([6]Vehi_Comp_Sum!$H150:$H$172)</f>
        <v>2.2450096647979589E-2</v>
      </c>
      <c r="DD10" s="65">
        <f>[6]Vehi_Comp_Sum!$J152/SUM([6]Vehi_Comp_Sum!$J150:$J$172)</f>
        <v>2.0972595522586651E-2</v>
      </c>
      <c r="DE10" s="520">
        <f t="shared" si="9"/>
        <v>7.2451256013164336E-2</v>
      </c>
      <c r="DF10" s="520">
        <f t="shared" si="9"/>
        <v>5.1322838838911047E-2</v>
      </c>
      <c r="DG10" s="65"/>
      <c r="DH10" s="520">
        <f t="shared" si="9"/>
        <v>1.8076257174602931E-2</v>
      </c>
      <c r="DI10" s="520">
        <f t="shared" si="9"/>
        <v>1.8076257174602931E-2</v>
      </c>
      <c r="DJ10" s="520">
        <f t="shared" si="6"/>
        <v>1.6886610166077846E-2</v>
      </c>
      <c r="DK10" s="65"/>
      <c r="DL10" s="65"/>
      <c r="DM10" s="65"/>
      <c r="DN10" s="65"/>
      <c r="DO10" s="65"/>
      <c r="DP10" s="65"/>
      <c r="DQ10" s="65"/>
      <c r="DR10" s="65"/>
      <c r="DS10" s="315"/>
      <c r="DT10" s="315"/>
      <c r="DU10" s="65"/>
      <c r="DV10" s="65"/>
      <c r="DW10" s="65"/>
      <c r="DX10" s="65"/>
      <c r="DY10" s="65"/>
      <c r="DZ10" s="65"/>
      <c r="EA10" s="65"/>
      <c r="EB10" s="65"/>
      <c r="EC10" s="65"/>
      <c r="ED10" s="65"/>
    </row>
    <row r="11" spans="1:137" x14ac:dyDescent="0.3">
      <c r="A11" s="21" t="s">
        <v>228</v>
      </c>
      <c r="D11" s="65">
        <f>Tech_Spec_Escoot!C7/Tech_Spec_Escoot!C14</f>
        <v>0.55139558845781189</v>
      </c>
      <c r="E11" s="315">
        <f t="shared" ref="E11:N13" si="10">G11</f>
        <v>0.55139558845781189</v>
      </c>
      <c r="F11" s="315">
        <f t="shared" si="10"/>
        <v>0.55139558845781189</v>
      </c>
      <c r="G11" s="315">
        <f t="shared" ref="G11:H13" si="11">J11</f>
        <v>0.55139558845781189</v>
      </c>
      <c r="H11" s="315">
        <f t="shared" si="11"/>
        <v>0.55139558845781189</v>
      </c>
      <c r="I11" s="315">
        <f t="shared" si="10"/>
        <v>0.55139558845781189</v>
      </c>
      <c r="J11" s="315">
        <f t="shared" si="10"/>
        <v>0.55139558845781189</v>
      </c>
      <c r="K11" s="315">
        <f t="shared" si="10"/>
        <v>0.55139558845781189</v>
      </c>
      <c r="L11" s="315">
        <f t="shared" si="10"/>
        <v>0.55139558845781189</v>
      </c>
      <c r="M11" s="315">
        <f t="shared" si="10"/>
        <v>0.55139558845781189</v>
      </c>
      <c r="N11" s="315">
        <f t="shared" si="10"/>
        <v>0.55139558845781189</v>
      </c>
      <c r="O11" s="315">
        <f t="shared" ref="O11:P13" si="12">S11</f>
        <v>0.55139558845781189</v>
      </c>
      <c r="P11" s="315">
        <f t="shared" si="12"/>
        <v>0.55139558845781189</v>
      </c>
      <c r="Q11" s="315">
        <f t="shared" ref="Q11:T13" si="13">S11</f>
        <v>0.55139558845781189</v>
      </c>
      <c r="R11" s="315">
        <f t="shared" si="13"/>
        <v>0.55139558845781189</v>
      </c>
      <c r="S11" s="315">
        <f t="shared" si="13"/>
        <v>0.55139558845781189</v>
      </c>
      <c r="T11" s="315">
        <f t="shared" si="13"/>
        <v>0.55139558845781189</v>
      </c>
      <c r="U11" s="315">
        <f t="shared" ref="U11:V13" si="14">V11</f>
        <v>0.55139558845781189</v>
      </c>
      <c r="V11" s="315">
        <f t="shared" si="14"/>
        <v>0.55139558845781189</v>
      </c>
      <c r="W11" s="65">
        <f>D11</f>
        <v>0.55139558845781189</v>
      </c>
      <c r="X11" s="315">
        <f t="shared" ref="X11:AD13" si="15">$AE11</f>
        <v>0.49742925964637591</v>
      </c>
      <c r="Y11" s="315">
        <f t="shared" si="15"/>
        <v>0.49742925964637591</v>
      </c>
      <c r="Z11" s="315">
        <f t="shared" si="15"/>
        <v>0.49742925964637591</v>
      </c>
      <c r="AA11" s="315">
        <f t="shared" si="15"/>
        <v>0.49742925964637591</v>
      </c>
      <c r="AB11" s="315">
        <f t="shared" si="15"/>
        <v>0.49742925964637591</v>
      </c>
      <c r="AC11" s="315">
        <f t="shared" si="15"/>
        <v>0.49742925964637591</v>
      </c>
      <c r="AD11" s="315">
        <f t="shared" si="15"/>
        <v>0.49742925964637591</v>
      </c>
      <c r="AE11" s="65">
        <f>Tech_Spec_Escoot!L7/Tech_Spec_Escoot!L14</f>
        <v>0.49742925964637591</v>
      </c>
      <c r="AF11" s="65">
        <f>W11</f>
        <v>0.55139558845781189</v>
      </c>
      <c r="AG11" s="65">
        <f>Tech_Spec_Bikes!H16/Tech_Spec_Bikes!H22</f>
        <v>4.8438347671084243E-2</v>
      </c>
      <c r="AH11" s="65">
        <f>(Tech_Spec_Bikes!L16)/(Tech_Spec_Bikes!L22+Tech_Spec_Bikes!L25)</f>
        <v>4.2925308473510886E-2</v>
      </c>
      <c r="AI11" s="65">
        <f>Tech_Spec_Bikes!J16/Tech_Spec_Bikes!J22</f>
        <v>3.7546557731587167E-2</v>
      </c>
      <c r="AJ11" s="65">
        <f>(Tech_Spec_Bikes!N16)/(Tech_Spec_Bikes!N22+Tech_Spec_Bikes!N25)</f>
        <v>3.2432151938145401E-2</v>
      </c>
      <c r="AK11" s="65"/>
      <c r="AL11" s="65"/>
      <c r="AM11" s="65"/>
      <c r="AN11" s="65"/>
      <c r="AO11" s="65">
        <f>[5]Vehi_Comp_Sum!$B153/SUM([5]Vehi_Comp_Sum!$B150:$B$172)</f>
        <v>1.760639150935505E-2</v>
      </c>
      <c r="AP11" s="65">
        <f>[5]Vehi_Comp_Sum!$D153/SUM([5]Vehi_Comp_Sum!$D150:$D$172)</f>
        <v>1.2014974723520965E-2</v>
      </c>
      <c r="AQ11" s="65">
        <f>[5]Vehi_Comp_Sum!$F153/SUM([5]Vehi_Comp_Sum!$F150:$F$172)</f>
        <v>1.1342083150919681E-2</v>
      </c>
      <c r="AR11" s="315">
        <f t="shared" si="2"/>
        <v>1.362834610140678E-2</v>
      </c>
      <c r="AS11" s="315">
        <f t="shared" si="2"/>
        <v>1.362834610140678E-2</v>
      </c>
      <c r="AT11" s="315">
        <f t="shared" si="2"/>
        <v>1.362834610140678E-2</v>
      </c>
      <c r="AU11" s="315">
        <f t="shared" si="2"/>
        <v>1.362834610140678E-2</v>
      </c>
      <c r="AV11" s="315">
        <f t="shared" si="2"/>
        <v>1.362834610140678E-2</v>
      </c>
      <c r="AW11" s="315">
        <f t="shared" si="2"/>
        <v>1.362834610140678E-2</v>
      </c>
      <c r="AX11" s="65">
        <f>[5]Vehi_Comp_Sum!$H153/SUM([5]Vehi_Comp_Sum!$H150:$H$172)</f>
        <v>1.362834610140678E-2</v>
      </c>
      <c r="AY11" s="65">
        <f>[5]Vehi_Comp_Sum!$J153/SUM([5]Vehi_Comp_Sum!$J150:$J$172)</f>
        <v>2.1368613754404225E-2</v>
      </c>
      <c r="AZ11" s="65">
        <f>[5]Vehi_Comp_Sum!$J153/SUM([5]Vehi_Comp_Sum!$J150:$J$172)</f>
        <v>2.1368613754404225E-2</v>
      </c>
      <c r="BA11" s="65">
        <f>[5]Vehi_Comp_Sum!$J153/SUM([5]Vehi_Comp_Sum!$J150:$J$172)</f>
        <v>2.1368613754404225E-2</v>
      </c>
      <c r="BB11" s="65">
        <f>[5]Vehi_Comp_Sum!$J153/SUM([5]Vehi_Comp_Sum!$J150:$J$172)</f>
        <v>2.1368613754404225E-2</v>
      </c>
      <c r="BC11" s="315">
        <f t="shared" si="3"/>
        <v>1.760639150935505E-2</v>
      </c>
      <c r="BD11" s="315">
        <f t="shared" si="3"/>
        <v>1.760639150935505E-2</v>
      </c>
      <c r="BE11" s="315">
        <f t="shared" si="3"/>
        <v>1.760639150935505E-2</v>
      </c>
      <c r="BF11" s="315">
        <f t="shared" si="3"/>
        <v>1.760639150935505E-2</v>
      </c>
      <c r="BG11" s="315">
        <f t="shared" si="3"/>
        <v>1.760639150935505E-2</v>
      </c>
      <c r="BH11" s="315">
        <f t="shared" si="3"/>
        <v>1.760639150935505E-2</v>
      </c>
      <c r="BI11" s="65">
        <f>[5]Vehi_Comp_Sum!$B153/SUM([5]Vehi_Comp_Sum!$B150:$B$172)</f>
        <v>1.760639150935505E-2</v>
      </c>
      <c r="BJ11" s="65">
        <f>[5]Vehi_Comp_Sum!$D153/SUM([5]Vehi_Comp_Sum!$D150:$D$172)</f>
        <v>1.2014974723520965E-2</v>
      </c>
      <c r="BK11" s="65">
        <f>[5]Vehi_Comp_Sum!$F153/SUM([5]Vehi_Comp_Sum!$F150:$F$172)</f>
        <v>1.1342083150919681E-2</v>
      </c>
      <c r="BL11" s="315">
        <f t="shared" si="4"/>
        <v>1.362834610140678E-2</v>
      </c>
      <c r="BM11" s="315">
        <f t="shared" si="4"/>
        <v>1.362834610140678E-2</v>
      </c>
      <c r="BN11" s="315">
        <f t="shared" si="4"/>
        <v>1.362834610140678E-2</v>
      </c>
      <c r="BO11" s="315">
        <f t="shared" si="4"/>
        <v>1.362834610140678E-2</v>
      </c>
      <c r="BP11" s="315">
        <f t="shared" si="4"/>
        <v>1.362834610140678E-2</v>
      </c>
      <c r="BQ11" s="315">
        <f t="shared" si="4"/>
        <v>1.362834610140678E-2</v>
      </c>
      <c r="BR11" s="315">
        <f t="shared" si="4"/>
        <v>1.362834610140678E-2</v>
      </c>
      <c r="BS11" s="315">
        <f t="shared" si="4"/>
        <v>1.362834610140678E-2</v>
      </c>
      <c r="BT11" s="65">
        <f>[5]Vehi_Comp_Sum!$H153/SUM([5]Vehi_Comp_Sum!$H150:$H$172)</f>
        <v>1.362834610140678E-2</v>
      </c>
      <c r="BU11" s="315">
        <f t="shared" si="5"/>
        <v>1.362834610140678E-2</v>
      </c>
      <c r="BV11" s="315">
        <f t="shared" si="5"/>
        <v>1.362834610140678E-2</v>
      </c>
      <c r="BW11" s="315">
        <f t="shared" si="5"/>
        <v>1.362834610140678E-2</v>
      </c>
      <c r="BX11" s="315">
        <f t="shared" si="5"/>
        <v>1.362834610140678E-2</v>
      </c>
      <c r="BY11" s="315">
        <f t="shared" si="5"/>
        <v>1.362834610140678E-2</v>
      </c>
      <c r="BZ11" s="315">
        <f t="shared" si="5"/>
        <v>1.362834610140678E-2</v>
      </c>
      <c r="CA11" s="315">
        <f t="shared" si="5"/>
        <v>1.362834610140678E-2</v>
      </c>
      <c r="CB11" s="315">
        <f t="shared" si="5"/>
        <v>1.362834610140678E-2</v>
      </c>
      <c r="CC11" s="65">
        <f>[5]Vehi_Comp_Sum!$H153/SUM([5]Vehi_Comp_Sum!$H150:$H$172)</f>
        <v>1.362834610140678E-2</v>
      </c>
      <c r="CD11" s="65">
        <f>[5]Vehi_Comp_Sum!$J153/SUM([5]Vehi_Comp_Sum!$J150:$J$172)</f>
        <v>2.1368613754404225E-2</v>
      </c>
      <c r="CE11" s="65">
        <f>[5]Vehi_Comp_Sum!$J153/SUM([5]Vehi_Comp_Sum!$J150:$J$172)</f>
        <v>2.1368613754404225E-2</v>
      </c>
      <c r="CF11" s="65">
        <f>[5]Vehi_Comp_Sum!$J153/SUM([5]Vehi_Comp_Sum!$J150:$J$172)</f>
        <v>2.1368613754404225E-2</v>
      </c>
      <c r="CG11" s="65">
        <f>[5]Vehi_Comp_Sum!$J153/SUM([5]Vehi_Comp_Sum!$J150:$J$172)</f>
        <v>2.1368613754404225E-2</v>
      </c>
      <c r="CH11" s="65">
        <f>[5]Vehi_Comp_Sum!$B153/SUM([5]Vehi_Comp_Sum!$B150:$B$172)</f>
        <v>1.760639150935505E-2</v>
      </c>
      <c r="CI11" s="65">
        <f>[5]Vehi_Comp_Sum!$D153/SUM([5]Vehi_Comp_Sum!$D150:$D$172)</f>
        <v>1.2014974723520965E-2</v>
      </c>
      <c r="CJ11" s="65">
        <f>[5]Vehi_Comp_Sum!$F153/SUM([5]Vehi_Comp_Sum!$F150:$F$172)</f>
        <v>1.1342083150919681E-2</v>
      </c>
      <c r="CK11" s="65">
        <f>[5]Vehi_Comp_Sum!$H153/SUM([5]Vehi_Comp_Sum!$H150:$H$172)</f>
        <v>1.362834610140678E-2</v>
      </c>
      <c r="CL11" s="65">
        <f>[5]Vehi_Comp_Sum!$H153/SUM([5]Vehi_Comp_Sum!$H150:$H$172)</f>
        <v>1.362834610140678E-2</v>
      </c>
      <c r="CM11" s="65">
        <f>[5]Vehi_Comp_Sum!$J153/SUM([5]Vehi_Comp_Sum!$J150:$J$172)</f>
        <v>2.1368613754404225E-2</v>
      </c>
      <c r="CN11" s="65">
        <f>[6]Vehi_Comp_Sum!$B153/SUM([6]Vehi_Comp_Sum!$B150:$B$172)</f>
        <v>1.3867662363483515E-2</v>
      </c>
      <c r="CO11" s="65">
        <f>[6]Vehi_Comp_Sum!$D153/SUM([6]Vehi_Comp_Sum!$D150:$D$172)</f>
        <v>9.5094282771881703E-3</v>
      </c>
      <c r="CP11" s="65">
        <f>[6]Vehi_Comp_Sum!$F153/SUM([6]Vehi_Comp_Sum!$F150:$F$172)</f>
        <v>8.4023951376575642E-3</v>
      </c>
      <c r="CQ11" s="65">
        <f>[6]Vehi_Comp_Sum!$H153/SUM([6]Vehi_Comp_Sum!$H150:$H$172)</f>
        <v>1.0695034109097829E-2</v>
      </c>
      <c r="CR11" s="65">
        <f>[6]Vehi_Comp_Sum!$J153/SUM([6]Vehi_Comp_Sum!$J150:$J$172)</f>
        <v>1.9576091567075158E-2</v>
      </c>
      <c r="CS11" s="65">
        <f>[6]Vehi_Comp_Sum!$B153/SUM([6]Vehi_Comp_Sum!$B150:$B$172)</f>
        <v>1.3867662363483515E-2</v>
      </c>
      <c r="CT11" s="65">
        <f>[6]Vehi_Comp_Sum!$D153/SUM([6]Vehi_Comp_Sum!$D150:$D$172)</f>
        <v>9.5094282771881703E-3</v>
      </c>
      <c r="CU11" s="65">
        <f>[6]Vehi_Comp_Sum!$F153/SUM([6]Vehi_Comp_Sum!$F150:$F$172)</f>
        <v>8.4023951376575642E-3</v>
      </c>
      <c r="CV11" s="65">
        <f>[6]Vehi_Comp_Sum!$H153/SUM([6]Vehi_Comp_Sum!$H150:$H$172)</f>
        <v>1.0695034109097829E-2</v>
      </c>
      <c r="CW11" s="65">
        <f>[6]Vehi_Comp_Sum!$H153/SUM([6]Vehi_Comp_Sum!$H150:$H$172)</f>
        <v>1.0695034109097829E-2</v>
      </c>
      <c r="CX11" s="65">
        <f>[6]Vehi_Comp_Sum!$J153/SUM([6]Vehi_Comp_Sum!$J150:$J$172)</f>
        <v>1.9576091567075158E-2</v>
      </c>
      <c r="CY11" s="65">
        <f>[6]Vehi_Comp_Sum!$B153/SUM([6]Vehi_Comp_Sum!$B150:$B$172)</f>
        <v>1.3867662363483515E-2</v>
      </c>
      <c r="CZ11" s="65">
        <f>[6]Vehi_Comp_Sum!$D153/SUM([6]Vehi_Comp_Sum!$D150:$D$172)</f>
        <v>9.5094282771881703E-3</v>
      </c>
      <c r="DA11" s="65">
        <f>[6]Vehi_Comp_Sum!$F153/SUM([6]Vehi_Comp_Sum!$F150:$F$172)</f>
        <v>8.4023951376575642E-3</v>
      </c>
      <c r="DB11" s="65">
        <f>[6]Vehi_Comp_Sum!$H153/SUM([6]Vehi_Comp_Sum!$H150:$H$172)</f>
        <v>1.0695034109097829E-2</v>
      </c>
      <c r="DC11" s="65">
        <f>[6]Vehi_Comp_Sum!$H153/SUM([6]Vehi_Comp_Sum!$H150:$H$172)</f>
        <v>1.0695034109097829E-2</v>
      </c>
      <c r="DD11" s="65">
        <f>[6]Vehi_Comp_Sum!$J153/SUM([6]Vehi_Comp_Sum!$J150:$J$172)</f>
        <v>1.9576091567075158E-2</v>
      </c>
      <c r="DE11" s="520">
        <f t="shared" si="9"/>
        <v>2.5443423441454845E-2</v>
      </c>
      <c r="DF11" s="520">
        <f t="shared" si="9"/>
        <v>2.2168751861788648E-2</v>
      </c>
      <c r="DG11" s="65"/>
      <c r="DH11" s="520">
        <f t="shared" si="9"/>
        <v>3.3757101247984256E-2</v>
      </c>
      <c r="DI11" s="520">
        <f t="shared" si="9"/>
        <v>3.3757101247984256E-2</v>
      </c>
      <c r="DJ11" s="520">
        <f t="shared" si="6"/>
        <v>4.0353754346906676E-2</v>
      </c>
      <c r="DK11" s="315">
        <f t="shared" ref="DK11:DP15" si="16">$DQ11</f>
        <v>7.3283870149854005E-2</v>
      </c>
      <c r="DL11" s="315">
        <f t="shared" si="16"/>
        <v>7.3283870149854005E-2</v>
      </c>
      <c r="DM11" s="315">
        <f t="shared" si="16"/>
        <v>7.3283870149854005E-2</v>
      </c>
      <c r="DN11" s="315">
        <f t="shared" si="16"/>
        <v>7.3283870149854005E-2</v>
      </c>
      <c r="DO11" s="315">
        <f t="shared" si="16"/>
        <v>7.3283870149854005E-2</v>
      </c>
      <c r="DP11" s="315">
        <f t="shared" si="16"/>
        <v>7.3283870149854005E-2</v>
      </c>
      <c r="DQ11" s="65">
        <f>Tech_Specs_Bus!M16/Tech_Specs_Bus!M$23</f>
        <v>7.3283870149854005E-2</v>
      </c>
      <c r="DR11" s="65">
        <f>Tech_Specs_Bus!N16/Tech_Specs_Bus!N$23</f>
        <v>7.4487358926508498E-2</v>
      </c>
      <c r="DS11" s="315">
        <f t="shared" ref="DS11:DT15" si="17">DT11</f>
        <v>0.12906829387816038</v>
      </c>
      <c r="DT11" s="315">
        <f t="shared" si="17"/>
        <v>0.12906829387816038</v>
      </c>
      <c r="DU11" s="65">
        <f>Tech_Specs_Bus!O16/Tech_Specs_Bus!O$23</f>
        <v>0.12906829387816038</v>
      </c>
      <c r="DV11" s="65">
        <f>Tech_Specs_Bus!O16/Tech_Specs_Bus!O$23</f>
        <v>0.12906829387816038</v>
      </c>
      <c r="DW11" s="65">
        <f>Tech_Specs_Bus!P16/Tech_Specs_Bus!P$23</f>
        <v>0.12622393275230104</v>
      </c>
      <c r="DX11" s="315">
        <f t="shared" ref="DX11:EC11" si="18">$ED11</f>
        <v>0.10861380070225703</v>
      </c>
      <c r="DY11" s="315">
        <f t="shared" si="18"/>
        <v>0.10861380070225703</v>
      </c>
      <c r="DZ11" s="315">
        <f t="shared" si="18"/>
        <v>0.10861380070225703</v>
      </c>
      <c r="EA11" s="315">
        <f t="shared" si="18"/>
        <v>0.10861380070225703</v>
      </c>
      <c r="EB11" s="315">
        <f t="shared" si="18"/>
        <v>0.10861380070225703</v>
      </c>
      <c r="EC11" s="315">
        <f t="shared" si="18"/>
        <v>0.10861380070225703</v>
      </c>
      <c r="ED11" s="65">
        <f>Tech_Spec_Rail!AA30</f>
        <v>0.10861380070225703</v>
      </c>
    </row>
    <row r="12" spans="1:137" x14ac:dyDescent="0.3">
      <c r="A12" s="21" t="s">
        <v>229</v>
      </c>
      <c r="D12" s="65">
        <f>(Tech_Spec_Escoot!C10*Tech_Spec_Escoot!C20)/Tech_Spec_Escoot!C14</f>
        <v>3.9810761486654016E-2</v>
      </c>
      <c r="E12" s="315">
        <f t="shared" si="10"/>
        <v>3.9810761486654016E-2</v>
      </c>
      <c r="F12" s="315">
        <f t="shared" si="10"/>
        <v>3.9810761486654016E-2</v>
      </c>
      <c r="G12" s="315">
        <f t="shared" si="11"/>
        <v>3.9810761486654016E-2</v>
      </c>
      <c r="H12" s="315">
        <f t="shared" si="11"/>
        <v>3.9810761486654016E-2</v>
      </c>
      <c r="I12" s="315">
        <f t="shared" si="10"/>
        <v>3.9810761486654016E-2</v>
      </c>
      <c r="J12" s="315">
        <f t="shared" si="10"/>
        <v>3.9810761486654016E-2</v>
      </c>
      <c r="K12" s="315">
        <f t="shared" si="10"/>
        <v>3.9810761486654016E-2</v>
      </c>
      <c r="L12" s="315">
        <f t="shared" si="10"/>
        <v>3.9810761486654016E-2</v>
      </c>
      <c r="M12" s="315">
        <f t="shared" si="10"/>
        <v>3.9810761486654016E-2</v>
      </c>
      <c r="N12" s="315">
        <f t="shared" si="10"/>
        <v>3.9810761486654016E-2</v>
      </c>
      <c r="O12" s="315">
        <f t="shared" si="12"/>
        <v>3.9810761486654016E-2</v>
      </c>
      <c r="P12" s="315">
        <f t="shared" si="12"/>
        <v>3.9810761486654016E-2</v>
      </c>
      <c r="Q12" s="315">
        <f t="shared" si="13"/>
        <v>3.9810761486654016E-2</v>
      </c>
      <c r="R12" s="315">
        <f t="shared" si="13"/>
        <v>3.9810761486654016E-2</v>
      </c>
      <c r="S12" s="315">
        <f t="shared" si="13"/>
        <v>3.9810761486654016E-2</v>
      </c>
      <c r="T12" s="315">
        <f t="shared" si="13"/>
        <v>3.9810761486654016E-2</v>
      </c>
      <c r="U12" s="315">
        <f t="shared" si="14"/>
        <v>3.9810761486654016E-2</v>
      </c>
      <c r="V12" s="315">
        <f t="shared" si="14"/>
        <v>3.9810761486654016E-2</v>
      </c>
      <c r="W12" s="65">
        <f>D12</f>
        <v>3.9810761486654016E-2</v>
      </c>
      <c r="X12" s="315">
        <f t="shared" si="15"/>
        <v>6.2641382348491287E-2</v>
      </c>
      <c r="Y12" s="315">
        <f t="shared" si="15"/>
        <v>6.2641382348491287E-2</v>
      </c>
      <c r="Z12" s="315">
        <f t="shared" si="15"/>
        <v>6.2641382348491287E-2</v>
      </c>
      <c r="AA12" s="315">
        <f t="shared" si="15"/>
        <v>6.2641382348491287E-2</v>
      </c>
      <c r="AB12" s="315">
        <f t="shared" si="15"/>
        <v>6.2641382348491287E-2</v>
      </c>
      <c r="AC12" s="315">
        <f t="shared" si="15"/>
        <v>6.2641382348491287E-2</v>
      </c>
      <c r="AD12" s="315">
        <f t="shared" si="15"/>
        <v>6.2641382348491287E-2</v>
      </c>
      <c r="AE12" s="65">
        <f>(Tech_Spec_Escoot!L10*Tech_Spec_Escoot!L20)/Tech_Spec_Escoot!L14</f>
        <v>6.2641382348491287E-2</v>
      </c>
      <c r="AF12" s="65">
        <f>W12</f>
        <v>3.9810761486654016E-2</v>
      </c>
      <c r="AG12" s="65"/>
      <c r="AH12" s="65">
        <f>(Tech_Spec_Bikes!L25*Tech_Spec_Bikes!$T26)/(Tech_Spec_Bikes!L22+Tech_Spec_Bikes!L25)</f>
        <v>1.8595243630724914E-2</v>
      </c>
      <c r="AI12" s="65"/>
      <c r="AJ12" s="65">
        <f>(Tech_Spec_Bikes!N25*Tech_Spec_Bikes!$T26)/(Tech_Spec_Bikes!N22+Tech_Spec_Bikes!N25)</f>
        <v>1.4049608219604586E-2</v>
      </c>
      <c r="AK12" s="65">
        <f>Tech_Specs_2W!F16/Tech_Specs_2W!F$22</f>
        <v>1.5957446808510637E-2</v>
      </c>
      <c r="AL12" s="65">
        <f>Tech_Specs_2W!G16/Tech_Specs_2W!G$22</f>
        <v>3.1169975307264126E-2</v>
      </c>
      <c r="AM12" s="65">
        <f>AK12</f>
        <v>1.5957446808510637E-2</v>
      </c>
      <c r="AN12" s="65">
        <f>AL12</f>
        <v>3.1169975307264126E-2</v>
      </c>
      <c r="AO12" s="65">
        <f>[5]Vehi_Comp_Sum!$B154/SUM([5]Vehi_Comp_Sum!$B150:$B$172)</f>
        <v>4.1379418789762881E-2</v>
      </c>
      <c r="AP12" s="65">
        <f>[5]Vehi_Comp_Sum!$D154/SUM([5]Vehi_Comp_Sum!$D150:$D$172)</f>
        <v>5.4630692434867401E-2</v>
      </c>
      <c r="AQ12" s="65">
        <f>[5]Vehi_Comp_Sum!$F154/SUM([5]Vehi_Comp_Sum!$F150:$F$172)</f>
        <v>6.2706571654523105E-2</v>
      </c>
      <c r="AR12" s="315">
        <f t="shared" si="2"/>
        <v>5.2069566315886953E-2</v>
      </c>
      <c r="AS12" s="315">
        <f t="shared" si="2"/>
        <v>5.2069566315886953E-2</v>
      </c>
      <c r="AT12" s="315">
        <f t="shared" si="2"/>
        <v>5.2069566315886953E-2</v>
      </c>
      <c r="AU12" s="315">
        <f t="shared" si="2"/>
        <v>5.2069566315886953E-2</v>
      </c>
      <c r="AV12" s="315">
        <f t="shared" si="2"/>
        <v>5.2069566315886953E-2</v>
      </c>
      <c r="AW12" s="315">
        <f t="shared" si="2"/>
        <v>5.2069566315886953E-2</v>
      </c>
      <c r="AX12" s="65">
        <f>[5]Vehi_Comp_Sum!$H154/SUM([5]Vehi_Comp_Sum!$H150:$H$172)</f>
        <v>5.2069566315886953E-2</v>
      </c>
      <c r="AY12" s="65">
        <f>[5]Vehi_Comp_Sum!$J154/SUM([5]Vehi_Comp_Sum!$J150:$J$172)</f>
        <v>3.272067763897081E-2</v>
      </c>
      <c r="AZ12" s="65">
        <f>[5]Vehi_Comp_Sum!$J154/SUM([5]Vehi_Comp_Sum!$J150:$J$172)</f>
        <v>3.272067763897081E-2</v>
      </c>
      <c r="BA12" s="65">
        <f>[5]Vehi_Comp_Sum!$J154/SUM([5]Vehi_Comp_Sum!$J150:$J$172)</f>
        <v>3.272067763897081E-2</v>
      </c>
      <c r="BB12" s="65">
        <f>[5]Vehi_Comp_Sum!$J154/SUM([5]Vehi_Comp_Sum!$J150:$J$172)</f>
        <v>3.272067763897081E-2</v>
      </c>
      <c r="BC12" s="315">
        <f t="shared" si="3"/>
        <v>4.1379418789762881E-2</v>
      </c>
      <c r="BD12" s="315">
        <f t="shared" si="3"/>
        <v>4.1379418789762881E-2</v>
      </c>
      <c r="BE12" s="315">
        <f t="shared" si="3"/>
        <v>4.1379418789762881E-2</v>
      </c>
      <c r="BF12" s="315">
        <f t="shared" si="3"/>
        <v>4.1379418789762881E-2</v>
      </c>
      <c r="BG12" s="315">
        <f t="shared" si="3"/>
        <v>4.1379418789762881E-2</v>
      </c>
      <c r="BH12" s="315">
        <f t="shared" si="3"/>
        <v>4.1379418789762881E-2</v>
      </c>
      <c r="BI12" s="65">
        <f>[5]Vehi_Comp_Sum!$B154/SUM([5]Vehi_Comp_Sum!$B150:$B$172)</f>
        <v>4.1379418789762881E-2</v>
      </c>
      <c r="BJ12" s="65">
        <f>[5]Vehi_Comp_Sum!$D154/SUM([5]Vehi_Comp_Sum!$D150:$D$172)</f>
        <v>5.4630692434867401E-2</v>
      </c>
      <c r="BK12" s="65">
        <f>[5]Vehi_Comp_Sum!$F154/SUM([5]Vehi_Comp_Sum!$F150:$F$172)</f>
        <v>6.2706571654523105E-2</v>
      </c>
      <c r="BL12" s="315">
        <f t="shared" si="4"/>
        <v>5.2069566315886953E-2</v>
      </c>
      <c r="BM12" s="315">
        <f t="shared" si="4"/>
        <v>5.2069566315886953E-2</v>
      </c>
      <c r="BN12" s="315">
        <f t="shared" si="4"/>
        <v>5.2069566315886953E-2</v>
      </c>
      <c r="BO12" s="315">
        <f t="shared" si="4"/>
        <v>5.2069566315886953E-2</v>
      </c>
      <c r="BP12" s="315">
        <f t="shared" si="4"/>
        <v>5.2069566315886953E-2</v>
      </c>
      <c r="BQ12" s="315">
        <f t="shared" si="4"/>
        <v>5.2069566315886953E-2</v>
      </c>
      <c r="BR12" s="315">
        <f t="shared" si="4"/>
        <v>5.2069566315886953E-2</v>
      </c>
      <c r="BS12" s="315">
        <f t="shared" si="4"/>
        <v>5.2069566315886953E-2</v>
      </c>
      <c r="BT12" s="65">
        <f>[5]Vehi_Comp_Sum!$H154/SUM([5]Vehi_Comp_Sum!$H150:$H$172)</f>
        <v>5.2069566315886953E-2</v>
      </c>
      <c r="BU12" s="315">
        <f t="shared" si="5"/>
        <v>5.2069566315886953E-2</v>
      </c>
      <c r="BV12" s="315">
        <f t="shared" si="5"/>
        <v>5.2069566315886953E-2</v>
      </c>
      <c r="BW12" s="315">
        <f t="shared" si="5"/>
        <v>5.2069566315886953E-2</v>
      </c>
      <c r="BX12" s="315">
        <f t="shared" si="5"/>
        <v>5.2069566315886953E-2</v>
      </c>
      <c r="BY12" s="315">
        <f t="shared" si="5"/>
        <v>5.2069566315886953E-2</v>
      </c>
      <c r="BZ12" s="315">
        <f t="shared" si="5"/>
        <v>5.2069566315886953E-2</v>
      </c>
      <c r="CA12" s="315">
        <f t="shared" si="5"/>
        <v>5.2069566315886953E-2</v>
      </c>
      <c r="CB12" s="315">
        <f t="shared" si="5"/>
        <v>5.2069566315886953E-2</v>
      </c>
      <c r="CC12" s="65">
        <f>[5]Vehi_Comp_Sum!$H154/SUM([5]Vehi_Comp_Sum!$H150:$H$172)</f>
        <v>5.2069566315886953E-2</v>
      </c>
      <c r="CD12" s="65">
        <f>[5]Vehi_Comp_Sum!$J154/SUM([5]Vehi_Comp_Sum!$J150:$J$172)</f>
        <v>3.272067763897081E-2</v>
      </c>
      <c r="CE12" s="65">
        <f>[5]Vehi_Comp_Sum!$J154/SUM([5]Vehi_Comp_Sum!$J150:$J$172)</f>
        <v>3.272067763897081E-2</v>
      </c>
      <c r="CF12" s="65">
        <f>[5]Vehi_Comp_Sum!$J154/SUM([5]Vehi_Comp_Sum!$J150:$J$172)</f>
        <v>3.272067763897081E-2</v>
      </c>
      <c r="CG12" s="65">
        <f>[5]Vehi_Comp_Sum!$J154/SUM([5]Vehi_Comp_Sum!$J150:$J$172)</f>
        <v>3.272067763897081E-2</v>
      </c>
      <c r="CH12" s="65">
        <f>[5]Vehi_Comp_Sum!$B154/SUM([5]Vehi_Comp_Sum!$B150:$B$172)</f>
        <v>4.1379418789762881E-2</v>
      </c>
      <c r="CI12" s="65">
        <f>[5]Vehi_Comp_Sum!$D154/SUM([5]Vehi_Comp_Sum!$D150:$D$172)</f>
        <v>5.4630692434867401E-2</v>
      </c>
      <c r="CJ12" s="65">
        <f>[5]Vehi_Comp_Sum!$F154/SUM([5]Vehi_Comp_Sum!$F150:$F$172)</f>
        <v>6.2706571654523105E-2</v>
      </c>
      <c r="CK12" s="65">
        <f>[5]Vehi_Comp_Sum!$H154/SUM([5]Vehi_Comp_Sum!$H150:$H$172)</f>
        <v>5.2069566315886953E-2</v>
      </c>
      <c r="CL12" s="65">
        <f>[5]Vehi_Comp_Sum!$H154/SUM([5]Vehi_Comp_Sum!$H150:$H$172)</f>
        <v>5.2069566315886953E-2</v>
      </c>
      <c r="CM12" s="65">
        <f>[5]Vehi_Comp_Sum!$J154/SUM([5]Vehi_Comp_Sum!$J150:$J$172)</f>
        <v>3.272067763897081E-2</v>
      </c>
      <c r="CN12" s="65">
        <f>[6]Vehi_Comp_Sum!$B154/SUM([6]Vehi_Comp_Sum!$B150:$B$172)</f>
        <v>3.8058039075982139E-2</v>
      </c>
      <c r="CO12" s="65">
        <f>[6]Vehi_Comp_Sum!$D154/SUM([6]Vehi_Comp_Sum!$D150:$D$172)</f>
        <v>5.1368874374298185E-2</v>
      </c>
      <c r="CP12" s="65">
        <f>[6]Vehi_Comp_Sum!$F154/SUM([6]Vehi_Comp_Sum!$F150:$F$172)</f>
        <v>6.0187364711277815E-2</v>
      </c>
      <c r="CQ12" s="65">
        <f>[6]Vehi_Comp_Sum!$H154/SUM([6]Vehi_Comp_Sum!$H150:$H$172)</f>
        <v>5.0018615563012042E-2</v>
      </c>
      <c r="CR12" s="65">
        <f>[6]Vehi_Comp_Sum!$J154/SUM([6]Vehi_Comp_Sum!$J150:$J$172)</f>
        <v>3.378907185089558E-2</v>
      </c>
      <c r="CS12" s="65">
        <f>[6]Vehi_Comp_Sum!$B154/SUM([6]Vehi_Comp_Sum!$B150:$B$172)</f>
        <v>3.8058039075982139E-2</v>
      </c>
      <c r="CT12" s="65">
        <f>[6]Vehi_Comp_Sum!$D154/SUM([6]Vehi_Comp_Sum!$D150:$D$172)</f>
        <v>5.1368874374298185E-2</v>
      </c>
      <c r="CU12" s="65">
        <f>[6]Vehi_Comp_Sum!$F154/SUM([6]Vehi_Comp_Sum!$F150:$F$172)</f>
        <v>6.0187364711277815E-2</v>
      </c>
      <c r="CV12" s="65">
        <f>[6]Vehi_Comp_Sum!$H154/SUM([6]Vehi_Comp_Sum!$H150:$H$172)</f>
        <v>5.0018615563012042E-2</v>
      </c>
      <c r="CW12" s="65">
        <f>[6]Vehi_Comp_Sum!$H154/SUM([6]Vehi_Comp_Sum!$H150:$H$172)</f>
        <v>5.0018615563012042E-2</v>
      </c>
      <c r="CX12" s="65">
        <f>[6]Vehi_Comp_Sum!$J154/SUM([6]Vehi_Comp_Sum!$J150:$J$172)</f>
        <v>3.378907185089558E-2</v>
      </c>
      <c r="CY12" s="65">
        <f>[6]Vehi_Comp_Sum!$B154/SUM([6]Vehi_Comp_Sum!$B150:$B$172)</f>
        <v>3.8058039075982139E-2</v>
      </c>
      <c r="CZ12" s="65">
        <f>[6]Vehi_Comp_Sum!$D154/SUM([6]Vehi_Comp_Sum!$D150:$D$172)</f>
        <v>5.1368874374298185E-2</v>
      </c>
      <c r="DA12" s="65">
        <f>[6]Vehi_Comp_Sum!$F154/SUM([6]Vehi_Comp_Sum!$F150:$F$172)</f>
        <v>6.0187364711277815E-2</v>
      </c>
      <c r="DB12" s="65">
        <f>[6]Vehi_Comp_Sum!$H154/SUM([6]Vehi_Comp_Sum!$H150:$H$172)</f>
        <v>5.0018615563012042E-2</v>
      </c>
      <c r="DC12" s="65">
        <f>[6]Vehi_Comp_Sum!$H154/SUM([6]Vehi_Comp_Sum!$H150:$H$172)</f>
        <v>5.0018615563012042E-2</v>
      </c>
      <c r="DD12" s="65">
        <f>[6]Vehi_Comp_Sum!$J154/SUM([6]Vehi_Comp_Sum!$J150:$J$172)</f>
        <v>3.378907185089558E-2</v>
      </c>
      <c r="DE12" s="520">
        <f t="shared" si="9"/>
        <v>4.7581319612477843E-2</v>
      </c>
      <c r="DF12" s="520">
        <f t="shared" si="9"/>
        <v>5.857703145188993E-2</v>
      </c>
      <c r="DG12" s="65"/>
      <c r="DH12" s="520">
        <f t="shared" si="9"/>
        <v>7.0105006175134515E-2</v>
      </c>
      <c r="DI12" s="520">
        <f t="shared" si="9"/>
        <v>7.0105006175134515E-2</v>
      </c>
      <c r="DJ12" s="520">
        <f t="shared" si="6"/>
        <v>5.5787487887224582E-2</v>
      </c>
      <c r="DK12" s="315">
        <f t="shared" si="16"/>
        <v>8.6939249680882666E-2</v>
      </c>
      <c r="DL12" s="315">
        <f t="shared" si="16"/>
        <v>8.6939249680882666E-2</v>
      </c>
      <c r="DM12" s="315">
        <f t="shared" si="16"/>
        <v>8.6939249680882666E-2</v>
      </c>
      <c r="DN12" s="315">
        <f t="shared" si="16"/>
        <v>8.6939249680882666E-2</v>
      </c>
      <c r="DO12" s="315">
        <f t="shared" si="16"/>
        <v>8.6939249680882666E-2</v>
      </c>
      <c r="DP12" s="315">
        <f t="shared" si="16"/>
        <v>8.6939249680882666E-2</v>
      </c>
      <c r="DQ12" s="65">
        <f>Tech_Specs_Bus!M17/Tech_Specs_Bus!M$23</f>
        <v>8.6939249680882666E-2</v>
      </c>
      <c r="DR12" s="65">
        <f>Tech_Specs_Bus!N17/Tech_Specs_Bus!N$23</f>
        <v>8.8366991024615649E-2</v>
      </c>
      <c r="DS12" s="315">
        <f t="shared" si="17"/>
        <v>0.15311828652626472</v>
      </c>
      <c r="DT12" s="315">
        <f t="shared" si="17"/>
        <v>0.15311828652626472</v>
      </c>
      <c r="DU12" s="65">
        <f>Tech_Specs_Bus!O17/Tech_Specs_Bus!O$23</f>
        <v>0.15311828652626472</v>
      </c>
      <c r="DV12" s="65">
        <f>Tech_Specs_Bus!O17/Tech_Specs_Bus!O$23</f>
        <v>0.15311828652626472</v>
      </c>
      <c r="DW12" s="65">
        <f>Tech_Specs_Bus!P17/Tech_Specs_Bus!P$23</f>
        <v>0.14670281025492055</v>
      </c>
      <c r="DX12" s="65"/>
      <c r="DY12" s="65"/>
      <c r="DZ12" s="65"/>
      <c r="EA12" s="65"/>
      <c r="EB12" s="65"/>
      <c r="EC12" s="65"/>
      <c r="ED12" s="65"/>
    </row>
    <row r="13" spans="1:137" x14ac:dyDescent="0.3">
      <c r="A13" s="21" t="s">
        <v>141</v>
      </c>
      <c r="D13" s="65">
        <f>(Tech_Spec_Escoot!C10*Tech_Spec_Escoot!C19)/Tech_Spec_Escoot!C14</f>
        <v>3.0657594718254341E-2</v>
      </c>
      <c r="E13" s="315">
        <f t="shared" si="10"/>
        <v>3.0657594718254341E-2</v>
      </c>
      <c r="F13" s="315">
        <f t="shared" si="10"/>
        <v>3.0657594718254341E-2</v>
      </c>
      <c r="G13" s="315">
        <f t="shared" si="11"/>
        <v>3.0657594718254341E-2</v>
      </c>
      <c r="H13" s="315">
        <f t="shared" si="11"/>
        <v>3.0657594718254341E-2</v>
      </c>
      <c r="I13" s="315">
        <f t="shared" si="10"/>
        <v>3.0657594718254341E-2</v>
      </c>
      <c r="J13" s="315">
        <f t="shared" si="10"/>
        <v>3.0657594718254341E-2</v>
      </c>
      <c r="K13" s="315">
        <f t="shared" si="10"/>
        <v>3.0657594718254341E-2</v>
      </c>
      <c r="L13" s="315">
        <f t="shared" si="10"/>
        <v>3.0657594718254341E-2</v>
      </c>
      <c r="M13" s="315">
        <f t="shared" si="10"/>
        <v>3.0657594718254341E-2</v>
      </c>
      <c r="N13" s="315">
        <f t="shared" si="10"/>
        <v>3.0657594718254341E-2</v>
      </c>
      <c r="O13" s="315">
        <f t="shared" si="12"/>
        <v>3.0657594718254341E-2</v>
      </c>
      <c r="P13" s="315">
        <f t="shared" si="12"/>
        <v>3.0657594718254341E-2</v>
      </c>
      <c r="Q13" s="315">
        <f t="shared" si="13"/>
        <v>3.0657594718254341E-2</v>
      </c>
      <c r="R13" s="315">
        <f t="shared" si="13"/>
        <v>3.0657594718254341E-2</v>
      </c>
      <c r="S13" s="315">
        <f t="shared" si="13"/>
        <v>3.0657594718254341E-2</v>
      </c>
      <c r="T13" s="315">
        <f t="shared" si="13"/>
        <v>3.0657594718254341E-2</v>
      </c>
      <c r="U13" s="315">
        <f t="shared" si="14"/>
        <v>3.0657594718254341E-2</v>
      </c>
      <c r="V13" s="315">
        <f t="shared" si="14"/>
        <v>3.0657594718254341E-2</v>
      </c>
      <c r="W13" s="65">
        <f>D13</f>
        <v>3.0657594718254341E-2</v>
      </c>
      <c r="X13" s="315">
        <f t="shared" si="15"/>
        <v>4.8239070063381115E-2</v>
      </c>
      <c r="Y13" s="315">
        <f t="shared" si="15"/>
        <v>4.8239070063381115E-2</v>
      </c>
      <c r="Z13" s="315">
        <f t="shared" si="15"/>
        <v>4.8239070063381115E-2</v>
      </c>
      <c r="AA13" s="315">
        <f t="shared" si="15"/>
        <v>4.8239070063381115E-2</v>
      </c>
      <c r="AB13" s="315">
        <f t="shared" si="15"/>
        <v>4.8239070063381115E-2</v>
      </c>
      <c r="AC13" s="315">
        <f t="shared" si="15"/>
        <v>4.8239070063381115E-2</v>
      </c>
      <c r="AD13" s="315">
        <f t="shared" si="15"/>
        <v>4.8239070063381115E-2</v>
      </c>
      <c r="AE13" s="65">
        <f>(Tech_Spec_Escoot!L10*Tech_Spec_Escoot!L19)/Tech_Spec_Escoot!L14</f>
        <v>4.8239070063381115E-2</v>
      </c>
      <c r="AF13" s="65">
        <f>W13</f>
        <v>3.0657594718254341E-2</v>
      </c>
      <c r="AG13" s="65"/>
      <c r="AH13" s="65">
        <f>(Tech_Spec_Bikes!L25*Tech_Spec_Bikes!$T25)/(Tech_Spec_Bikes!L22+Tech_Spec_Bikes!L25)</f>
        <v>1.4319882906763231E-2</v>
      </c>
      <c r="AI13" s="65"/>
      <c r="AJ13" s="65">
        <f>(Tech_Spec_Bikes!N25*Tech_Spec_Bikes!$T25)/(Tech_Spec_Bikes!N22+Tech_Spec_Bikes!N25)</f>
        <v>1.0819365886565305E-2</v>
      </c>
      <c r="AK13" s="65">
        <f>Tech_Specs_2W!F14/Tech_Specs_2W!F$22</f>
        <v>1.0638297872340425E-2</v>
      </c>
      <c r="AL13" s="65">
        <f>Tech_Specs_2W!G14/Tech_Specs_2W!G$22</f>
        <v>2.2131527182935505E-2</v>
      </c>
      <c r="AM13" s="65">
        <f>AK13</f>
        <v>1.0638297872340425E-2</v>
      </c>
      <c r="AN13" s="65">
        <f>AL13</f>
        <v>2.2131527182935505E-2</v>
      </c>
      <c r="AO13" s="65">
        <f>[5]Vehi_Comp_Sum!$B155/SUM([5]Vehi_Comp_Sum!$B150:$B$172)</f>
        <v>1.742939509346085E-2</v>
      </c>
      <c r="AP13" s="65">
        <f>[5]Vehi_Comp_Sum!$D155/SUM([5]Vehi_Comp_Sum!$D150:$D$172)</f>
        <v>3.6763539069402988E-2</v>
      </c>
      <c r="AQ13" s="65">
        <f>[5]Vehi_Comp_Sum!$F155/SUM([5]Vehi_Comp_Sum!$F150:$F$172)</f>
        <v>4.2439714666994241E-2</v>
      </c>
      <c r="AR13" s="315">
        <f t="shared" si="2"/>
        <v>5.3419658707600001E-2</v>
      </c>
      <c r="AS13" s="315">
        <f t="shared" si="2"/>
        <v>5.3419658707600001E-2</v>
      </c>
      <c r="AT13" s="315">
        <f t="shared" si="2"/>
        <v>5.3419658707600001E-2</v>
      </c>
      <c r="AU13" s="315">
        <f t="shared" si="2"/>
        <v>5.3419658707600001E-2</v>
      </c>
      <c r="AV13" s="315">
        <f t="shared" si="2"/>
        <v>5.3419658707600001E-2</v>
      </c>
      <c r="AW13" s="315">
        <f t="shared" si="2"/>
        <v>5.3419658707600001E-2</v>
      </c>
      <c r="AX13" s="65">
        <f>[5]Vehi_Comp_Sum!$H155/SUM([5]Vehi_Comp_Sum!$H150:$H$172)</f>
        <v>5.3419658707600001E-2</v>
      </c>
      <c r="AY13" s="65">
        <f>[5]Vehi_Comp_Sum!$J155/SUM([5]Vehi_Comp_Sum!$J150:$J$172)</f>
        <v>3.1319401732571209E-2</v>
      </c>
      <c r="AZ13" s="65">
        <f>[5]Vehi_Comp_Sum!$J155/SUM([5]Vehi_Comp_Sum!$J150:$J$172)</f>
        <v>3.1319401732571209E-2</v>
      </c>
      <c r="BA13" s="65">
        <f>[5]Vehi_Comp_Sum!$J155/SUM([5]Vehi_Comp_Sum!$J150:$J$172)</f>
        <v>3.1319401732571209E-2</v>
      </c>
      <c r="BB13" s="65">
        <f>[5]Vehi_Comp_Sum!$J155/SUM([5]Vehi_Comp_Sum!$J150:$J$172)</f>
        <v>3.1319401732571209E-2</v>
      </c>
      <c r="BC13" s="315">
        <f t="shared" si="3"/>
        <v>1.742939509346085E-2</v>
      </c>
      <c r="BD13" s="315">
        <f t="shared" si="3"/>
        <v>1.742939509346085E-2</v>
      </c>
      <c r="BE13" s="315">
        <f t="shared" si="3"/>
        <v>1.742939509346085E-2</v>
      </c>
      <c r="BF13" s="315">
        <f t="shared" si="3"/>
        <v>1.742939509346085E-2</v>
      </c>
      <c r="BG13" s="315">
        <f t="shared" si="3"/>
        <v>1.742939509346085E-2</v>
      </c>
      <c r="BH13" s="315">
        <f t="shared" si="3"/>
        <v>1.742939509346085E-2</v>
      </c>
      <c r="BI13" s="65">
        <f>[5]Vehi_Comp_Sum!$B155/SUM([5]Vehi_Comp_Sum!$B150:$B$172)</f>
        <v>1.742939509346085E-2</v>
      </c>
      <c r="BJ13" s="65">
        <f>[5]Vehi_Comp_Sum!$D155/SUM([5]Vehi_Comp_Sum!$D150:$D$172)</f>
        <v>3.6763539069402988E-2</v>
      </c>
      <c r="BK13" s="65">
        <f>[5]Vehi_Comp_Sum!$F155/SUM([5]Vehi_Comp_Sum!$F150:$F$172)</f>
        <v>4.2439714666994241E-2</v>
      </c>
      <c r="BL13" s="315">
        <f t="shared" si="4"/>
        <v>5.3419658707600001E-2</v>
      </c>
      <c r="BM13" s="315">
        <f t="shared" si="4"/>
        <v>5.3419658707600001E-2</v>
      </c>
      <c r="BN13" s="315">
        <f t="shared" si="4"/>
        <v>5.3419658707600001E-2</v>
      </c>
      <c r="BO13" s="315">
        <f t="shared" si="4"/>
        <v>5.3419658707600001E-2</v>
      </c>
      <c r="BP13" s="315">
        <f t="shared" si="4"/>
        <v>5.3419658707600001E-2</v>
      </c>
      <c r="BQ13" s="315">
        <f t="shared" si="4"/>
        <v>5.3419658707600001E-2</v>
      </c>
      <c r="BR13" s="315">
        <f t="shared" si="4"/>
        <v>5.3419658707600001E-2</v>
      </c>
      <c r="BS13" s="315">
        <f t="shared" si="4"/>
        <v>5.3419658707600001E-2</v>
      </c>
      <c r="BT13" s="65">
        <f>[5]Vehi_Comp_Sum!$H155/SUM([5]Vehi_Comp_Sum!$H150:$H$172)</f>
        <v>5.3419658707600001E-2</v>
      </c>
      <c r="BU13" s="315">
        <f t="shared" si="5"/>
        <v>5.3419658707600001E-2</v>
      </c>
      <c r="BV13" s="315">
        <f t="shared" si="5"/>
        <v>5.3419658707600001E-2</v>
      </c>
      <c r="BW13" s="315">
        <f t="shared" si="5"/>
        <v>5.3419658707600001E-2</v>
      </c>
      <c r="BX13" s="315">
        <f t="shared" si="5"/>
        <v>5.3419658707600001E-2</v>
      </c>
      <c r="BY13" s="315">
        <f t="shared" si="5"/>
        <v>5.3419658707600001E-2</v>
      </c>
      <c r="BZ13" s="315">
        <f t="shared" si="5"/>
        <v>5.3419658707600001E-2</v>
      </c>
      <c r="CA13" s="315">
        <f t="shared" si="5"/>
        <v>5.3419658707600001E-2</v>
      </c>
      <c r="CB13" s="315">
        <f t="shared" si="5"/>
        <v>5.3419658707600001E-2</v>
      </c>
      <c r="CC13" s="65">
        <f>[5]Vehi_Comp_Sum!$H155/SUM([5]Vehi_Comp_Sum!$H150:$H$172)</f>
        <v>5.3419658707600001E-2</v>
      </c>
      <c r="CD13" s="65">
        <f>[5]Vehi_Comp_Sum!$J155/SUM([5]Vehi_Comp_Sum!$J150:$J$172)</f>
        <v>3.1319401732571209E-2</v>
      </c>
      <c r="CE13" s="65">
        <f>[5]Vehi_Comp_Sum!$J155/SUM([5]Vehi_Comp_Sum!$J150:$J$172)</f>
        <v>3.1319401732571209E-2</v>
      </c>
      <c r="CF13" s="65">
        <f>[5]Vehi_Comp_Sum!$J155/SUM([5]Vehi_Comp_Sum!$J150:$J$172)</f>
        <v>3.1319401732571209E-2</v>
      </c>
      <c r="CG13" s="65">
        <f>[5]Vehi_Comp_Sum!$J155/SUM([5]Vehi_Comp_Sum!$J150:$J$172)</f>
        <v>3.1319401732571209E-2</v>
      </c>
      <c r="CH13" s="65">
        <f>[5]Vehi_Comp_Sum!$B155/SUM([5]Vehi_Comp_Sum!$B150:$B$172)</f>
        <v>1.742939509346085E-2</v>
      </c>
      <c r="CI13" s="65">
        <f>[5]Vehi_Comp_Sum!$D155/SUM([5]Vehi_Comp_Sum!$D150:$D$172)</f>
        <v>3.6763539069402988E-2</v>
      </c>
      <c r="CJ13" s="65">
        <f>[5]Vehi_Comp_Sum!$F155/SUM([5]Vehi_Comp_Sum!$F150:$F$172)</f>
        <v>4.2439714666994241E-2</v>
      </c>
      <c r="CK13" s="65">
        <f>[5]Vehi_Comp_Sum!$H155/SUM([5]Vehi_Comp_Sum!$H150:$H$172)</f>
        <v>5.3419658707600001E-2</v>
      </c>
      <c r="CL13" s="65">
        <f>[5]Vehi_Comp_Sum!$H155/SUM([5]Vehi_Comp_Sum!$H150:$H$172)</f>
        <v>5.3419658707600001E-2</v>
      </c>
      <c r="CM13" s="65">
        <f>[5]Vehi_Comp_Sum!$J155/SUM([5]Vehi_Comp_Sum!$J150:$J$172)</f>
        <v>3.1319401732571209E-2</v>
      </c>
      <c r="CN13" s="65">
        <f>[6]Vehi_Comp_Sum!$B155/SUM([6]Vehi_Comp_Sum!$B150:$B$172)</f>
        <v>1.3632423296366183E-2</v>
      </c>
      <c r="CO13" s="65">
        <f>[6]Vehi_Comp_Sum!$D155/SUM([6]Vehi_Comp_Sum!$D150:$D$172)</f>
        <v>3.1424033334925952E-2</v>
      </c>
      <c r="CP13" s="65">
        <f>[6]Vehi_Comp_Sum!$F155/SUM([6]Vehi_Comp_Sum!$F150:$F$172)</f>
        <v>3.6325789709295238E-2</v>
      </c>
      <c r="CQ13" s="65">
        <f>[6]Vehi_Comp_Sum!$H155/SUM([6]Vehi_Comp_Sum!$H150:$H$172)</f>
        <v>4.3716834670333687E-2</v>
      </c>
      <c r="CR13" s="65">
        <f>[6]Vehi_Comp_Sum!$J155/SUM([6]Vehi_Comp_Sum!$J150:$J$172)</f>
        <v>2.7822055245524887E-2</v>
      </c>
      <c r="CS13" s="65">
        <f>[6]Vehi_Comp_Sum!$B155/SUM([6]Vehi_Comp_Sum!$B150:$B$172)</f>
        <v>1.3632423296366183E-2</v>
      </c>
      <c r="CT13" s="65">
        <f>[6]Vehi_Comp_Sum!$D155/SUM([6]Vehi_Comp_Sum!$D150:$D$172)</f>
        <v>3.1424033334925952E-2</v>
      </c>
      <c r="CU13" s="65">
        <f>[6]Vehi_Comp_Sum!$F155/SUM([6]Vehi_Comp_Sum!$F150:$F$172)</f>
        <v>3.6325789709295238E-2</v>
      </c>
      <c r="CV13" s="65">
        <f>[6]Vehi_Comp_Sum!$H155/SUM([6]Vehi_Comp_Sum!$H150:$H$172)</f>
        <v>4.3716834670333687E-2</v>
      </c>
      <c r="CW13" s="65">
        <f>[6]Vehi_Comp_Sum!$H155/SUM([6]Vehi_Comp_Sum!$H150:$H$172)</f>
        <v>4.3716834670333687E-2</v>
      </c>
      <c r="CX13" s="65">
        <f>[6]Vehi_Comp_Sum!$J155/SUM([6]Vehi_Comp_Sum!$J150:$J$172)</f>
        <v>2.7822055245524887E-2</v>
      </c>
      <c r="CY13" s="65">
        <f>[6]Vehi_Comp_Sum!$B155/SUM([6]Vehi_Comp_Sum!$B150:$B$172)</f>
        <v>1.3632423296366183E-2</v>
      </c>
      <c r="CZ13" s="65">
        <f>[6]Vehi_Comp_Sum!$D155/SUM([6]Vehi_Comp_Sum!$D150:$D$172)</f>
        <v>3.1424033334925952E-2</v>
      </c>
      <c r="DA13" s="65">
        <f>[6]Vehi_Comp_Sum!$F155/SUM([6]Vehi_Comp_Sum!$F150:$F$172)</f>
        <v>3.6325789709295238E-2</v>
      </c>
      <c r="DB13" s="65">
        <f>[6]Vehi_Comp_Sum!$H155/SUM([6]Vehi_Comp_Sum!$H150:$H$172)</f>
        <v>4.3716834670333687E-2</v>
      </c>
      <c r="DC13" s="65">
        <f>[6]Vehi_Comp_Sum!$H155/SUM([6]Vehi_Comp_Sum!$H150:$H$172)</f>
        <v>4.3716834670333687E-2</v>
      </c>
      <c r="DD13" s="65">
        <f>[6]Vehi_Comp_Sum!$J155/SUM([6]Vehi_Comp_Sum!$J150:$J$172)</f>
        <v>2.7822055245524887E-2</v>
      </c>
      <c r="DE13" s="520">
        <f t="shared" si="9"/>
        <v>1.3018795129721454E-2</v>
      </c>
      <c r="DF13" s="520">
        <f t="shared" si="9"/>
        <v>2.7377694597224396E-2</v>
      </c>
      <c r="DG13" s="65"/>
      <c r="DH13" s="520">
        <f t="shared" si="9"/>
        <v>3.8796637645786773E-2</v>
      </c>
      <c r="DI13" s="520">
        <f t="shared" si="9"/>
        <v>3.8796637645786773E-2</v>
      </c>
      <c r="DJ13" s="520">
        <f t="shared" si="6"/>
        <v>2.6929108133027548E-2</v>
      </c>
      <c r="DK13" s="315">
        <f t="shared" si="16"/>
        <v>1.0482785150990576E-2</v>
      </c>
      <c r="DL13" s="315">
        <f t="shared" si="16"/>
        <v>1.0482785150990576E-2</v>
      </c>
      <c r="DM13" s="315">
        <f t="shared" si="16"/>
        <v>1.0482785150990576E-2</v>
      </c>
      <c r="DN13" s="315">
        <f t="shared" si="16"/>
        <v>1.0482785150990576E-2</v>
      </c>
      <c r="DO13" s="315">
        <f t="shared" si="16"/>
        <v>1.0482785150990576E-2</v>
      </c>
      <c r="DP13" s="315">
        <f t="shared" si="16"/>
        <v>1.0482785150990576E-2</v>
      </c>
      <c r="DQ13" s="65">
        <f>Tech_Specs_Bus!M14/Tech_Specs_Bus!M$23</f>
        <v>1.0482785150990576E-2</v>
      </c>
      <c r="DR13" s="65">
        <f>Tech_Specs_Bus!N14/Tech_Specs_Bus!N$23</f>
        <v>1.0654936461388074E-2</v>
      </c>
      <c r="DS13" s="315">
        <f t="shared" si="17"/>
        <v>1.8462387313374753E-2</v>
      </c>
      <c r="DT13" s="315">
        <f t="shared" si="17"/>
        <v>1.8462387313374753E-2</v>
      </c>
      <c r="DU13" s="65">
        <f>Tech_Specs_Bus!O14/Tech_Specs_Bus!O$23</f>
        <v>1.8462387313374753E-2</v>
      </c>
      <c r="DV13" s="65">
        <f>Tech_Specs_Bus!O14/Tech_Specs_Bus!O$23</f>
        <v>1.8462387313374753E-2</v>
      </c>
      <c r="DW13" s="65">
        <f>Tech_Specs_Bus!P14/Tech_Specs_Bus!P$23</f>
        <v>2.323872540474696E-2</v>
      </c>
      <c r="DX13" s="65"/>
      <c r="DY13" s="65"/>
      <c r="DZ13" s="65"/>
      <c r="EA13" s="65"/>
      <c r="EB13" s="65"/>
      <c r="EC13" s="65"/>
      <c r="ED13" s="65"/>
    </row>
    <row r="14" spans="1:137" x14ac:dyDescent="0.3">
      <c r="A14" s="21" t="s">
        <v>142</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f>[5]Vehi_Comp_Sum!$B158/SUM([5]Vehi_Comp_Sum!$B150:$B$172)</f>
        <v>2.780832847059618E-2</v>
      </c>
      <c r="AP14" s="65">
        <f>[5]Vehi_Comp_Sum!$D158/SUM([5]Vehi_Comp_Sum!$D150:$D$172)</f>
        <v>2.5388252063790466E-2</v>
      </c>
      <c r="AQ14" s="65">
        <f>[5]Vehi_Comp_Sum!$F158/SUM([5]Vehi_Comp_Sum!$F150:$F$172)</f>
        <v>2.3198517611224313E-2</v>
      </c>
      <c r="AR14" s="315">
        <f t="shared" si="2"/>
        <v>2.8458830192368757E-2</v>
      </c>
      <c r="AS14" s="315">
        <f t="shared" si="2"/>
        <v>2.8458830192368757E-2</v>
      </c>
      <c r="AT14" s="315">
        <f t="shared" si="2"/>
        <v>2.8458830192368757E-2</v>
      </c>
      <c r="AU14" s="315">
        <f t="shared" si="2"/>
        <v>2.8458830192368757E-2</v>
      </c>
      <c r="AV14" s="315">
        <f t="shared" si="2"/>
        <v>2.8458830192368757E-2</v>
      </c>
      <c r="AW14" s="315">
        <f t="shared" si="2"/>
        <v>2.8458830192368757E-2</v>
      </c>
      <c r="AX14" s="65">
        <f>[5]Vehi_Comp_Sum!$H158/SUM([5]Vehi_Comp_Sum!$H150:$H$172)</f>
        <v>2.8458830192368757E-2</v>
      </c>
      <c r="AY14" s="65">
        <f>[5]Vehi_Comp_Sum!$J158/SUM([5]Vehi_Comp_Sum!$J150:$J$172)</f>
        <v>2.877517795371581E-2</v>
      </c>
      <c r="AZ14" s="65">
        <f>[5]Vehi_Comp_Sum!$J158/SUM([5]Vehi_Comp_Sum!$J150:$J$172)</f>
        <v>2.877517795371581E-2</v>
      </c>
      <c r="BA14" s="65">
        <f>[5]Vehi_Comp_Sum!$J158/SUM([5]Vehi_Comp_Sum!$J150:$J$172)</f>
        <v>2.877517795371581E-2</v>
      </c>
      <c r="BB14" s="65">
        <f>[5]Vehi_Comp_Sum!$J158/SUM([5]Vehi_Comp_Sum!$J150:$J$172)</f>
        <v>2.877517795371581E-2</v>
      </c>
      <c r="BC14" s="315">
        <f t="shared" si="3"/>
        <v>2.780832847059618E-2</v>
      </c>
      <c r="BD14" s="315">
        <f t="shared" si="3"/>
        <v>2.780832847059618E-2</v>
      </c>
      <c r="BE14" s="315">
        <f t="shared" si="3"/>
        <v>2.780832847059618E-2</v>
      </c>
      <c r="BF14" s="315">
        <f t="shared" si="3"/>
        <v>2.780832847059618E-2</v>
      </c>
      <c r="BG14" s="315">
        <f t="shared" si="3"/>
        <v>2.780832847059618E-2</v>
      </c>
      <c r="BH14" s="315">
        <f t="shared" si="3"/>
        <v>2.780832847059618E-2</v>
      </c>
      <c r="BI14" s="65">
        <f>[5]Vehi_Comp_Sum!$B158/SUM([5]Vehi_Comp_Sum!$B150:$B$172)</f>
        <v>2.780832847059618E-2</v>
      </c>
      <c r="BJ14" s="65">
        <f>[5]Vehi_Comp_Sum!$D158/SUM([5]Vehi_Comp_Sum!$D150:$D$172)</f>
        <v>2.5388252063790466E-2</v>
      </c>
      <c r="BK14" s="65">
        <f>[5]Vehi_Comp_Sum!$F158/SUM([5]Vehi_Comp_Sum!$F150:$F$172)</f>
        <v>2.3198517611224313E-2</v>
      </c>
      <c r="BL14" s="315">
        <f t="shared" si="4"/>
        <v>2.8458830192368757E-2</v>
      </c>
      <c r="BM14" s="315">
        <f t="shared" si="4"/>
        <v>2.8458830192368757E-2</v>
      </c>
      <c r="BN14" s="315">
        <f t="shared" si="4"/>
        <v>2.8458830192368757E-2</v>
      </c>
      <c r="BO14" s="315">
        <f t="shared" si="4"/>
        <v>2.8458830192368757E-2</v>
      </c>
      <c r="BP14" s="315">
        <f t="shared" si="4"/>
        <v>2.8458830192368757E-2</v>
      </c>
      <c r="BQ14" s="315">
        <f t="shared" si="4"/>
        <v>2.8458830192368757E-2</v>
      </c>
      <c r="BR14" s="315">
        <f t="shared" si="4"/>
        <v>2.8458830192368757E-2</v>
      </c>
      <c r="BS14" s="315">
        <f t="shared" si="4"/>
        <v>2.8458830192368757E-2</v>
      </c>
      <c r="BT14" s="65">
        <f>[5]Vehi_Comp_Sum!$H158/SUM([5]Vehi_Comp_Sum!$H150:$H$172)</f>
        <v>2.8458830192368757E-2</v>
      </c>
      <c r="BU14" s="315">
        <f t="shared" si="5"/>
        <v>2.8458830192368757E-2</v>
      </c>
      <c r="BV14" s="315">
        <f t="shared" si="5"/>
        <v>2.8458830192368757E-2</v>
      </c>
      <c r="BW14" s="315">
        <f t="shared" si="5"/>
        <v>2.8458830192368757E-2</v>
      </c>
      <c r="BX14" s="315">
        <f t="shared" si="5"/>
        <v>2.8458830192368757E-2</v>
      </c>
      <c r="BY14" s="315">
        <f t="shared" si="5"/>
        <v>2.8458830192368757E-2</v>
      </c>
      <c r="BZ14" s="315">
        <f t="shared" si="5"/>
        <v>2.8458830192368757E-2</v>
      </c>
      <c r="CA14" s="315">
        <f t="shared" si="5"/>
        <v>2.8458830192368757E-2</v>
      </c>
      <c r="CB14" s="315">
        <f t="shared" si="5"/>
        <v>2.8458830192368757E-2</v>
      </c>
      <c r="CC14" s="65">
        <f>[5]Vehi_Comp_Sum!$H158/SUM([5]Vehi_Comp_Sum!$H150:$H$172)</f>
        <v>2.8458830192368757E-2</v>
      </c>
      <c r="CD14" s="65">
        <f>[5]Vehi_Comp_Sum!$J158/SUM([5]Vehi_Comp_Sum!$J150:$J$172)</f>
        <v>2.877517795371581E-2</v>
      </c>
      <c r="CE14" s="65">
        <f>[5]Vehi_Comp_Sum!$J158/SUM([5]Vehi_Comp_Sum!$J150:$J$172)</f>
        <v>2.877517795371581E-2</v>
      </c>
      <c r="CF14" s="65">
        <f>[5]Vehi_Comp_Sum!$J158/SUM([5]Vehi_Comp_Sum!$J150:$J$172)</f>
        <v>2.877517795371581E-2</v>
      </c>
      <c r="CG14" s="65">
        <f>[5]Vehi_Comp_Sum!$J158/SUM([5]Vehi_Comp_Sum!$J150:$J$172)</f>
        <v>2.877517795371581E-2</v>
      </c>
      <c r="CH14" s="65">
        <f>[5]Vehi_Comp_Sum!$B158/SUM([5]Vehi_Comp_Sum!$B150:$B$172)</f>
        <v>2.780832847059618E-2</v>
      </c>
      <c r="CI14" s="65">
        <f>[5]Vehi_Comp_Sum!$D158/SUM([5]Vehi_Comp_Sum!$D150:$D$172)</f>
        <v>2.5388252063790466E-2</v>
      </c>
      <c r="CJ14" s="65">
        <f>[5]Vehi_Comp_Sum!$F158/SUM([5]Vehi_Comp_Sum!$F150:$F$172)</f>
        <v>2.3198517611224313E-2</v>
      </c>
      <c r="CK14" s="65">
        <f>[5]Vehi_Comp_Sum!$H158/SUM([5]Vehi_Comp_Sum!$H150:$H$172)</f>
        <v>2.8458830192368757E-2</v>
      </c>
      <c r="CL14" s="65">
        <f>[5]Vehi_Comp_Sum!$H158/SUM([5]Vehi_Comp_Sum!$H150:$H$172)</f>
        <v>2.8458830192368757E-2</v>
      </c>
      <c r="CM14" s="65">
        <f>[5]Vehi_Comp_Sum!$J158/SUM([5]Vehi_Comp_Sum!$J150:$J$172)</f>
        <v>2.877517795371581E-2</v>
      </c>
      <c r="CN14" s="65">
        <f>[6]Vehi_Comp_Sum!$B158/SUM([6]Vehi_Comp_Sum!$B150:$B$172)</f>
        <v>3.0777917171258929E-2</v>
      </c>
      <c r="CO14" s="65">
        <f>[6]Vehi_Comp_Sum!$D158/SUM([6]Vehi_Comp_Sum!$D150:$D$172)</f>
        <v>2.8164845047032296E-2</v>
      </c>
      <c r="CP14" s="65">
        <f>[6]Vehi_Comp_Sum!$F158/SUM([6]Vehi_Comp_Sum!$F150:$F$172)</f>
        <v>1.8103103972414342E-2</v>
      </c>
      <c r="CQ14" s="65">
        <f>[6]Vehi_Comp_Sum!$H158/SUM([6]Vehi_Comp_Sum!$H150:$H$172)</f>
        <v>3.1258780399974956E-2</v>
      </c>
      <c r="CR14" s="65">
        <f>[6]Vehi_Comp_Sum!$J158/SUM([6]Vehi_Comp_Sum!$J150:$J$172)</f>
        <v>2.8973229686918605E-2</v>
      </c>
      <c r="CS14" s="65">
        <f>[6]Vehi_Comp_Sum!$B158/SUM([6]Vehi_Comp_Sum!$B150:$B$172)</f>
        <v>3.0777917171258929E-2</v>
      </c>
      <c r="CT14" s="65">
        <f>[6]Vehi_Comp_Sum!$D158/SUM([6]Vehi_Comp_Sum!$D150:$D$172)</f>
        <v>2.8164845047032296E-2</v>
      </c>
      <c r="CU14" s="65">
        <f>[6]Vehi_Comp_Sum!$F158/SUM([6]Vehi_Comp_Sum!$F150:$F$172)</f>
        <v>1.8103103972414342E-2</v>
      </c>
      <c r="CV14" s="65">
        <f>[6]Vehi_Comp_Sum!$H158/SUM([6]Vehi_Comp_Sum!$H150:$H$172)</f>
        <v>3.1258780399974956E-2</v>
      </c>
      <c r="CW14" s="65">
        <f>[6]Vehi_Comp_Sum!$H158/SUM([6]Vehi_Comp_Sum!$H150:$H$172)</f>
        <v>3.1258780399974956E-2</v>
      </c>
      <c r="CX14" s="65">
        <f>[6]Vehi_Comp_Sum!$J158/SUM([6]Vehi_Comp_Sum!$J150:$J$172)</f>
        <v>2.8973229686918605E-2</v>
      </c>
      <c r="CY14" s="65">
        <f>[6]Vehi_Comp_Sum!$B158/SUM([6]Vehi_Comp_Sum!$B150:$B$172)</f>
        <v>3.0777917171258929E-2</v>
      </c>
      <c r="CZ14" s="65">
        <f>[6]Vehi_Comp_Sum!$D158/SUM([6]Vehi_Comp_Sum!$D150:$D$172)</f>
        <v>2.8164845047032296E-2</v>
      </c>
      <c r="DA14" s="65">
        <f>[6]Vehi_Comp_Sum!$F158/SUM([6]Vehi_Comp_Sum!$F150:$F$172)</f>
        <v>1.8103103972414342E-2</v>
      </c>
      <c r="DB14" s="65">
        <f>[6]Vehi_Comp_Sum!$H158/SUM([6]Vehi_Comp_Sum!$H150:$H$172)</f>
        <v>3.1258780399974956E-2</v>
      </c>
      <c r="DC14" s="65">
        <f>[6]Vehi_Comp_Sum!$H158/SUM([6]Vehi_Comp_Sum!$H150:$H$172)</f>
        <v>3.1258780399974956E-2</v>
      </c>
      <c r="DD14" s="65">
        <f>[6]Vehi_Comp_Sum!$J158/SUM([6]Vehi_Comp_Sum!$J150:$J$172)</f>
        <v>2.8973229686918605E-2</v>
      </c>
      <c r="DE14" s="520">
        <f t="shared" si="9"/>
        <v>3.3962629405611441E-2</v>
      </c>
      <c r="DF14" s="520">
        <f t="shared" si="9"/>
        <v>3.2009422321906587E-2</v>
      </c>
      <c r="DG14" s="65"/>
      <c r="DH14" s="520">
        <f t="shared" si="9"/>
        <v>3.3393845548938372E-2</v>
      </c>
      <c r="DI14" s="520">
        <f t="shared" si="9"/>
        <v>3.3393845548938372E-2</v>
      </c>
      <c r="DJ14" s="520">
        <f t="shared" si="6"/>
        <v>3.1322509393159496E-2</v>
      </c>
      <c r="DK14" s="315">
        <f t="shared" si="16"/>
        <v>4.7124447009040199E-2</v>
      </c>
      <c r="DL14" s="315">
        <f t="shared" si="16"/>
        <v>4.7124447009040199E-2</v>
      </c>
      <c r="DM14" s="315">
        <f t="shared" si="16"/>
        <v>4.7124447009040199E-2</v>
      </c>
      <c r="DN14" s="315">
        <f t="shared" si="16"/>
        <v>4.7124447009040199E-2</v>
      </c>
      <c r="DO14" s="315">
        <f t="shared" si="16"/>
        <v>4.7124447009040199E-2</v>
      </c>
      <c r="DP14" s="315">
        <f t="shared" si="16"/>
        <v>4.7124447009040199E-2</v>
      </c>
      <c r="DQ14" s="65">
        <f>Tech_Specs_Bus!M19/Tech_Specs_Bus!M$23</f>
        <v>4.7124447009040199E-2</v>
      </c>
      <c r="DR14" s="65">
        <f>Tech_Specs_Bus!N19/Tech_Specs_Bus!N$23</f>
        <v>4.7898338220918865E-2</v>
      </c>
      <c r="DS14" s="315">
        <f t="shared" si="17"/>
        <v>4.2217668863011606E-2</v>
      </c>
      <c r="DT14" s="315">
        <f t="shared" si="17"/>
        <v>4.2217668863011606E-2</v>
      </c>
      <c r="DU14" s="65">
        <f>Tech_Specs_Bus!O19/Tech_Specs_Bus!O$23</f>
        <v>4.2217668863011606E-2</v>
      </c>
      <c r="DV14" s="65">
        <f>Tech_Specs_Bus!O19/Tech_Specs_Bus!O$23</f>
        <v>4.2217668863011606E-2</v>
      </c>
      <c r="DW14" s="65">
        <f>Tech_Specs_Bus!P19/Tech_Specs_Bus!P$23</f>
        <v>4.1031641244837096E-2</v>
      </c>
      <c r="DX14" s="315">
        <f t="shared" ref="DX14:EC15" si="19">$ED14</f>
        <v>1.6837199637091876E-2</v>
      </c>
      <c r="DY14" s="315">
        <f t="shared" si="19"/>
        <v>1.6837199637091876E-2</v>
      </c>
      <c r="DZ14" s="315">
        <f t="shared" si="19"/>
        <v>1.6837199637091876E-2</v>
      </c>
      <c r="EA14" s="315">
        <f t="shared" si="19"/>
        <v>1.6837199637091876E-2</v>
      </c>
      <c r="EB14" s="315">
        <f t="shared" si="19"/>
        <v>1.6837199637091876E-2</v>
      </c>
      <c r="EC14" s="315">
        <f t="shared" si="19"/>
        <v>1.6837199637091876E-2</v>
      </c>
      <c r="ED14" s="65">
        <f>Tech_Spec_Rail!AA33</f>
        <v>1.6837199637091876E-2</v>
      </c>
    </row>
    <row r="15" spans="1:137" x14ac:dyDescent="0.3">
      <c r="A15" s="21" t="s">
        <v>120</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f>Tech_Spec_Bikes!H10/Tech_Spec_Bikes!H22</f>
        <v>9.6876695342168487E-2</v>
      </c>
      <c r="AH15" s="65">
        <f>Tech_Spec_Bikes!L10/(Tech_Spec_Bikes!L22+Tech_Spec_Bikes!L25)</f>
        <v>8.5850616947021771E-2</v>
      </c>
      <c r="AI15" s="65">
        <f>Tech_Spec_Bikes!J10/Tech_Spec_Bikes!J22</f>
        <v>7.5093115463174334E-2</v>
      </c>
      <c r="AJ15" s="65">
        <f>Tech_Spec_Bikes!N10/(Tech_Spec_Bikes!N22+Tech_Spec_Bikes!N25)</f>
        <v>6.4864303876290802E-2</v>
      </c>
      <c r="AK15" s="65">
        <f>Tech_Specs_2W!F10/Tech_Specs_2W!F$22</f>
        <v>9.6808510638297873E-2</v>
      </c>
      <c r="AL15" s="65">
        <f>Tech_Specs_2W!G10/Tech_Specs_2W!G$22</f>
        <v>0.12288186548736763</v>
      </c>
      <c r="AM15" s="65">
        <f>AK15</f>
        <v>9.6808510638297873E-2</v>
      </c>
      <c r="AN15" s="65">
        <f>AL15</f>
        <v>0.12288186548736763</v>
      </c>
      <c r="AO15" s="65">
        <f>[5]Vehi_Comp_Sum!$B159/SUM([5]Vehi_Comp_Sum!$B150:$B$172)</f>
        <v>0.10515880336518178</v>
      </c>
      <c r="AP15" s="65">
        <f>[5]Vehi_Comp_Sum!$D159/SUM([5]Vehi_Comp_Sum!$D150:$D$172)</f>
        <v>9.6497718675440491E-2</v>
      </c>
      <c r="AQ15" s="65">
        <f>[5]Vehi_Comp_Sum!$F159/SUM([5]Vehi_Comp_Sum!$F150:$F$172)</f>
        <v>9.1621631535076686E-2</v>
      </c>
      <c r="AR15" s="315">
        <f t="shared" si="2"/>
        <v>0.11012767633761567</v>
      </c>
      <c r="AS15" s="315">
        <f t="shared" si="2"/>
        <v>0.11012767633761567</v>
      </c>
      <c r="AT15" s="315">
        <f t="shared" si="2"/>
        <v>0.11012767633761567</v>
      </c>
      <c r="AU15" s="315">
        <f t="shared" si="2"/>
        <v>0.11012767633761567</v>
      </c>
      <c r="AV15" s="315">
        <f t="shared" si="2"/>
        <v>0.11012767633761567</v>
      </c>
      <c r="AW15" s="315">
        <f t="shared" si="2"/>
        <v>0.11012767633761567</v>
      </c>
      <c r="AX15" s="65">
        <f>[5]Vehi_Comp_Sum!$H159/SUM([5]Vehi_Comp_Sum!$H150:$H$172)</f>
        <v>0.11012767633761567</v>
      </c>
      <c r="AY15" s="65">
        <f>[5]Vehi_Comp_Sum!$J159/SUM([5]Vehi_Comp_Sum!$J150:$J$172)</f>
        <v>0.11176175069643242</v>
      </c>
      <c r="AZ15" s="65">
        <f>[5]Vehi_Comp_Sum!$J159/SUM([5]Vehi_Comp_Sum!$J150:$J$172)</f>
        <v>0.11176175069643242</v>
      </c>
      <c r="BA15" s="65">
        <f>[5]Vehi_Comp_Sum!$J159/SUM([5]Vehi_Comp_Sum!$J150:$J$172)</f>
        <v>0.11176175069643242</v>
      </c>
      <c r="BB15" s="65">
        <f>[5]Vehi_Comp_Sum!$J159/SUM([5]Vehi_Comp_Sum!$J150:$J$172)</f>
        <v>0.11176175069643242</v>
      </c>
      <c r="BC15" s="315">
        <f t="shared" si="3"/>
        <v>0.10515880336518178</v>
      </c>
      <c r="BD15" s="315">
        <f t="shared" si="3"/>
        <v>0.10515880336518178</v>
      </c>
      <c r="BE15" s="315">
        <f t="shared" si="3"/>
        <v>0.10515880336518178</v>
      </c>
      <c r="BF15" s="315">
        <f t="shared" si="3"/>
        <v>0.10515880336518178</v>
      </c>
      <c r="BG15" s="315">
        <f t="shared" si="3"/>
        <v>0.10515880336518178</v>
      </c>
      <c r="BH15" s="315">
        <f t="shared" si="3"/>
        <v>0.10515880336518178</v>
      </c>
      <c r="BI15" s="65">
        <f>[5]Vehi_Comp_Sum!$B159/SUM([5]Vehi_Comp_Sum!$B150:$B$172)</f>
        <v>0.10515880336518178</v>
      </c>
      <c r="BJ15" s="65">
        <f>[5]Vehi_Comp_Sum!$D159/SUM([5]Vehi_Comp_Sum!$D150:$D$172)</f>
        <v>9.6497718675440491E-2</v>
      </c>
      <c r="BK15" s="65">
        <f>[5]Vehi_Comp_Sum!$F159/SUM([5]Vehi_Comp_Sum!$F150:$F$172)</f>
        <v>9.1621631535076686E-2</v>
      </c>
      <c r="BL15" s="315">
        <f t="shared" si="4"/>
        <v>0.11012767633761567</v>
      </c>
      <c r="BM15" s="315">
        <f t="shared" si="4"/>
        <v>0.11012767633761567</v>
      </c>
      <c r="BN15" s="315">
        <f t="shared" si="4"/>
        <v>0.11012767633761567</v>
      </c>
      <c r="BO15" s="315">
        <f t="shared" si="4"/>
        <v>0.11012767633761567</v>
      </c>
      <c r="BP15" s="315">
        <f t="shared" si="4"/>
        <v>0.11012767633761567</v>
      </c>
      <c r="BQ15" s="315">
        <f t="shared" si="4"/>
        <v>0.11012767633761567</v>
      </c>
      <c r="BR15" s="315">
        <f t="shared" si="4"/>
        <v>0.11012767633761567</v>
      </c>
      <c r="BS15" s="315">
        <f t="shared" si="4"/>
        <v>0.11012767633761567</v>
      </c>
      <c r="BT15" s="65">
        <f>[5]Vehi_Comp_Sum!$H159/SUM([5]Vehi_Comp_Sum!$H150:$H$172)</f>
        <v>0.11012767633761567</v>
      </c>
      <c r="BU15" s="315">
        <f t="shared" si="5"/>
        <v>0.11012767633761567</v>
      </c>
      <c r="BV15" s="315">
        <f t="shared" si="5"/>
        <v>0.11012767633761567</v>
      </c>
      <c r="BW15" s="315">
        <f t="shared" si="5"/>
        <v>0.11012767633761567</v>
      </c>
      <c r="BX15" s="315">
        <f t="shared" si="5"/>
        <v>0.11012767633761567</v>
      </c>
      <c r="BY15" s="315">
        <f t="shared" si="5"/>
        <v>0.11012767633761567</v>
      </c>
      <c r="BZ15" s="315">
        <f t="shared" si="5"/>
        <v>0.11012767633761567</v>
      </c>
      <c r="CA15" s="315">
        <f t="shared" si="5"/>
        <v>0.11012767633761567</v>
      </c>
      <c r="CB15" s="315">
        <f t="shared" si="5"/>
        <v>0.11012767633761567</v>
      </c>
      <c r="CC15" s="65">
        <f>[5]Vehi_Comp_Sum!$H159/SUM([5]Vehi_Comp_Sum!$H150:$H$172)</f>
        <v>0.11012767633761567</v>
      </c>
      <c r="CD15" s="65">
        <f>[5]Vehi_Comp_Sum!$J159/SUM([5]Vehi_Comp_Sum!$J150:$J$172)</f>
        <v>0.11176175069643242</v>
      </c>
      <c r="CE15" s="65">
        <f>[5]Vehi_Comp_Sum!$J159/SUM([5]Vehi_Comp_Sum!$J150:$J$172)</f>
        <v>0.11176175069643242</v>
      </c>
      <c r="CF15" s="65">
        <f>[5]Vehi_Comp_Sum!$J159/SUM([5]Vehi_Comp_Sum!$J150:$J$172)</f>
        <v>0.11176175069643242</v>
      </c>
      <c r="CG15" s="65">
        <f>[5]Vehi_Comp_Sum!$J159/SUM([5]Vehi_Comp_Sum!$J150:$J$172)</f>
        <v>0.11176175069643242</v>
      </c>
      <c r="CH15" s="65">
        <f>[5]Vehi_Comp_Sum!$B159/SUM([5]Vehi_Comp_Sum!$B150:$B$172)</f>
        <v>0.10515880336518178</v>
      </c>
      <c r="CI15" s="65">
        <f>[5]Vehi_Comp_Sum!$D159/SUM([5]Vehi_Comp_Sum!$D150:$D$172)</f>
        <v>9.6497718675440491E-2</v>
      </c>
      <c r="CJ15" s="65">
        <f>[5]Vehi_Comp_Sum!$F159/SUM([5]Vehi_Comp_Sum!$F150:$F$172)</f>
        <v>9.1621631535076686E-2</v>
      </c>
      <c r="CK15" s="65">
        <f>[5]Vehi_Comp_Sum!$H159/SUM([5]Vehi_Comp_Sum!$H150:$H$172)</f>
        <v>0.11012767633761567</v>
      </c>
      <c r="CL15" s="65">
        <f>[5]Vehi_Comp_Sum!$H159/SUM([5]Vehi_Comp_Sum!$H150:$H$172)</f>
        <v>0.11012767633761567</v>
      </c>
      <c r="CM15" s="65">
        <f>[5]Vehi_Comp_Sum!$J159/SUM([5]Vehi_Comp_Sum!$J150:$J$172)</f>
        <v>0.11176175069643242</v>
      </c>
      <c r="CN15" s="65">
        <f>[6]Vehi_Comp_Sum!$B159/SUM([6]Vehi_Comp_Sum!$B150:$B$172)</f>
        <v>8.9539608262807407E-2</v>
      </c>
      <c r="CO15" s="65">
        <f>[6]Vehi_Comp_Sum!$D159/SUM([6]Vehi_Comp_Sum!$D150:$D$172)</f>
        <v>8.1757360555237024E-2</v>
      </c>
      <c r="CP15" s="65">
        <f>[6]Vehi_Comp_Sum!$F159/SUM([6]Vehi_Comp_Sum!$F150:$F$172)</f>
        <v>6.0943443126336587E-2</v>
      </c>
      <c r="CQ15" s="65">
        <f>[6]Vehi_Comp_Sum!$H159/SUM([6]Vehi_Comp_Sum!$H150:$H$172)</f>
        <v>9.0849024091220129E-2</v>
      </c>
      <c r="CR15" s="65">
        <f>[6]Vehi_Comp_Sum!$J159/SUM([6]Vehi_Comp_Sum!$J150:$J$172)</f>
        <v>9.1398419150072283E-2</v>
      </c>
      <c r="CS15" s="65">
        <f>[6]Vehi_Comp_Sum!$B159/SUM([6]Vehi_Comp_Sum!$B150:$B$172)</f>
        <v>8.9539608262807407E-2</v>
      </c>
      <c r="CT15" s="65">
        <f>[6]Vehi_Comp_Sum!$D159/SUM([6]Vehi_Comp_Sum!$D150:$D$172)</f>
        <v>8.1757360555237024E-2</v>
      </c>
      <c r="CU15" s="65">
        <f>[6]Vehi_Comp_Sum!$F159/SUM([6]Vehi_Comp_Sum!$F150:$F$172)</f>
        <v>6.0943443126336587E-2</v>
      </c>
      <c r="CV15" s="65">
        <f>[6]Vehi_Comp_Sum!$H159/SUM([6]Vehi_Comp_Sum!$H150:$H$172)</f>
        <v>9.0849024091220129E-2</v>
      </c>
      <c r="CW15" s="65">
        <f>[6]Vehi_Comp_Sum!$H159/SUM([6]Vehi_Comp_Sum!$H150:$H$172)</f>
        <v>9.0849024091220129E-2</v>
      </c>
      <c r="CX15" s="65">
        <f>[6]Vehi_Comp_Sum!$J159/SUM([6]Vehi_Comp_Sum!$J150:$J$172)</f>
        <v>9.1398419150072283E-2</v>
      </c>
      <c r="CY15" s="65">
        <f>[6]Vehi_Comp_Sum!$B159/SUM([6]Vehi_Comp_Sum!$B150:$B$172)</f>
        <v>8.9539608262807407E-2</v>
      </c>
      <c r="CZ15" s="65">
        <f>[6]Vehi_Comp_Sum!$D159/SUM([6]Vehi_Comp_Sum!$D150:$D$172)</f>
        <v>8.1757360555237024E-2</v>
      </c>
      <c r="DA15" s="65">
        <f>[6]Vehi_Comp_Sum!$F159/SUM([6]Vehi_Comp_Sum!$F150:$F$172)</f>
        <v>6.0943443126336587E-2</v>
      </c>
      <c r="DB15" s="65">
        <f>[6]Vehi_Comp_Sum!$H159/SUM([6]Vehi_Comp_Sum!$H150:$H$172)</f>
        <v>9.0849024091220129E-2</v>
      </c>
      <c r="DC15" s="65">
        <f>[6]Vehi_Comp_Sum!$H159/SUM([6]Vehi_Comp_Sum!$H150:$H$172)</f>
        <v>9.0849024091220129E-2</v>
      </c>
      <c r="DD15" s="65">
        <f>[6]Vehi_Comp_Sum!$J159/SUM([6]Vehi_Comp_Sum!$J150:$J$172)</f>
        <v>9.1398419150072283E-2</v>
      </c>
      <c r="DE15" s="520">
        <f t="shared" si="9"/>
        <v>8.9876254748033485E-2</v>
      </c>
      <c r="DF15" s="520">
        <f t="shared" si="9"/>
        <v>8.3902191187764374E-2</v>
      </c>
      <c r="DG15" s="65"/>
      <c r="DH15" s="520">
        <f t="shared" si="9"/>
        <v>8.9079117120118095E-2</v>
      </c>
      <c r="DI15" s="520">
        <f t="shared" si="9"/>
        <v>8.9079117120118095E-2</v>
      </c>
      <c r="DJ15" s="520">
        <f t="shared" si="6"/>
        <v>8.9673467877586954E-2</v>
      </c>
      <c r="DK15" s="315">
        <f t="shared" si="16"/>
        <v>9.1267551452202347E-2</v>
      </c>
      <c r="DL15" s="315">
        <f t="shared" si="16"/>
        <v>9.1267551452202347E-2</v>
      </c>
      <c r="DM15" s="315">
        <f t="shared" si="16"/>
        <v>9.1267551452202347E-2</v>
      </c>
      <c r="DN15" s="315">
        <f t="shared" si="16"/>
        <v>9.1267551452202347E-2</v>
      </c>
      <c r="DO15" s="315">
        <f t="shared" si="16"/>
        <v>9.1267551452202347E-2</v>
      </c>
      <c r="DP15" s="315">
        <f t="shared" si="16"/>
        <v>9.1267551452202347E-2</v>
      </c>
      <c r="DQ15" s="65">
        <f>Tech_Specs_Bus!M10/Tech_Specs_Bus!M$23</f>
        <v>9.1267551452202347E-2</v>
      </c>
      <c r="DR15" s="65">
        <f>Tech_Specs_Bus!N10/Tech_Specs_Bus!N$23</f>
        <v>9.2766373411534708E-2</v>
      </c>
      <c r="DS15" s="315">
        <f t="shared" si="17"/>
        <v>8.1764423981628601E-2</v>
      </c>
      <c r="DT15" s="315">
        <f t="shared" si="17"/>
        <v>8.1764423981628601E-2</v>
      </c>
      <c r="DU15" s="65">
        <f>Tech_Specs_Bus!O10/Tech_Specs_Bus!O$23</f>
        <v>8.1764423981628601E-2</v>
      </c>
      <c r="DV15" s="65">
        <f>Tech_Specs_Bus!O10/Tech_Specs_Bus!O$23</f>
        <v>8.1764423981628601E-2</v>
      </c>
      <c r="DW15" s="65">
        <f>Tech_Specs_Bus!P10/Tech_Specs_Bus!P$23</f>
        <v>8.254456819919255E-2</v>
      </c>
      <c r="DX15" s="315">
        <f t="shared" si="19"/>
        <v>5.2161032090813644E-2</v>
      </c>
      <c r="DY15" s="315">
        <f t="shared" si="19"/>
        <v>5.2161032090813644E-2</v>
      </c>
      <c r="DZ15" s="315">
        <f t="shared" si="19"/>
        <v>5.2161032090813644E-2</v>
      </c>
      <c r="EA15" s="315">
        <f t="shared" si="19"/>
        <v>5.2161032090813644E-2</v>
      </c>
      <c r="EB15" s="315">
        <f t="shared" si="19"/>
        <v>5.2161032090813644E-2</v>
      </c>
      <c r="EC15" s="315">
        <f t="shared" si="19"/>
        <v>5.2161032090813644E-2</v>
      </c>
      <c r="ED15" s="65">
        <f>Tech_Spec_Rail!AA31</f>
        <v>5.2161032090813644E-2</v>
      </c>
    </row>
    <row r="16" spans="1:137" x14ac:dyDescent="0.3">
      <c r="A16" s="21" t="s">
        <v>121</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f>([5]Vehi_Comp_Sum!$B161+[5]Vehi_Comp_Sum!$B162)/SUM([5]Vehi_Comp_Sum!$B150:$B$172)</f>
        <v>0</v>
      </c>
      <c r="AP16" s="65">
        <f>([5]Vehi_Comp_Sum!$D161+[5]Vehi_Comp_Sum!$D162)/SUM([5]Vehi_Comp_Sum!$D150:$D$172)</f>
        <v>0</v>
      </c>
      <c r="AQ16" s="65">
        <f>([5]Vehi_Comp_Sum!$F161+[5]Vehi_Comp_Sum!$F162)/SUM([5]Vehi_Comp_Sum!$F150:$F$172)</f>
        <v>0</v>
      </c>
      <c r="AR16" s="315">
        <f t="shared" si="2"/>
        <v>0</v>
      </c>
      <c r="AS16" s="315">
        <f t="shared" si="2"/>
        <v>0</v>
      </c>
      <c r="AT16" s="315">
        <f t="shared" si="2"/>
        <v>0</v>
      </c>
      <c r="AU16" s="315">
        <f t="shared" si="2"/>
        <v>0</v>
      </c>
      <c r="AV16" s="315">
        <f t="shared" si="2"/>
        <v>0</v>
      </c>
      <c r="AW16" s="315">
        <f t="shared" si="2"/>
        <v>0</v>
      </c>
      <c r="AX16" s="65">
        <f>([5]Vehi_Comp_Sum!$H161+[5]Vehi_Comp_Sum!$H162)/SUM([5]Vehi_Comp_Sum!$H150:$H$172)</f>
        <v>0</v>
      </c>
      <c r="AY16" s="65">
        <f>([5]Vehi_Comp_Sum!$J161+[5]Vehi_Comp_Sum!$J162)/SUM([5]Vehi_Comp_Sum!$J150:$J$172)</f>
        <v>5.3201934772392039E-2</v>
      </c>
      <c r="AZ16" s="65">
        <f>([5]Vehi_Comp_Sum!$J161+[5]Vehi_Comp_Sum!$J162)/SUM([5]Vehi_Comp_Sum!$J150:$J$172)</f>
        <v>5.3201934772392039E-2</v>
      </c>
      <c r="BA16" s="65">
        <f>([5]Vehi_Comp_Sum!$J161+[5]Vehi_Comp_Sum!$J162)/SUM([5]Vehi_Comp_Sum!$J150:$J$172)</f>
        <v>5.3201934772392039E-2</v>
      </c>
      <c r="BB16" s="65">
        <f>([5]Vehi_Comp_Sum!$J161+[5]Vehi_Comp_Sum!$J162)/SUM([5]Vehi_Comp_Sum!$J150:$J$172)</f>
        <v>5.3201934772392039E-2</v>
      </c>
      <c r="BC16" s="315">
        <f t="shared" si="3"/>
        <v>0</v>
      </c>
      <c r="BD16" s="315">
        <f t="shared" si="3"/>
        <v>0</v>
      </c>
      <c r="BE16" s="315">
        <f t="shared" si="3"/>
        <v>0</v>
      </c>
      <c r="BF16" s="315">
        <f t="shared" si="3"/>
        <v>0</v>
      </c>
      <c r="BG16" s="315">
        <f t="shared" si="3"/>
        <v>0</v>
      </c>
      <c r="BH16" s="315">
        <f t="shared" si="3"/>
        <v>0</v>
      </c>
      <c r="BI16" s="65">
        <f>([5]Vehi_Comp_Sum!$B161+[5]Vehi_Comp_Sum!$B162)/SUM([5]Vehi_Comp_Sum!$B150:$B$172)</f>
        <v>0</v>
      </c>
      <c r="BJ16" s="65">
        <f>([5]Vehi_Comp_Sum!$D161+[5]Vehi_Comp_Sum!$D162)/SUM([5]Vehi_Comp_Sum!$D150:$D$172)</f>
        <v>0</v>
      </c>
      <c r="BK16" s="65">
        <f>([5]Vehi_Comp_Sum!$F161+[5]Vehi_Comp_Sum!$F162)/SUM([5]Vehi_Comp_Sum!$F150:$F$172)</f>
        <v>0</v>
      </c>
      <c r="BL16" s="315">
        <f t="shared" si="4"/>
        <v>0</v>
      </c>
      <c r="BM16" s="315">
        <f t="shared" si="4"/>
        <v>0</v>
      </c>
      <c r="BN16" s="315">
        <f t="shared" si="4"/>
        <v>0</v>
      </c>
      <c r="BO16" s="315">
        <f t="shared" si="4"/>
        <v>0</v>
      </c>
      <c r="BP16" s="315">
        <f t="shared" si="4"/>
        <v>0</v>
      </c>
      <c r="BQ16" s="315">
        <f t="shared" si="4"/>
        <v>0</v>
      </c>
      <c r="BR16" s="315">
        <f t="shared" si="4"/>
        <v>0</v>
      </c>
      <c r="BS16" s="315">
        <f t="shared" si="4"/>
        <v>0</v>
      </c>
      <c r="BT16" s="65">
        <f>([5]Vehi_Comp_Sum!$H161+[5]Vehi_Comp_Sum!$H162)/SUM([5]Vehi_Comp_Sum!$H150:$H$172)</f>
        <v>0</v>
      </c>
      <c r="BU16" s="315">
        <f t="shared" si="5"/>
        <v>0</v>
      </c>
      <c r="BV16" s="315">
        <f t="shared" si="5"/>
        <v>0</v>
      </c>
      <c r="BW16" s="315">
        <f t="shared" si="5"/>
        <v>0</v>
      </c>
      <c r="BX16" s="315">
        <f t="shared" si="5"/>
        <v>0</v>
      </c>
      <c r="BY16" s="315">
        <f t="shared" si="5"/>
        <v>0</v>
      </c>
      <c r="BZ16" s="315">
        <f t="shared" si="5"/>
        <v>0</v>
      </c>
      <c r="CA16" s="315">
        <f t="shared" si="5"/>
        <v>0</v>
      </c>
      <c r="CB16" s="315">
        <f t="shared" si="5"/>
        <v>0</v>
      </c>
      <c r="CC16" s="65">
        <f>([5]Vehi_Comp_Sum!$H161+[5]Vehi_Comp_Sum!$H162)/SUM([5]Vehi_Comp_Sum!$H150:$H$172)</f>
        <v>0</v>
      </c>
      <c r="CD16" s="65">
        <f>([5]Vehi_Comp_Sum!$J161+[5]Vehi_Comp_Sum!$J162)/SUM([5]Vehi_Comp_Sum!$J150:$J$172)</f>
        <v>5.3201934772392039E-2</v>
      </c>
      <c r="CE16" s="65">
        <f>([5]Vehi_Comp_Sum!$J161+[5]Vehi_Comp_Sum!$J162)/SUM([5]Vehi_Comp_Sum!$J150:$J$172)</f>
        <v>5.3201934772392039E-2</v>
      </c>
      <c r="CF16" s="65">
        <f>([5]Vehi_Comp_Sum!$J161+[5]Vehi_Comp_Sum!$J162)/SUM([5]Vehi_Comp_Sum!$J150:$J$172)</f>
        <v>5.3201934772392039E-2</v>
      </c>
      <c r="CG16" s="65">
        <f>([5]Vehi_Comp_Sum!$J161+[5]Vehi_Comp_Sum!$J162)/SUM([5]Vehi_Comp_Sum!$J150:$J$172)</f>
        <v>5.3201934772392039E-2</v>
      </c>
      <c r="CH16" s="65">
        <f>([5]Vehi_Comp_Sum!$B161+[5]Vehi_Comp_Sum!$B162)/SUM([5]Vehi_Comp_Sum!$B150:$B$172)</f>
        <v>0</v>
      </c>
      <c r="CI16" s="65">
        <f>([5]Vehi_Comp_Sum!$D161+[5]Vehi_Comp_Sum!$D162)/SUM([5]Vehi_Comp_Sum!$D150:$D$172)</f>
        <v>0</v>
      </c>
      <c r="CJ16" s="65">
        <f>([5]Vehi_Comp_Sum!$F161+[5]Vehi_Comp_Sum!$F162)/SUM([5]Vehi_Comp_Sum!$F150:$F$172)</f>
        <v>0</v>
      </c>
      <c r="CK16" s="65">
        <f>([5]Vehi_Comp_Sum!$H161+[5]Vehi_Comp_Sum!$H162)/SUM([5]Vehi_Comp_Sum!$H150:$H$172)</f>
        <v>0</v>
      </c>
      <c r="CL16" s="65">
        <f>([5]Vehi_Comp_Sum!$H161+[5]Vehi_Comp_Sum!$H162)/SUM([5]Vehi_Comp_Sum!$H150:$H$172)</f>
        <v>0</v>
      </c>
      <c r="CM16" s="65">
        <f>([5]Vehi_Comp_Sum!$J161+[5]Vehi_Comp_Sum!$J162)/SUM([5]Vehi_Comp_Sum!$J150:$J$172)</f>
        <v>5.3201934772392039E-2</v>
      </c>
      <c r="CN16" s="65">
        <f>([6]Vehi_Comp_Sum!$B161+[6]Vehi_Comp_Sum!$B162)/SUM([6]Vehi_Comp_Sum!$B150:$B$172)</f>
        <v>0</v>
      </c>
      <c r="CO16" s="65">
        <f>([6]Vehi_Comp_Sum!$D161+[6]Vehi_Comp_Sum!$D162)/SUM([6]Vehi_Comp_Sum!$D150:$D$172)</f>
        <v>0</v>
      </c>
      <c r="CP16" s="65">
        <f>([6]Vehi_Comp_Sum!$F161+[6]Vehi_Comp_Sum!$F162)/SUM([6]Vehi_Comp_Sum!$F150:$F$172)</f>
        <v>2.54743043220147E-6</v>
      </c>
      <c r="CQ16" s="65">
        <f>([6]Vehi_Comp_Sum!$H161+[6]Vehi_Comp_Sum!$H162)/SUM([6]Vehi_Comp_Sum!$H150:$H$172)</f>
        <v>0</v>
      </c>
      <c r="CR16" s="65">
        <f>([6]Vehi_Comp_Sum!$J161+[6]Vehi_Comp_Sum!$J162)/SUM([6]Vehi_Comp_Sum!$J150:$J$172)</f>
        <v>5.2505967312133209E-2</v>
      </c>
      <c r="CS16" s="65">
        <f>([6]Vehi_Comp_Sum!$B161+[6]Vehi_Comp_Sum!$B162)/SUM([6]Vehi_Comp_Sum!$B150:$B$172)</f>
        <v>0</v>
      </c>
      <c r="CT16" s="65">
        <f>([6]Vehi_Comp_Sum!$D161+[6]Vehi_Comp_Sum!$D162)/SUM([6]Vehi_Comp_Sum!$D150:$D$172)</f>
        <v>0</v>
      </c>
      <c r="CU16" s="65">
        <f>([6]Vehi_Comp_Sum!$F161+[6]Vehi_Comp_Sum!$F162)/SUM([6]Vehi_Comp_Sum!$F150:$F$172)</f>
        <v>2.54743043220147E-6</v>
      </c>
      <c r="CV16" s="65">
        <f>([6]Vehi_Comp_Sum!$H161+[6]Vehi_Comp_Sum!$H162)/SUM([6]Vehi_Comp_Sum!$H150:$H$172)</f>
        <v>0</v>
      </c>
      <c r="CW16" s="65">
        <f>([6]Vehi_Comp_Sum!$H161+[6]Vehi_Comp_Sum!$H162)/SUM([6]Vehi_Comp_Sum!$H150:$H$172)</f>
        <v>0</v>
      </c>
      <c r="CX16" s="65">
        <f>([6]Vehi_Comp_Sum!$J161+[6]Vehi_Comp_Sum!$J162)/SUM([6]Vehi_Comp_Sum!$J150:$J$172)</f>
        <v>5.2505967312133209E-2</v>
      </c>
      <c r="CY16" s="65">
        <f>([6]Vehi_Comp_Sum!$B161+[6]Vehi_Comp_Sum!$B162)/SUM([6]Vehi_Comp_Sum!$B150:$B$172)</f>
        <v>0</v>
      </c>
      <c r="CZ16" s="65">
        <f>([6]Vehi_Comp_Sum!$D161+[6]Vehi_Comp_Sum!$D162)/SUM([6]Vehi_Comp_Sum!$D150:$D$172)</f>
        <v>0</v>
      </c>
      <c r="DA16" s="65">
        <f>([6]Vehi_Comp_Sum!$F161+[6]Vehi_Comp_Sum!$F162)/SUM([6]Vehi_Comp_Sum!$F150:$F$172)</f>
        <v>2.54743043220147E-6</v>
      </c>
      <c r="DB16" s="65">
        <f>([6]Vehi_Comp_Sum!$H161+[6]Vehi_Comp_Sum!$H162)/SUM([6]Vehi_Comp_Sum!$H150:$H$172)</f>
        <v>0</v>
      </c>
      <c r="DC16" s="65">
        <f>([6]Vehi_Comp_Sum!$H161+[6]Vehi_Comp_Sum!$H162)/SUM([6]Vehi_Comp_Sum!$H150:$H$172)</f>
        <v>0</v>
      </c>
      <c r="DD16" s="65">
        <f>([6]Vehi_Comp_Sum!$J161+[6]Vehi_Comp_Sum!$J162)/SUM([6]Vehi_Comp_Sum!$J150:$J$172)</f>
        <v>5.2505967312133209E-2</v>
      </c>
      <c r="DE16" s="520">
        <f t="shared" si="9"/>
        <v>0</v>
      </c>
      <c r="DF16" s="520">
        <f t="shared" si="9"/>
        <v>0</v>
      </c>
      <c r="DG16" s="65"/>
      <c r="DH16" s="520">
        <f t="shared" si="9"/>
        <v>0</v>
      </c>
      <c r="DI16" s="520">
        <f t="shared" si="9"/>
        <v>0</v>
      </c>
      <c r="DJ16" s="520">
        <f t="shared" si="6"/>
        <v>4.2276493648005335E-2</v>
      </c>
      <c r="DK16" s="65"/>
      <c r="DL16" s="65"/>
      <c r="DM16" s="65"/>
      <c r="DN16" s="65"/>
      <c r="DO16" s="65"/>
      <c r="DP16" s="65"/>
      <c r="DQ16" s="65"/>
      <c r="DR16" s="65"/>
      <c r="DS16" s="315"/>
      <c r="DT16" s="315"/>
      <c r="DU16" s="65"/>
      <c r="DV16" s="65"/>
      <c r="DW16" s="65"/>
      <c r="DX16" s="65"/>
      <c r="DY16" s="65"/>
      <c r="DZ16" s="65"/>
      <c r="EA16" s="65"/>
      <c r="EB16" s="65"/>
      <c r="EC16" s="65"/>
      <c r="ED16" s="65"/>
    </row>
    <row r="17" spans="1:147" x14ac:dyDescent="0.3">
      <c r="A17" s="21" t="s">
        <v>143</v>
      </c>
      <c r="D17" s="65">
        <f>Tech_Spec_Escoot!C11/Tech_Spec_Escoot!C14</f>
        <v>7.627638973666398E-2</v>
      </c>
      <c r="E17" s="315">
        <f t="shared" ref="E17:N18" si="20">G17</f>
        <v>7.627638973666398E-2</v>
      </c>
      <c r="F17" s="315">
        <f t="shared" si="20"/>
        <v>7.627638973666398E-2</v>
      </c>
      <c r="G17" s="315">
        <f>J17</f>
        <v>7.627638973666398E-2</v>
      </c>
      <c r="H17" s="315">
        <f>K17</f>
        <v>7.627638973666398E-2</v>
      </c>
      <c r="I17" s="315">
        <f t="shared" si="20"/>
        <v>7.627638973666398E-2</v>
      </c>
      <c r="J17" s="315">
        <f t="shared" si="20"/>
        <v>7.627638973666398E-2</v>
      </c>
      <c r="K17" s="315">
        <f t="shared" si="20"/>
        <v>7.627638973666398E-2</v>
      </c>
      <c r="L17" s="315">
        <f t="shared" si="20"/>
        <v>7.627638973666398E-2</v>
      </c>
      <c r="M17" s="315">
        <f t="shared" si="20"/>
        <v>7.627638973666398E-2</v>
      </c>
      <c r="N17" s="315">
        <f t="shared" si="20"/>
        <v>7.627638973666398E-2</v>
      </c>
      <c r="O17" s="315">
        <f>S17</f>
        <v>7.627638973666398E-2</v>
      </c>
      <c r="P17" s="315">
        <f>T17</f>
        <v>7.627638973666398E-2</v>
      </c>
      <c r="Q17" s="315">
        <f t="shared" ref="Q17:T18" si="21">S17</f>
        <v>7.627638973666398E-2</v>
      </c>
      <c r="R17" s="315">
        <f t="shared" si="21"/>
        <v>7.627638973666398E-2</v>
      </c>
      <c r="S17" s="315">
        <f t="shared" si="21"/>
        <v>7.627638973666398E-2</v>
      </c>
      <c r="T17" s="315">
        <f t="shared" si="21"/>
        <v>7.627638973666398E-2</v>
      </c>
      <c r="U17" s="315">
        <f>V17</f>
        <v>7.627638973666398E-2</v>
      </c>
      <c r="V17" s="315">
        <f>W17</f>
        <v>7.627638973666398E-2</v>
      </c>
      <c r="W17" s="65">
        <f>D17</f>
        <v>7.627638973666398E-2</v>
      </c>
      <c r="X17" s="315">
        <f t="shared" ref="X17:AD18" si="22">$AE17</f>
        <v>4.6272489269430325E-2</v>
      </c>
      <c r="Y17" s="315">
        <f t="shared" si="22"/>
        <v>4.6272489269430325E-2</v>
      </c>
      <c r="Z17" s="315">
        <f t="shared" si="22"/>
        <v>4.6272489269430325E-2</v>
      </c>
      <c r="AA17" s="315">
        <f t="shared" si="22"/>
        <v>4.6272489269430325E-2</v>
      </c>
      <c r="AB17" s="315">
        <f t="shared" si="22"/>
        <v>4.6272489269430325E-2</v>
      </c>
      <c r="AC17" s="315">
        <f t="shared" si="22"/>
        <v>4.6272489269430325E-2</v>
      </c>
      <c r="AD17" s="315">
        <f t="shared" si="22"/>
        <v>4.6272489269430325E-2</v>
      </c>
      <c r="AE17" s="65">
        <f>Tech_Spec_Escoot!L11/Tech_Spec_Escoot!L14</f>
        <v>4.6272489269430325E-2</v>
      </c>
      <c r="AF17" s="65">
        <f>W17</f>
        <v>7.627638973666398E-2</v>
      </c>
      <c r="AG17" s="65">
        <f>Tech_Spec_Bikes!H15/Tech_Spec_Bikes!H22</f>
        <v>0.2083236456637991</v>
      </c>
      <c r="AH17" s="65">
        <f>Tech_Spec_Bikes!L15/(Tech_Spec_Bikes!L22+Tech_Spec_Bikes!L25)</f>
        <v>0.18461316668287558</v>
      </c>
      <c r="AI17" s="65">
        <f>Tech_Spec_Bikes!J15/Tech_Spec_Bikes!J22</f>
        <v>0.32296047098402031</v>
      </c>
      <c r="AJ17" s="65">
        <f>Tech_Spec_Bikes!N15/(Tech_Spec_Bikes!N22+Tech_Spec_Bikes!N25)</f>
        <v>0.27896839811115154</v>
      </c>
      <c r="AK17" s="65">
        <f>Tech_Specs_2W!F15/Tech_Specs_2W!F$22</f>
        <v>3.4042553191489362E-2</v>
      </c>
      <c r="AL17" s="65">
        <f>Tech_Specs_2W!G15/Tech_Specs_2W!G$22</f>
        <v>3.8615532707412005E-2</v>
      </c>
      <c r="AM17" s="65">
        <f>AK17</f>
        <v>3.4042553191489362E-2</v>
      </c>
      <c r="AN17" s="65">
        <f>AL17</f>
        <v>3.8615532707412005E-2</v>
      </c>
      <c r="AO17" s="65">
        <f>[5]Vehi_Comp_Sum!$B160/SUM([5]Vehi_Comp_Sum!$B150:$B$172)</f>
        <v>6.887731957058342E-2</v>
      </c>
      <c r="AP17" s="65">
        <f>[5]Vehi_Comp_Sum!$D160/SUM([5]Vehi_Comp_Sum!$D150:$D$172)</f>
        <v>6.313751704936274E-2</v>
      </c>
      <c r="AQ17" s="65">
        <f>[5]Vehi_Comp_Sum!$F160/SUM([5]Vehi_Comp_Sum!$F150:$F$172)</f>
        <v>6.1033503805102425E-2</v>
      </c>
      <c r="AR17" s="315">
        <f t="shared" si="2"/>
        <v>6.806383843374858E-2</v>
      </c>
      <c r="AS17" s="315">
        <f t="shared" si="2"/>
        <v>6.806383843374858E-2</v>
      </c>
      <c r="AT17" s="315">
        <f t="shared" si="2"/>
        <v>6.806383843374858E-2</v>
      </c>
      <c r="AU17" s="315">
        <f t="shared" si="2"/>
        <v>6.806383843374858E-2</v>
      </c>
      <c r="AV17" s="315">
        <f t="shared" si="2"/>
        <v>6.806383843374858E-2</v>
      </c>
      <c r="AW17" s="315">
        <f t="shared" si="2"/>
        <v>6.806383843374858E-2</v>
      </c>
      <c r="AX17" s="65">
        <f>[5]Vehi_Comp_Sum!$H160/SUM([5]Vehi_Comp_Sum!$H150:$H$172)</f>
        <v>6.806383843374858E-2</v>
      </c>
      <c r="AY17" s="65">
        <f>[5]Vehi_Comp_Sum!$J160/SUM([5]Vehi_Comp_Sum!$J150:$J$172)</f>
        <v>6.2032981549600429E-2</v>
      </c>
      <c r="AZ17" s="65">
        <f>[5]Vehi_Comp_Sum!$J160/SUM([5]Vehi_Comp_Sum!$J150:$J$172)</f>
        <v>6.2032981549600429E-2</v>
      </c>
      <c r="BA17" s="65">
        <f>[5]Vehi_Comp_Sum!$J160/SUM([5]Vehi_Comp_Sum!$J150:$J$172)</f>
        <v>6.2032981549600429E-2</v>
      </c>
      <c r="BB17" s="65">
        <f>[5]Vehi_Comp_Sum!$J160/SUM([5]Vehi_Comp_Sum!$J150:$J$172)</f>
        <v>6.2032981549600429E-2</v>
      </c>
      <c r="BC17" s="315">
        <f t="shared" si="3"/>
        <v>6.887731957058342E-2</v>
      </c>
      <c r="BD17" s="315">
        <f t="shared" si="3"/>
        <v>6.887731957058342E-2</v>
      </c>
      <c r="BE17" s="315">
        <f t="shared" si="3"/>
        <v>6.887731957058342E-2</v>
      </c>
      <c r="BF17" s="315">
        <f t="shared" si="3"/>
        <v>6.887731957058342E-2</v>
      </c>
      <c r="BG17" s="315">
        <f t="shared" si="3"/>
        <v>6.887731957058342E-2</v>
      </c>
      <c r="BH17" s="315">
        <f t="shared" si="3"/>
        <v>6.887731957058342E-2</v>
      </c>
      <c r="BI17" s="65">
        <f>[5]Vehi_Comp_Sum!$B160/SUM([5]Vehi_Comp_Sum!$B150:$B$172)</f>
        <v>6.887731957058342E-2</v>
      </c>
      <c r="BJ17" s="65">
        <f>[5]Vehi_Comp_Sum!$D160/SUM([5]Vehi_Comp_Sum!$D150:$D$172)</f>
        <v>6.313751704936274E-2</v>
      </c>
      <c r="BK17" s="65">
        <f>[5]Vehi_Comp_Sum!$F160/SUM([5]Vehi_Comp_Sum!$F150:$F$172)</f>
        <v>6.1033503805102425E-2</v>
      </c>
      <c r="BL17" s="315">
        <f t="shared" si="4"/>
        <v>6.806383843374858E-2</v>
      </c>
      <c r="BM17" s="315">
        <f t="shared" si="4"/>
        <v>6.806383843374858E-2</v>
      </c>
      <c r="BN17" s="315">
        <f t="shared" si="4"/>
        <v>6.806383843374858E-2</v>
      </c>
      <c r="BO17" s="315">
        <f t="shared" si="4"/>
        <v>6.806383843374858E-2</v>
      </c>
      <c r="BP17" s="315">
        <f t="shared" si="4"/>
        <v>6.806383843374858E-2</v>
      </c>
      <c r="BQ17" s="315">
        <f t="shared" si="4"/>
        <v>6.806383843374858E-2</v>
      </c>
      <c r="BR17" s="315">
        <f t="shared" si="4"/>
        <v>6.806383843374858E-2</v>
      </c>
      <c r="BS17" s="315">
        <f t="shared" si="4"/>
        <v>6.806383843374858E-2</v>
      </c>
      <c r="BT17" s="65">
        <f>[5]Vehi_Comp_Sum!$H160/SUM([5]Vehi_Comp_Sum!$H150:$H$172)</f>
        <v>6.806383843374858E-2</v>
      </c>
      <c r="BU17" s="315">
        <f t="shared" si="5"/>
        <v>6.806383843374858E-2</v>
      </c>
      <c r="BV17" s="315">
        <f t="shared" si="5"/>
        <v>6.806383843374858E-2</v>
      </c>
      <c r="BW17" s="315">
        <f t="shared" si="5"/>
        <v>6.806383843374858E-2</v>
      </c>
      <c r="BX17" s="315">
        <f t="shared" si="5"/>
        <v>6.806383843374858E-2</v>
      </c>
      <c r="BY17" s="315">
        <f t="shared" si="5"/>
        <v>6.806383843374858E-2</v>
      </c>
      <c r="BZ17" s="315">
        <f t="shared" si="5"/>
        <v>6.806383843374858E-2</v>
      </c>
      <c r="CA17" s="315">
        <f t="shared" si="5"/>
        <v>6.806383843374858E-2</v>
      </c>
      <c r="CB17" s="315">
        <f t="shared" si="5"/>
        <v>6.806383843374858E-2</v>
      </c>
      <c r="CC17" s="65">
        <f>[5]Vehi_Comp_Sum!$H160/SUM([5]Vehi_Comp_Sum!$H150:$H$172)</f>
        <v>6.806383843374858E-2</v>
      </c>
      <c r="CD17" s="65">
        <f>[5]Vehi_Comp_Sum!$J160/SUM([5]Vehi_Comp_Sum!$J150:$J$172)</f>
        <v>6.2032981549600429E-2</v>
      </c>
      <c r="CE17" s="65">
        <f>[5]Vehi_Comp_Sum!$J160/SUM([5]Vehi_Comp_Sum!$J150:$J$172)</f>
        <v>6.2032981549600429E-2</v>
      </c>
      <c r="CF17" s="65">
        <f>[5]Vehi_Comp_Sum!$J160/SUM([5]Vehi_Comp_Sum!$J150:$J$172)</f>
        <v>6.2032981549600429E-2</v>
      </c>
      <c r="CG17" s="65">
        <f>[5]Vehi_Comp_Sum!$J160/SUM([5]Vehi_Comp_Sum!$J150:$J$172)</f>
        <v>6.2032981549600429E-2</v>
      </c>
      <c r="CH17" s="65">
        <f>[5]Vehi_Comp_Sum!$B160/SUM([5]Vehi_Comp_Sum!$B150:$B$172)</f>
        <v>6.887731957058342E-2</v>
      </c>
      <c r="CI17" s="65">
        <f>[5]Vehi_Comp_Sum!$D160/SUM([5]Vehi_Comp_Sum!$D150:$D$172)</f>
        <v>6.313751704936274E-2</v>
      </c>
      <c r="CJ17" s="65">
        <f>[5]Vehi_Comp_Sum!$F160/SUM([5]Vehi_Comp_Sum!$F150:$F$172)</f>
        <v>6.1033503805102425E-2</v>
      </c>
      <c r="CK17" s="65">
        <f>[5]Vehi_Comp_Sum!$H160/SUM([5]Vehi_Comp_Sum!$H150:$H$172)</f>
        <v>6.806383843374858E-2</v>
      </c>
      <c r="CL17" s="65">
        <f>[5]Vehi_Comp_Sum!$H160/SUM([5]Vehi_Comp_Sum!$H150:$H$172)</f>
        <v>6.806383843374858E-2</v>
      </c>
      <c r="CM17" s="65">
        <f>[5]Vehi_Comp_Sum!$J160/SUM([5]Vehi_Comp_Sum!$J150:$J$172)</f>
        <v>6.2032981549600429E-2</v>
      </c>
      <c r="CN17" s="65">
        <f>[6]Vehi_Comp_Sum!$B160/SUM([6]Vehi_Comp_Sum!$B150:$B$172)</f>
        <v>9.9596455313353691E-2</v>
      </c>
      <c r="CO17" s="65">
        <f>[6]Vehi_Comp_Sum!$D160/SUM([6]Vehi_Comp_Sum!$D150:$D$172)</f>
        <v>9.2701247374986959E-2</v>
      </c>
      <c r="CP17" s="65">
        <f>[6]Vehi_Comp_Sum!$F160/SUM([6]Vehi_Comp_Sum!$F150:$F$172)</f>
        <v>9.1456896081024419E-2</v>
      </c>
      <c r="CQ17" s="65">
        <f>[6]Vehi_Comp_Sum!$H160/SUM([6]Vehi_Comp_Sum!$H150:$H$172)</f>
        <v>0.10133991092892489</v>
      </c>
      <c r="CR17" s="65">
        <f>[6]Vehi_Comp_Sum!$J160/SUM([6]Vehi_Comp_Sum!$J150:$J$172)</f>
        <v>9.0341858241300338E-2</v>
      </c>
      <c r="CS17" s="65">
        <f>[6]Vehi_Comp_Sum!$B160/SUM([6]Vehi_Comp_Sum!$B150:$B$172)</f>
        <v>9.9596455313353691E-2</v>
      </c>
      <c r="CT17" s="65">
        <f>[6]Vehi_Comp_Sum!$D160/SUM([6]Vehi_Comp_Sum!$D150:$D$172)</f>
        <v>9.2701247374986959E-2</v>
      </c>
      <c r="CU17" s="65">
        <f>[6]Vehi_Comp_Sum!$F160/SUM([6]Vehi_Comp_Sum!$F150:$F$172)</f>
        <v>9.1456896081024419E-2</v>
      </c>
      <c r="CV17" s="65">
        <f>[6]Vehi_Comp_Sum!$H160/SUM([6]Vehi_Comp_Sum!$H150:$H$172)</f>
        <v>0.10133991092892489</v>
      </c>
      <c r="CW17" s="65">
        <f>[6]Vehi_Comp_Sum!$H160/SUM([6]Vehi_Comp_Sum!$H150:$H$172)</f>
        <v>0.10133991092892489</v>
      </c>
      <c r="CX17" s="65">
        <f>[6]Vehi_Comp_Sum!$J160/SUM([6]Vehi_Comp_Sum!$J150:$J$172)</f>
        <v>9.0341858241300338E-2</v>
      </c>
      <c r="CY17" s="65">
        <f>[6]Vehi_Comp_Sum!$B160/SUM([6]Vehi_Comp_Sum!$B150:$B$172)</f>
        <v>9.9596455313353691E-2</v>
      </c>
      <c r="CZ17" s="65">
        <f>[6]Vehi_Comp_Sum!$D160/SUM([6]Vehi_Comp_Sum!$D150:$D$172)</f>
        <v>9.2701247374986959E-2</v>
      </c>
      <c r="DA17" s="65">
        <f>[6]Vehi_Comp_Sum!$F160/SUM([6]Vehi_Comp_Sum!$F150:$F$172)</f>
        <v>9.1456896081024419E-2</v>
      </c>
      <c r="DB17" s="65">
        <f>[6]Vehi_Comp_Sum!$H160/SUM([6]Vehi_Comp_Sum!$H150:$H$172)</f>
        <v>0.10133991092892489</v>
      </c>
      <c r="DC17" s="65">
        <f>[6]Vehi_Comp_Sum!$H160/SUM([6]Vehi_Comp_Sum!$H150:$H$172)</f>
        <v>0.10133991092892489</v>
      </c>
      <c r="DD17" s="65">
        <f>[6]Vehi_Comp_Sum!$J160/SUM([6]Vehi_Comp_Sum!$J150:$J$172)</f>
        <v>9.0341858241300338E-2</v>
      </c>
      <c r="DE17" s="520">
        <f t="shared" si="9"/>
        <v>8.778097194692501E-2</v>
      </c>
      <c r="DF17" s="520">
        <f t="shared" si="9"/>
        <v>8.2353741485449813E-2</v>
      </c>
      <c r="DG17" s="65"/>
      <c r="DH17" s="520">
        <f t="shared" si="9"/>
        <v>8.8394626251843689E-2</v>
      </c>
      <c r="DI17" s="520">
        <f t="shared" si="9"/>
        <v>8.8394626251843689E-2</v>
      </c>
      <c r="DJ17" s="520">
        <f t="shared" si="6"/>
        <v>7.9387294729326693E-2</v>
      </c>
      <c r="DK17" s="315">
        <f t="shared" ref="DK17:DP18" si="23">$DQ17</f>
        <v>3.8949798038084245E-2</v>
      </c>
      <c r="DL17" s="315">
        <f t="shared" si="23"/>
        <v>3.8949798038084245E-2</v>
      </c>
      <c r="DM17" s="315">
        <f t="shared" si="23"/>
        <v>3.8949798038084245E-2</v>
      </c>
      <c r="DN17" s="315">
        <f t="shared" si="23"/>
        <v>3.8949798038084245E-2</v>
      </c>
      <c r="DO17" s="315">
        <f t="shared" si="23"/>
        <v>3.8949798038084245E-2</v>
      </c>
      <c r="DP17" s="315">
        <f t="shared" si="23"/>
        <v>3.8949798038084245E-2</v>
      </c>
      <c r="DQ17" s="65">
        <f>Tech_Specs_Bus!M15/Tech_Specs_Bus!M$23</f>
        <v>3.8949798038084245E-2</v>
      </c>
      <c r="DR17" s="65">
        <f>Tech_Specs_Bus!N15/Tech_Specs_Bus!N$23</f>
        <v>3.9589442815249266E-2</v>
      </c>
      <c r="DS17" s="315">
        <f>DT17</f>
        <v>3.4894195692897353E-2</v>
      </c>
      <c r="DT17" s="315">
        <f>DU17</f>
        <v>3.4894195692897353E-2</v>
      </c>
      <c r="DU17" s="65">
        <f>Tech_Specs_Bus!O15/Tech_Specs_Bus!O$23</f>
        <v>3.4894195692897353E-2</v>
      </c>
      <c r="DV17" s="65">
        <f>Tech_Specs_Bus!O15/Tech_Specs_Bus!O$23</f>
        <v>3.4894195692897353E-2</v>
      </c>
      <c r="DW17" s="65">
        <f>Tech_Specs_Bus!P15/Tech_Specs_Bus!P$23</f>
        <v>3.4114140905717009E-2</v>
      </c>
      <c r="DX17" s="315">
        <f t="shared" ref="DX17:EC18" si="24">$ED17</f>
        <v>3.1425461045288212E-2</v>
      </c>
      <c r="DY17" s="315">
        <f t="shared" si="24"/>
        <v>3.1425461045288212E-2</v>
      </c>
      <c r="DZ17" s="315">
        <f t="shared" si="24"/>
        <v>3.1425461045288212E-2</v>
      </c>
      <c r="EA17" s="315">
        <f t="shared" si="24"/>
        <v>3.1425461045288212E-2</v>
      </c>
      <c r="EB17" s="315">
        <f t="shared" si="24"/>
        <v>3.1425461045288212E-2</v>
      </c>
      <c r="EC17" s="315">
        <f t="shared" si="24"/>
        <v>3.1425461045288212E-2</v>
      </c>
      <c r="ED17" s="65">
        <f>Tech_Spec_Rail!AA32</f>
        <v>3.1425461045288212E-2</v>
      </c>
    </row>
    <row r="18" spans="1:147" x14ac:dyDescent="0.3">
      <c r="A18" s="21" t="str">
        <f>"   "&amp;[7]Mat_Inputs!$B117</f>
        <v xml:space="preserve">   Others</v>
      </c>
      <c r="D18" s="65">
        <f>Tech_Spec_Escoot!C12/Tech_Spec_Escoot!C14</f>
        <v>0.13338993347380571</v>
      </c>
      <c r="E18" s="315">
        <f t="shared" si="20"/>
        <v>0.13338993347380571</v>
      </c>
      <c r="F18" s="315">
        <f t="shared" si="20"/>
        <v>0.13338993347380571</v>
      </c>
      <c r="G18" s="315">
        <f>J18</f>
        <v>0.13338993347380571</v>
      </c>
      <c r="H18" s="315">
        <f>K18</f>
        <v>0.13338993347380571</v>
      </c>
      <c r="I18" s="315">
        <f t="shared" si="20"/>
        <v>0.13338993347380571</v>
      </c>
      <c r="J18" s="315">
        <f t="shared" si="20"/>
        <v>0.13338993347380571</v>
      </c>
      <c r="K18" s="315">
        <f t="shared" si="20"/>
        <v>0.13338993347380571</v>
      </c>
      <c r="L18" s="315">
        <f t="shared" si="20"/>
        <v>0.13338993347380571</v>
      </c>
      <c r="M18" s="315">
        <f t="shared" si="20"/>
        <v>0.13338993347380571</v>
      </c>
      <c r="N18" s="315">
        <f t="shared" si="20"/>
        <v>0.13338993347380571</v>
      </c>
      <c r="O18" s="315">
        <f>S18</f>
        <v>0.13338993347380571</v>
      </c>
      <c r="P18" s="315">
        <f>T18</f>
        <v>0.13338993347380571</v>
      </c>
      <c r="Q18" s="315">
        <f t="shared" si="21"/>
        <v>0.13338993347380571</v>
      </c>
      <c r="R18" s="315">
        <f t="shared" si="21"/>
        <v>0.13338993347380571</v>
      </c>
      <c r="S18" s="315">
        <f t="shared" si="21"/>
        <v>0.13338993347380571</v>
      </c>
      <c r="T18" s="315">
        <f t="shared" si="21"/>
        <v>0.13338993347380571</v>
      </c>
      <c r="U18" s="315">
        <f>V18</f>
        <v>0.13338993347380571</v>
      </c>
      <c r="V18" s="315">
        <f>W18</f>
        <v>0.13338993347380571</v>
      </c>
      <c r="W18" s="65">
        <f>D18</f>
        <v>0.13338993347380571</v>
      </c>
      <c r="X18" s="315">
        <f t="shared" si="22"/>
        <v>0.17634969100414033</v>
      </c>
      <c r="Y18" s="315">
        <f t="shared" si="22"/>
        <v>0.17634969100414033</v>
      </c>
      <c r="Z18" s="315">
        <f t="shared" si="22"/>
        <v>0.17634969100414033</v>
      </c>
      <c r="AA18" s="315">
        <f t="shared" si="22"/>
        <v>0.17634969100414033</v>
      </c>
      <c r="AB18" s="315">
        <f t="shared" si="22"/>
        <v>0.17634969100414033</v>
      </c>
      <c r="AC18" s="315">
        <f t="shared" si="22"/>
        <v>0.17634969100414033</v>
      </c>
      <c r="AD18" s="315">
        <f t="shared" si="22"/>
        <v>0.17634969100414033</v>
      </c>
      <c r="AE18" s="65">
        <f>Tech_Spec_Escoot!L12/Tech_Spec_Escoot!L14</f>
        <v>0.17634969100414033</v>
      </c>
      <c r="AF18" s="65">
        <f>W18</f>
        <v>0.13338993347380571</v>
      </c>
      <c r="AG18" s="65"/>
      <c r="AH18" s="65">
        <f>Tech_Spec_Bikes!L20/(Tech_Spec_Bikes!L22+Tech_Spec_Bikes!L25)</f>
        <v>6.2305221457849523E-2</v>
      </c>
      <c r="AI18" s="65"/>
      <c r="AJ18" s="65">
        <f>Tech_Spec_Bikes!N20/(Tech_Spec_Bikes!N22+Tech_Spec_Bikes!N25)</f>
        <v>0</v>
      </c>
      <c r="AK18" s="65">
        <f>Tech_Specs_2W!F20/Tech_Specs_2W!F$22</f>
        <v>2.9787234042553189E-2</v>
      </c>
      <c r="AL18" s="65">
        <f>Tech_Specs_2W!G20/Tech_Specs_2W!G$22</f>
        <v>3.3788591118985502E-2</v>
      </c>
      <c r="AM18" s="65">
        <f>AK18</f>
        <v>2.9787234042553189E-2</v>
      </c>
      <c r="AN18" s="65">
        <f>AL18</f>
        <v>3.3788591118985502E-2</v>
      </c>
      <c r="AO18" s="65">
        <f>SUM([5]Vehi_Comp_Sum!$B163:$B$172)/SUM([5]Vehi_Comp_Sum!$B150:$B$172)</f>
        <v>1.8271206301985744E-2</v>
      </c>
      <c r="AP18" s="65">
        <f>SUM([5]Vehi_Comp_Sum!$D163:$D$172)/SUM([5]Vehi_Comp_Sum!$D150:$D$172)</f>
        <v>1.9100090740076334E-2</v>
      </c>
      <c r="AQ18" s="65">
        <f>SUM([5]Vehi_Comp_Sum!$F163:$F$172)/SUM([5]Vehi_Comp_Sum!$F150:$F$172)</f>
        <v>1.7791993238101503E-2</v>
      </c>
      <c r="AR18" s="315">
        <f t="shared" si="2"/>
        <v>2.589181413207628E-2</v>
      </c>
      <c r="AS18" s="315">
        <f t="shared" si="2"/>
        <v>2.589181413207628E-2</v>
      </c>
      <c r="AT18" s="315">
        <f t="shared" si="2"/>
        <v>2.589181413207628E-2</v>
      </c>
      <c r="AU18" s="315">
        <f t="shared" si="2"/>
        <v>2.589181413207628E-2</v>
      </c>
      <c r="AV18" s="315">
        <f t="shared" si="2"/>
        <v>2.589181413207628E-2</v>
      </c>
      <c r="AW18" s="315">
        <f t="shared" si="2"/>
        <v>2.589181413207628E-2</v>
      </c>
      <c r="AX18" s="65">
        <f>SUM([5]Vehi_Comp_Sum!$H163:$H$172)/SUM([5]Vehi_Comp_Sum!$H150:$H$172)</f>
        <v>2.589181413207628E-2</v>
      </c>
      <c r="AY18" s="65">
        <f>SUM([5]Vehi_Comp_Sum!$J163:$J$172)/SUM([5]Vehi_Comp_Sum!$J150:$J$172)</f>
        <v>3.7282286089752648E-2</v>
      </c>
      <c r="AZ18" s="65">
        <f>SUM([5]Vehi_Comp_Sum!$J163:$J$172)/SUM([5]Vehi_Comp_Sum!$J150:$J$172)</f>
        <v>3.7282286089752648E-2</v>
      </c>
      <c r="BA18" s="65">
        <f>SUM([5]Vehi_Comp_Sum!$J163:$J$172)/SUM([5]Vehi_Comp_Sum!$J150:$J$172)</f>
        <v>3.7282286089752648E-2</v>
      </c>
      <c r="BB18" s="65">
        <f>SUM([5]Vehi_Comp_Sum!$J163:$J$172)/SUM([5]Vehi_Comp_Sum!$J150:$J$172)</f>
        <v>3.7282286089752648E-2</v>
      </c>
      <c r="BC18" s="315">
        <f t="shared" si="3"/>
        <v>1.8271206301985744E-2</v>
      </c>
      <c r="BD18" s="315">
        <f t="shared" si="3"/>
        <v>1.8271206301985744E-2</v>
      </c>
      <c r="BE18" s="315">
        <f t="shared" si="3"/>
        <v>1.8271206301985744E-2</v>
      </c>
      <c r="BF18" s="315">
        <f t="shared" si="3"/>
        <v>1.8271206301985744E-2</v>
      </c>
      <c r="BG18" s="315">
        <f t="shared" si="3"/>
        <v>1.8271206301985744E-2</v>
      </c>
      <c r="BH18" s="315">
        <f t="shared" si="3"/>
        <v>1.8271206301985744E-2</v>
      </c>
      <c r="BI18" s="65">
        <f>SUM([5]Vehi_Comp_Sum!$B163:$B$172)/SUM([5]Vehi_Comp_Sum!$B150:$B$172)</f>
        <v>1.8271206301985744E-2</v>
      </c>
      <c r="BJ18" s="65">
        <f>SUM([5]Vehi_Comp_Sum!$D163:$D$172)/SUM([5]Vehi_Comp_Sum!$D150:$D$172)</f>
        <v>1.9100090740076334E-2</v>
      </c>
      <c r="BK18" s="65">
        <f>SUM([5]Vehi_Comp_Sum!$F163:$F$172)/SUM([5]Vehi_Comp_Sum!$F150:$F$172)</f>
        <v>1.7791993238101503E-2</v>
      </c>
      <c r="BL18" s="315">
        <f t="shared" si="4"/>
        <v>2.589181413207628E-2</v>
      </c>
      <c r="BM18" s="315">
        <f t="shared" si="4"/>
        <v>2.589181413207628E-2</v>
      </c>
      <c r="BN18" s="315">
        <f t="shared" si="4"/>
        <v>2.589181413207628E-2</v>
      </c>
      <c r="BO18" s="315">
        <f t="shared" si="4"/>
        <v>2.589181413207628E-2</v>
      </c>
      <c r="BP18" s="315">
        <f t="shared" si="4"/>
        <v>2.589181413207628E-2</v>
      </c>
      <c r="BQ18" s="315">
        <f t="shared" si="4"/>
        <v>2.589181413207628E-2</v>
      </c>
      <c r="BR18" s="315">
        <f t="shared" si="4"/>
        <v>2.589181413207628E-2</v>
      </c>
      <c r="BS18" s="315">
        <f t="shared" si="4"/>
        <v>2.589181413207628E-2</v>
      </c>
      <c r="BT18" s="65">
        <f>SUM([5]Vehi_Comp_Sum!$H163:$H$172)/SUM([5]Vehi_Comp_Sum!$H150:$H$172)</f>
        <v>2.589181413207628E-2</v>
      </c>
      <c r="BU18" s="315">
        <f t="shared" si="5"/>
        <v>2.589181413207628E-2</v>
      </c>
      <c r="BV18" s="315">
        <f t="shared" si="5"/>
        <v>2.589181413207628E-2</v>
      </c>
      <c r="BW18" s="315">
        <f t="shared" si="5"/>
        <v>2.589181413207628E-2</v>
      </c>
      <c r="BX18" s="315">
        <f t="shared" si="5"/>
        <v>2.589181413207628E-2</v>
      </c>
      <c r="BY18" s="315">
        <f t="shared" si="5"/>
        <v>2.589181413207628E-2</v>
      </c>
      <c r="BZ18" s="315">
        <f t="shared" si="5"/>
        <v>2.589181413207628E-2</v>
      </c>
      <c r="CA18" s="315">
        <f t="shared" si="5"/>
        <v>2.589181413207628E-2</v>
      </c>
      <c r="CB18" s="315">
        <f t="shared" si="5"/>
        <v>2.589181413207628E-2</v>
      </c>
      <c r="CC18" s="65">
        <f>SUM([5]Vehi_Comp_Sum!$H163:$H$172)/SUM([5]Vehi_Comp_Sum!$H150:$H$172)</f>
        <v>2.589181413207628E-2</v>
      </c>
      <c r="CD18" s="65">
        <f>SUM([5]Vehi_Comp_Sum!$J163:$J$172)/SUM([5]Vehi_Comp_Sum!$J150:$J$172)</f>
        <v>3.7282286089752648E-2</v>
      </c>
      <c r="CE18" s="65">
        <f>SUM([5]Vehi_Comp_Sum!$J163:$J$172)/SUM([5]Vehi_Comp_Sum!$J150:$J$172)</f>
        <v>3.7282286089752648E-2</v>
      </c>
      <c r="CF18" s="65">
        <f>SUM([5]Vehi_Comp_Sum!$J163:$J$172)/SUM([5]Vehi_Comp_Sum!$J150:$J$172)</f>
        <v>3.7282286089752648E-2</v>
      </c>
      <c r="CG18" s="65">
        <f>SUM([5]Vehi_Comp_Sum!$J163:$J$172)/SUM([5]Vehi_Comp_Sum!$J150:$J$172)</f>
        <v>3.7282286089752648E-2</v>
      </c>
      <c r="CH18" s="65">
        <f>SUM([5]Vehi_Comp_Sum!$B163:$B$172)/SUM([5]Vehi_Comp_Sum!$B150:$B$172)</f>
        <v>1.8271206301985744E-2</v>
      </c>
      <c r="CI18" s="65">
        <f>SUM([5]Vehi_Comp_Sum!$D163:$D$172)/SUM([5]Vehi_Comp_Sum!$D150:$D$172)</f>
        <v>1.9100090740076334E-2</v>
      </c>
      <c r="CJ18" s="65">
        <f>SUM([5]Vehi_Comp_Sum!$F163:$F$172)/SUM([5]Vehi_Comp_Sum!$F150:$F$172)</f>
        <v>1.7791993238101503E-2</v>
      </c>
      <c r="CK18" s="65">
        <f>SUM([5]Vehi_Comp_Sum!$H163:$H$172)/SUM([5]Vehi_Comp_Sum!$H150:$H$172)</f>
        <v>2.589181413207628E-2</v>
      </c>
      <c r="CL18" s="65">
        <f>SUM([5]Vehi_Comp_Sum!$H163:$H$172)/SUM([5]Vehi_Comp_Sum!$H150:$H$172)</f>
        <v>2.589181413207628E-2</v>
      </c>
      <c r="CM18" s="65">
        <f>SUM([5]Vehi_Comp_Sum!$J163:$J$172)/SUM([5]Vehi_Comp_Sum!$J150:$J$172)</f>
        <v>3.7282286089752648E-2</v>
      </c>
      <c r="CN18" s="65">
        <f>SUM([6]Vehi_Comp_Sum!$B163:$B$172)/SUM([6]Vehi_Comp_Sum!$B150:$B$172)</f>
        <v>1.532548185020674E-2</v>
      </c>
      <c r="CO18" s="65">
        <f>SUM([6]Vehi_Comp_Sum!$D163:$D$172)/SUM([6]Vehi_Comp_Sum!$D150:$D$172)</f>
        <v>1.6320047185959453E-2</v>
      </c>
      <c r="CP18" s="65">
        <f>SUM([6]Vehi_Comp_Sum!$F163:$F$172)/SUM([6]Vehi_Comp_Sum!$F150:$F$172)</f>
        <v>1.2408954690425517E-2</v>
      </c>
      <c r="CQ18" s="65">
        <f>SUM([6]Vehi_Comp_Sum!$H163:$H$172)/SUM([6]Vehi_Comp_Sum!$H150:$H$172)</f>
        <v>2.2398694376315691E-2</v>
      </c>
      <c r="CR18" s="65">
        <f>SUM([6]Vehi_Comp_Sum!$J163:$J$172)/SUM([6]Vehi_Comp_Sum!$J150:$J$172)</f>
        <v>3.2566084853102556E-2</v>
      </c>
      <c r="CS18" s="65">
        <f>SUM([6]Vehi_Comp_Sum!$B163:$B$172)/SUM([6]Vehi_Comp_Sum!$B150:$B$172)</f>
        <v>1.532548185020674E-2</v>
      </c>
      <c r="CT18" s="65">
        <f>SUM([6]Vehi_Comp_Sum!$D163:$D$172)/SUM([6]Vehi_Comp_Sum!$D150:$D$172)</f>
        <v>1.6320047185959453E-2</v>
      </c>
      <c r="CU18" s="65">
        <f>SUM([6]Vehi_Comp_Sum!$F163:$F$172)/SUM([6]Vehi_Comp_Sum!$F150:$F$172)</f>
        <v>1.2408954690425517E-2</v>
      </c>
      <c r="CV18" s="65">
        <f>SUM([6]Vehi_Comp_Sum!$H163:$H$172)/SUM([6]Vehi_Comp_Sum!$H150:$H$172)</f>
        <v>2.2398694376315691E-2</v>
      </c>
      <c r="CW18" s="65">
        <f>SUM([6]Vehi_Comp_Sum!$H163:$H$172)/SUM([6]Vehi_Comp_Sum!$H150:$H$172)</f>
        <v>2.2398694376315691E-2</v>
      </c>
      <c r="CX18" s="65">
        <f>SUM([6]Vehi_Comp_Sum!$J163:$J$172)/SUM([6]Vehi_Comp_Sum!$J150:$J$172)</f>
        <v>3.2566084853102556E-2</v>
      </c>
      <c r="CY18" s="65">
        <f>SUM([6]Vehi_Comp_Sum!$B163:$B$172)/SUM([6]Vehi_Comp_Sum!$B150:$B$172)</f>
        <v>1.532548185020674E-2</v>
      </c>
      <c r="CZ18" s="65">
        <f>SUM([6]Vehi_Comp_Sum!$D163:$D$172)/SUM([6]Vehi_Comp_Sum!$D150:$D$172)</f>
        <v>1.6320047185959453E-2</v>
      </c>
      <c r="DA18" s="65">
        <f>SUM([6]Vehi_Comp_Sum!$F163:$F$172)/SUM([6]Vehi_Comp_Sum!$F150:$F$172)</f>
        <v>1.2408954690425517E-2</v>
      </c>
      <c r="DB18" s="65">
        <f>SUM([6]Vehi_Comp_Sum!$H163:$H$172)/SUM([6]Vehi_Comp_Sum!$H150:$H$172)</f>
        <v>2.2398694376315691E-2</v>
      </c>
      <c r="DC18" s="65">
        <f>SUM([6]Vehi_Comp_Sum!$H163:$H$172)/SUM([6]Vehi_Comp_Sum!$H150:$H$172)</f>
        <v>2.2398694376315691E-2</v>
      </c>
      <c r="DD18" s="65">
        <f>SUM([6]Vehi_Comp_Sum!$J163:$J$172)/SUM([6]Vehi_Comp_Sum!$J150:$J$172)</f>
        <v>3.2566084853102556E-2</v>
      </c>
      <c r="DE18" s="520">
        <f t="shared" si="9"/>
        <v>2.1258399546931189E-2</v>
      </c>
      <c r="DF18" s="520">
        <f t="shared" si="9"/>
        <v>1.9006192545477345E-2</v>
      </c>
      <c r="DG18" s="65"/>
      <c r="DH18" s="520">
        <f t="shared" si="9"/>
        <v>2.8198683164301033E-2</v>
      </c>
      <c r="DI18" s="520">
        <f t="shared" si="9"/>
        <v>2.8198683164301033E-2</v>
      </c>
      <c r="DJ18" s="520">
        <f t="shared" si="6"/>
        <v>3.7263455679036925E-2</v>
      </c>
      <c r="DK18" s="315">
        <f t="shared" si="23"/>
        <v>4.5778034237353341E-2</v>
      </c>
      <c r="DL18" s="315">
        <f t="shared" si="23"/>
        <v>4.5778034237353341E-2</v>
      </c>
      <c r="DM18" s="315">
        <f t="shared" si="23"/>
        <v>4.5778034237353341E-2</v>
      </c>
      <c r="DN18" s="315">
        <f t="shared" si="23"/>
        <v>4.5778034237353341E-2</v>
      </c>
      <c r="DO18" s="315">
        <f t="shared" si="23"/>
        <v>4.5778034237353341E-2</v>
      </c>
      <c r="DP18" s="315">
        <f t="shared" si="23"/>
        <v>4.5778034237353341E-2</v>
      </c>
      <c r="DQ18" s="65">
        <f>SUM(Tech_Specs_Bus!M21,Tech_Specs_Bus!M11,Tech_Specs_Bus!M13)/Tech_Specs_Bus!M$23</f>
        <v>4.5778034237353341E-2</v>
      </c>
      <c r="DR18" s="65">
        <f>SUM(Tech_Specs_Bus!N21,Tech_Specs_Bus!N11,Tech_Specs_Bus!N13)/Tech_Specs_Bus!N$23</f>
        <v>3.0107526881720432E-2</v>
      </c>
      <c r="DS18" s="315">
        <f>DT18</f>
        <v>5.2168947637792874E-2</v>
      </c>
      <c r="DT18" s="315">
        <f>DU18</f>
        <v>5.2168947637792874E-2</v>
      </c>
      <c r="DU18" s="65">
        <f>SUM(Tech_Specs_Bus!O21,Tech_Specs_Bus!O11,Tech_Specs_Bus!O13)/Tech_Specs_Bus!O$23</f>
        <v>5.2168947637792874E-2</v>
      </c>
      <c r="DV18" s="65">
        <f>SUM(Tech_Specs_Bus!O21,Tech_Specs_Bus!O11,Tech_Specs_Bus!O13)/Tech_Specs_Bus!O$23</f>
        <v>5.2168947637792874E-2</v>
      </c>
      <c r="DW18" s="65">
        <f>SUM(Tech_Specs_Bus!P21,Tech_Specs_Bus!P11,Tech_Specs_Bus!P13)/Tech_Specs_Bus!P$23</f>
        <v>5.66768071773978E-2</v>
      </c>
      <c r="DX18" s="315">
        <f t="shared" si="24"/>
        <v>9.3659729447692019E-2</v>
      </c>
      <c r="DY18" s="315">
        <f t="shared" si="24"/>
        <v>9.3659729447692019E-2</v>
      </c>
      <c r="DZ18" s="315">
        <f t="shared" si="24"/>
        <v>9.3659729447692019E-2</v>
      </c>
      <c r="EA18" s="315">
        <f t="shared" si="24"/>
        <v>9.3659729447692019E-2</v>
      </c>
      <c r="EB18" s="315">
        <f t="shared" si="24"/>
        <v>9.3659729447692019E-2</v>
      </c>
      <c r="EC18" s="315">
        <f t="shared" si="24"/>
        <v>9.3659729447692019E-2</v>
      </c>
      <c r="ED18" s="65">
        <f>SUM(Tech_Spec_Rail!AA36,Tech_Spec_Rail!AA35)</f>
        <v>9.3659729447692019E-2</v>
      </c>
    </row>
    <row r="19" spans="1:147" x14ac:dyDescent="0.3">
      <c r="A19" s="66" t="s">
        <v>151</v>
      </c>
      <c r="D19" s="67">
        <f>SUM(D8:D18)</f>
        <v>1</v>
      </c>
      <c r="E19" s="67">
        <f t="shared" ref="E19:P19" si="25">SUM(E8:E18)</f>
        <v>1</v>
      </c>
      <c r="F19" s="67">
        <f t="shared" si="25"/>
        <v>1</v>
      </c>
      <c r="G19" s="67">
        <f t="shared" si="25"/>
        <v>1</v>
      </c>
      <c r="H19" s="67">
        <f t="shared" si="25"/>
        <v>1</v>
      </c>
      <c r="I19" s="67">
        <f t="shared" ref="I19" si="26">SUM(I8:I18)</f>
        <v>1</v>
      </c>
      <c r="J19" s="67">
        <f t="shared" si="25"/>
        <v>1</v>
      </c>
      <c r="K19" s="67">
        <f t="shared" si="25"/>
        <v>1</v>
      </c>
      <c r="L19" s="67">
        <f t="shared" si="25"/>
        <v>1</v>
      </c>
      <c r="M19" s="67">
        <f t="shared" si="25"/>
        <v>1</v>
      </c>
      <c r="N19" s="67">
        <f t="shared" si="25"/>
        <v>1</v>
      </c>
      <c r="O19" s="67">
        <f t="shared" si="25"/>
        <v>1</v>
      </c>
      <c r="P19" s="67">
        <f t="shared" si="25"/>
        <v>1</v>
      </c>
      <c r="Q19" s="67">
        <f t="shared" ref="Q19:BD19" si="27">SUM(Q8:Q18)</f>
        <v>1</v>
      </c>
      <c r="R19" s="67">
        <f t="shared" si="27"/>
        <v>1</v>
      </c>
      <c r="S19" s="67">
        <f t="shared" si="27"/>
        <v>1</v>
      </c>
      <c r="T19" s="67">
        <f t="shared" si="27"/>
        <v>1</v>
      </c>
      <c r="U19" s="67">
        <f t="shared" si="27"/>
        <v>1</v>
      </c>
      <c r="V19" s="67">
        <f t="shared" si="27"/>
        <v>1</v>
      </c>
      <c r="W19" s="67">
        <f t="shared" si="27"/>
        <v>1</v>
      </c>
      <c r="X19" s="67">
        <f>SUM(X8:X18)</f>
        <v>0.99999999999999989</v>
      </c>
      <c r="Y19" s="67">
        <f>SUM(Y8:Y18)</f>
        <v>0.99999999999999989</v>
      </c>
      <c r="Z19" s="67">
        <f>SUM(Z8:Z18)</f>
        <v>0.99999999999999989</v>
      </c>
      <c r="AA19" s="67">
        <f>SUM(AA8:AA18)</f>
        <v>0.99999999999999989</v>
      </c>
      <c r="AB19" s="67">
        <f t="shared" ref="AB19:AD19" si="28">SUM(AB8:AB18)</f>
        <v>0.99999999999999989</v>
      </c>
      <c r="AC19" s="67">
        <f t="shared" si="28"/>
        <v>0.99999999999999989</v>
      </c>
      <c r="AD19" s="67">
        <f t="shared" si="28"/>
        <v>0.99999999999999989</v>
      </c>
      <c r="AE19" s="67">
        <f t="shared" ref="AE19" si="29">SUM(AE8:AE18)</f>
        <v>0.99999999999999989</v>
      </c>
      <c r="AF19" s="67">
        <f t="shared" si="27"/>
        <v>1</v>
      </c>
      <c r="AG19" s="67">
        <f t="shared" si="27"/>
        <v>1</v>
      </c>
      <c r="AH19" s="67">
        <f t="shared" si="27"/>
        <v>1</v>
      </c>
      <c r="AI19" s="67">
        <f t="shared" si="27"/>
        <v>1.0000000000000002</v>
      </c>
      <c r="AJ19" s="67">
        <f t="shared" si="27"/>
        <v>1</v>
      </c>
      <c r="AK19" s="67">
        <f t="shared" si="27"/>
        <v>1</v>
      </c>
      <c r="AL19" s="67">
        <f t="shared" si="27"/>
        <v>1</v>
      </c>
      <c r="AM19" s="67">
        <f t="shared" si="27"/>
        <v>1</v>
      </c>
      <c r="AN19" s="67">
        <f t="shared" si="27"/>
        <v>1</v>
      </c>
      <c r="AO19" s="67">
        <f t="shared" si="27"/>
        <v>0.99982887182479652</v>
      </c>
      <c r="AP19" s="67">
        <f t="shared" si="27"/>
        <v>0.99984376460268432</v>
      </c>
      <c r="AQ19" s="67">
        <f t="shared" si="27"/>
        <v>0.99985723989162334</v>
      </c>
      <c r="AR19" s="67">
        <f t="shared" si="27"/>
        <v>0.99982486873727772</v>
      </c>
      <c r="AS19" s="67">
        <f t="shared" si="27"/>
        <v>0.99982486873727772</v>
      </c>
      <c r="AT19" s="67">
        <f t="shared" si="27"/>
        <v>0.99982486873727772</v>
      </c>
      <c r="AU19" s="67">
        <f t="shared" si="27"/>
        <v>0.99982486873727772</v>
      </c>
      <c r="AV19" s="67">
        <f t="shared" si="27"/>
        <v>0.99982486873727772</v>
      </c>
      <c r="AW19" s="67">
        <f t="shared" si="27"/>
        <v>0.99982486873727772</v>
      </c>
      <c r="AX19" s="67">
        <f t="shared" si="27"/>
        <v>0.99982486873727772</v>
      </c>
      <c r="AY19" s="67">
        <f t="shared" si="27"/>
        <v>0.9998229219818231</v>
      </c>
      <c r="AZ19" s="67">
        <f t="shared" si="27"/>
        <v>0.9998229219818231</v>
      </c>
      <c r="BA19" s="67">
        <f t="shared" si="27"/>
        <v>0.9998229219818231</v>
      </c>
      <c r="BB19" s="67">
        <f t="shared" si="27"/>
        <v>0.9998229219818231</v>
      </c>
      <c r="BC19" s="67">
        <f t="shared" si="27"/>
        <v>0.99982887182479652</v>
      </c>
      <c r="BD19" s="67">
        <f t="shared" si="27"/>
        <v>0.99982887182479652</v>
      </c>
      <c r="BE19" s="67">
        <f t="shared" ref="BE19:CJ19" si="30">SUM(BE8:BE18)</f>
        <v>0.99982887182479652</v>
      </c>
      <c r="BF19" s="67">
        <f t="shared" si="30"/>
        <v>0.99982887182479652</v>
      </c>
      <c r="BG19" s="67">
        <f t="shared" si="30"/>
        <v>0.99982887182479652</v>
      </c>
      <c r="BH19" s="67">
        <f t="shared" si="30"/>
        <v>0.99982887182479652</v>
      </c>
      <c r="BI19" s="67">
        <f t="shared" si="30"/>
        <v>0.99982887182479652</v>
      </c>
      <c r="BJ19" s="67">
        <f t="shared" si="30"/>
        <v>0.99984376460268432</v>
      </c>
      <c r="BK19" s="67">
        <f t="shared" si="30"/>
        <v>0.99985723989162334</v>
      </c>
      <c r="BL19" s="67">
        <f t="shared" si="30"/>
        <v>0.99982486873727772</v>
      </c>
      <c r="BM19" s="67">
        <f t="shared" si="30"/>
        <v>0.99982486873727772</v>
      </c>
      <c r="BN19" s="67">
        <f t="shared" si="30"/>
        <v>0.99982486873727772</v>
      </c>
      <c r="BO19" s="67">
        <f t="shared" si="30"/>
        <v>0.99982486873727772</v>
      </c>
      <c r="BP19" s="67">
        <f t="shared" si="30"/>
        <v>0.99982486873727772</v>
      </c>
      <c r="BQ19" s="67">
        <f t="shared" si="30"/>
        <v>0.99982486873727772</v>
      </c>
      <c r="BR19" s="67">
        <f t="shared" si="30"/>
        <v>0.99982486873727772</v>
      </c>
      <c r="BS19" s="67">
        <f t="shared" si="30"/>
        <v>0.99982486873727772</v>
      </c>
      <c r="BT19" s="67">
        <f t="shared" si="30"/>
        <v>0.99982486873727772</v>
      </c>
      <c r="BU19" s="67">
        <f t="shared" si="30"/>
        <v>0.99982486873727772</v>
      </c>
      <c r="BV19" s="67">
        <f t="shared" si="30"/>
        <v>0.99982486873727772</v>
      </c>
      <c r="BW19" s="67">
        <f t="shared" si="30"/>
        <v>0.99982486873727772</v>
      </c>
      <c r="BX19" s="67">
        <f t="shared" si="30"/>
        <v>0.99982486873727772</v>
      </c>
      <c r="BY19" s="67">
        <f t="shared" si="30"/>
        <v>0.99982486873727772</v>
      </c>
      <c r="BZ19" s="67">
        <f t="shared" si="30"/>
        <v>0.99982486873727772</v>
      </c>
      <c r="CA19" s="67">
        <f t="shared" si="30"/>
        <v>0.99982486873727772</v>
      </c>
      <c r="CB19" s="67">
        <f t="shared" si="30"/>
        <v>0.99982486873727772</v>
      </c>
      <c r="CC19" s="67">
        <f t="shared" si="30"/>
        <v>0.99982486873727772</v>
      </c>
      <c r="CD19" s="67">
        <f t="shared" si="30"/>
        <v>0.9998229219818231</v>
      </c>
      <c r="CE19" s="67">
        <f t="shared" si="30"/>
        <v>0.9998229219818231</v>
      </c>
      <c r="CF19" s="67">
        <f t="shared" si="30"/>
        <v>0.9998229219818231</v>
      </c>
      <c r="CG19" s="67">
        <f t="shared" si="30"/>
        <v>0.9998229219818231</v>
      </c>
      <c r="CH19" s="67">
        <f t="shared" si="30"/>
        <v>0.99982887182479652</v>
      </c>
      <c r="CI19" s="67">
        <f t="shared" si="30"/>
        <v>0.99984376460268432</v>
      </c>
      <c r="CJ19" s="67">
        <f t="shared" si="30"/>
        <v>0.99985723989162334</v>
      </c>
      <c r="CK19" s="67">
        <f t="shared" ref="CK19:DF19" si="31">SUM(CK8:CK18)</f>
        <v>0.99982486873727772</v>
      </c>
      <c r="CL19" s="67">
        <f t="shared" si="31"/>
        <v>0.99982486873727772</v>
      </c>
      <c r="CM19" s="67">
        <f t="shared" si="31"/>
        <v>0.9998229219818231</v>
      </c>
      <c r="CN19" s="67">
        <f t="shared" si="31"/>
        <v>0.99988008603699474</v>
      </c>
      <c r="CO19" s="67">
        <f t="shared" si="31"/>
        <v>0.99989026683747928</v>
      </c>
      <c r="CP19" s="67">
        <f t="shared" si="31"/>
        <v>0.99992946842608121</v>
      </c>
      <c r="CQ19" s="67">
        <f t="shared" si="31"/>
        <v>0.99987821254389597</v>
      </c>
      <c r="CR19" s="67">
        <f t="shared" si="31"/>
        <v>0.99988711728693436</v>
      </c>
      <c r="CS19" s="67">
        <f t="shared" si="31"/>
        <v>0.99988008603699474</v>
      </c>
      <c r="CT19" s="67">
        <f t="shared" si="31"/>
        <v>0.99989026683747928</v>
      </c>
      <c r="CU19" s="67">
        <f t="shared" si="31"/>
        <v>0.99992946842608121</v>
      </c>
      <c r="CV19" s="67">
        <f t="shared" si="31"/>
        <v>0.99987821254389597</v>
      </c>
      <c r="CW19" s="67">
        <f t="shared" si="31"/>
        <v>0.99987821254389597</v>
      </c>
      <c r="CX19" s="67">
        <f t="shared" si="31"/>
        <v>0.99988711728693436</v>
      </c>
      <c r="CY19" s="67">
        <f t="shared" si="31"/>
        <v>0.99988008603699474</v>
      </c>
      <c r="CZ19" s="67">
        <f t="shared" si="31"/>
        <v>0.99989026683747928</v>
      </c>
      <c r="DA19" s="67">
        <f t="shared" si="31"/>
        <v>0.99992946842608121</v>
      </c>
      <c r="DB19" s="67">
        <f t="shared" si="31"/>
        <v>0.99987821254389597</v>
      </c>
      <c r="DC19" s="67">
        <f t="shared" si="31"/>
        <v>0.99987821254389597</v>
      </c>
      <c r="DD19" s="67">
        <f t="shared" si="31"/>
        <v>0.99988711728693436</v>
      </c>
      <c r="DE19" s="67">
        <f t="shared" si="31"/>
        <v>0.99990344827160016</v>
      </c>
      <c r="DF19" s="67">
        <f t="shared" si="31"/>
        <v>0.99991164559790502</v>
      </c>
      <c r="DG19" s="67"/>
      <c r="DH19" s="67">
        <f>SUM(DH8:DH18)</f>
        <v>0.99990193978174369</v>
      </c>
      <c r="DI19" s="67">
        <f>SUM(DI8:DI18)</f>
        <v>0.99990193978174369</v>
      </c>
      <c r="DJ19" s="67">
        <f>SUM(DJ8:DJ18)</f>
        <v>0.99990910965846003</v>
      </c>
      <c r="DK19" s="67">
        <f t="shared" ref="DK19:DP19" si="32">SUM(DK8:DK18)</f>
        <v>1</v>
      </c>
      <c r="DL19" s="67">
        <f t="shared" si="32"/>
        <v>1</v>
      </c>
      <c r="DM19" s="67">
        <f>SUM(DM8:DM18)</f>
        <v>1</v>
      </c>
      <c r="DN19" s="67">
        <f t="shared" si="32"/>
        <v>1</v>
      </c>
      <c r="DO19" s="67">
        <f t="shared" si="32"/>
        <v>1</v>
      </c>
      <c r="DP19" s="67">
        <f t="shared" si="32"/>
        <v>1</v>
      </c>
      <c r="DQ19" s="67">
        <f t="shared" ref="DQ19:DW19" si="33">SUM(DQ8:DQ18)</f>
        <v>1</v>
      </c>
      <c r="DR19" s="67">
        <f t="shared" si="33"/>
        <v>0.99999999999999989</v>
      </c>
      <c r="DS19" s="67">
        <f t="shared" si="33"/>
        <v>1</v>
      </c>
      <c r="DT19" s="67">
        <f t="shared" si="33"/>
        <v>1</v>
      </c>
      <c r="DU19" s="67">
        <f t="shared" si="33"/>
        <v>1</v>
      </c>
      <c r="DV19" s="67">
        <f t="shared" si="33"/>
        <v>1</v>
      </c>
      <c r="DW19" s="67">
        <f t="shared" si="33"/>
        <v>0.99999999999999978</v>
      </c>
      <c r="DX19" s="67">
        <f t="shared" ref="DX19:EC19" si="34">SUM(DX8:DX18)</f>
        <v>1</v>
      </c>
      <c r="DY19" s="67">
        <f t="shared" si="34"/>
        <v>1</v>
      </c>
      <c r="DZ19" s="67">
        <f t="shared" si="34"/>
        <v>1</v>
      </c>
      <c r="EA19" s="67">
        <f t="shared" si="34"/>
        <v>1</v>
      </c>
      <c r="EB19" s="67">
        <f t="shared" si="34"/>
        <v>1</v>
      </c>
      <c r="EC19" s="67">
        <f t="shared" si="34"/>
        <v>1</v>
      </c>
      <c r="ED19" s="67">
        <f>SUM(ED8:ED18)</f>
        <v>1</v>
      </c>
    </row>
    <row r="21" spans="1:147" x14ac:dyDescent="0.3">
      <c r="A21" s="21" t="s">
        <v>152</v>
      </c>
      <c r="B21" s="21" t="s">
        <v>118</v>
      </c>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row>
    <row r="22" spans="1:147" x14ac:dyDescent="0.3">
      <c r="A22" s="21" t="str">
        <f>A8</f>
        <v xml:space="preserve">   Steel</v>
      </c>
      <c r="D22" s="68">
        <f>[5]Mat_Inputs!$D$171</f>
        <v>0.26400000000000001</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F22" s="21" t="s">
        <v>82</v>
      </c>
    </row>
    <row r="23" spans="1:147" x14ac:dyDescent="0.3">
      <c r="A23" s="21" t="str">
        <f>A11</f>
        <v xml:space="preserve">   Wrought Aluminum</v>
      </c>
      <c r="D23" s="68">
        <f>[5]Mat_Inputs!$D$172</f>
        <v>0.10999999999999999</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F23" s="62" t="s">
        <v>148</v>
      </c>
    </row>
    <row r="24" spans="1:147" x14ac:dyDescent="0.3">
      <c r="A24" s="21" t="str">
        <f>A12</f>
        <v xml:space="preserve">   Cast Aluminum</v>
      </c>
      <c r="D24" s="68">
        <f>[5]Mat_Inputs!$D$173</f>
        <v>0.85</v>
      </c>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row>
    <row r="26" spans="1:147" x14ac:dyDescent="0.3">
      <c r="A26" s="21" t="s">
        <v>131</v>
      </c>
      <c r="D26" s="303" t="str">
        <f>'0_Total'!D13</f>
        <v>NMC111</v>
      </c>
      <c r="E26" s="303" t="str">
        <f>'0_Total'!E13</f>
        <v>NMC111</v>
      </c>
      <c r="F26" s="303" t="str">
        <f>'0_Total'!F13</f>
        <v>NMC111</v>
      </c>
      <c r="G26" s="303" t="str">
        <f>'0_Total'!G13</f>
        <v>NMC111</v>
      </c>
      <c r="H26" s="303" t="str">
        <f>'0_Total'!H13</f>
        <v>NMC111</v>
      </c>
      <c r="I26" s="303" t="str">
        <f>'0_Total'!I13</f>
        <v>NMC111</v>
      </c>
      <c r="J26" s="303" t="str">
        <f>'0_Total'!J13</f>
        <v>NMC111</v>
      </c>
      <c r="K26" s="303" t="str">
        <f>'0_Total'!K13</f>
        <v>NMC111</v>
      </c>
      <c r="L26" s="303" t="str">
        <f>'0_Total'!L13</f>
        <v>NMC111</v>
      </c>
      <c r="M26" s="303" t="str">
        <f>'0_Total'!M13</f>
        <v>NMC111</v>
      </c>
      <c r="N26" s="303" t="str">
        <f>'0_Total'!N13</f>
        <v>NMC111</v>
      </c>
      <c r="O26" s="303" t="str">
        <f>'0_Total'!O13</f>
        <v>NMC111</v>
      </c>
      <c r="P26" s="303" t="str">
        <f>'0_Total'!P13</f>
        <v>NMC111</v>
      </c>
      <c r="Q26" s="303" t="str">
        <f>'0_Total'!Q13</f>
        <v>NMC111</v>
      </c>
      <c r="R26" s="303" t="str">
        <f>'0_Total'!R13</f>
        <v>NMC111</v>
      </c>
      <c r="S26" s="303" t="str">
        <f>'0_Total'!S13</f>
        <v>NMC111</v>
      </c>
      <c r="T26" s="303" t="str">
        <f>'0_Total'!T13</f>
        <v>NMC111</v>
      </c>
      <c r="U26" s="303" t="str">
        <f>'0_Total'!U13</f>
        <v>NMC111</v>
      </c>
      <c r="V26" s="303" t="str">
        <f>'0_Total'!V13</f>
        <v>NMC111</v>
      </c>
      <c r="W26" s="303" t="str">
        <f>'0_Total'!W13</f>
        <v>NMC111</v>
      </c>
      <c r="X26" s="303" t="str">
        <f>'0_Total'!X13</f>
        <v>NMC111</v>
      </c>
      <c r="Y26" s="303" t="str">
        <f>'0_Total'!Y13</f>
        <v>NMC111</v>
      </c>
      <c r="Z26" s="303" t="str">
        <f>'0_Total'!Z13</f>
        <v>NMC111</v>
      </c>
      <c r="AA26" s="303" t="str">
        <f>'0_Total'!AA13</f>
        <v>NMC111</v>
      </c>
      <c r="AB26" s="303" t="str">
        <f>'0_Total'!AB13</f>
        <v>NMC111</v>
      </c>
      <c r="AC26" s="303" t="str">
        <f>'0_Total'!AC13</f>
        <v>NMC111</v>
      </c>
      <c r="AD26" s="303" t="str">
        <f>'0_Total'!AD13</f>
        <v>NMC111</v>
      </c>
      <c r="AE26" s="303" t="str">
        <f>'0_Total'!AE13</f>
        <v>NMC111</v>
      </c>
      <c r="AF26" s="303" t="str">
        <f>'0_Total'!AF13</f>
        <v>NMC111</v>
      </c>
      <c r="AG26" s="303">
        <f>'0_Total'!AG13</f>
        <v>0</v>
      </c>
      <c r="AH26" s="303" t="str">
        <f>'0_Total'!AH13</f>
        <v>NMC111</v>
      </c>
      <c r="AI26" s="303">
        <f>'0_Total'!AI13</f>
        <v>0</v>
      </c>
      <c r="AJ26" s="303" t="str">
        <f>'0_Total'!AJ13</f>
        <v>NMC111</v>
      </c>
      <c r="AK26" s="303">
        <f>'0_Total'!AK13</f>
        <v>0</v>
      </c>
      <c r="AL26" s="303" t="str">
        <f>'0_Total'!AL13</f>
        <v>NMC111</v>
      </c>
      <c r="AM26" s="303">
        <f>'0_Total'!AM13</f>
        <v>0</v>
      </c>
      <c r="AN26" s="303" t="str">
        <f>'0_Total'!AN13</f>
        <v>NMC111</v>
      </c>
      <c r="AO26" s="303">
        <f>'0_Total'!AO13</f>
        <v>0</v>
      </c>
      <c r="AP26" s="303" t="str">
        <f>'0_Total'!AP13</f>
        <v>NMC111</v>
      </c>
      <c r="AQ26" s="303" t="str">
        <f>'0_Total'!AQ13</f>
        <v>NMC111</v>
      </c>
      <c r="AR26" s="303" t="str">
        <f>'0_Total'!AR13</f>
        <v>NMC111</v>
      </c>
      <c r="AS26" s="303" t="str">
        <f>'0_Total'!AS13</f>
        <v>NMC111</v>
      </c>
      <c r="AT26" s="303" t="str">
        <f>'0_Total'!AT13</f>
        <v>NMC111</v>
      </c>
      <c r="AU26" s="303" t="str">
        <f>'0_Total'!AU13</f>
        <v>NMC111</v>
      </c>
      <c r="AV26" s="303" t="str">
        <f>'0_Total'!AV13</f>
        <v>NMC111</v>
      </c>
      <c r="AW26" s="303" t="str">
        <f>'0_Total'!AW13</f>
        <v>NMC111</v>
      </c>
      <c r="AX26" s="303" t="str">
        <f>'0_Total'!AX13</f>
        <v>NMC111</v>
      </c>
      <c r="AY26" s="303" t="str">
        <f>'0_Total'!AY13</f>
        <v>NMC111</v>
      </c>
      <c r="AZ26" s="303" t="str">
        <f>'0_Total'!AY13</f>
        <v>NMC111</v>
      </c>
      <c r="BA26" s="303" t="str">
        <f>'0_Total'!BA13</f>
        <v>NMC111</v>
      </c>
      <c r="BB26" s="303" t="str">
        <f>'0_Total'!BB13</f>
        <v>NMC111</v>
      </c>
      <c r="BC26" s="303">
        <f>'0_Total'!BC13</f>
        <v>0</v>
      </c>
      <c r="BD26" s="303">
        <f>'0_Total'!BD13</f>
        <v>0</v>
      </c>
      <c r="BE26" s="303">
        <f>'0_Total'!BE13</f>
        <v>0</v>
      </c>
      <c r="BF26" s="303">
        <f>'0_Total'!BF13</f>
        <v>0</v>
      </c>
      <c r="BG26" s="303">
        <f>'0_Total'!BG13</f>
        <v>0</v>
      </c>
      <c r="BH26" s="303">
        <f>'0_Total'!BH13</f>
        <v>0</v>
      </c>
      <c r="BI26" s="303">
        <f>'0_Total'!BI13</f>
        <v>0</v>
      </c>
      <c r="BJ26" s="303" t="str">
        <f>'0_Total'!BJ13</f>
        <v>NMC111</v>
      </c>
      <c r="BK26" s="303" t="str">
        <f>'0_Total'!BK13</f>
        <v>NMC111</v>
      </c>
      <c r="BL26" s="303" t="str">
        <f>'0_Total'!BL13</f>
        <v>NMC111</v>
      </c>
      <c r="BM26" s="303" t="str">
        <f>'0_Total'!BM13</f>
        <v>NMC111</v>
      </c>
      <c r="BN26" s="303" t="str">
        <f>'0_Total'!BN13</f>
        <v>NMC111</v>
      </c>
      <c r="BO26" s="303" t="str">
        <f>'0_Total'!BO13</f>
        <v>NMC111</v>
      </c>
      <c r="BP26" s="303" t="str">
        <f>'0_Total'!BP13</f>
        <v>NMC111</v>
      </c>
      <c r="BQ26" s="303" t="str">
        <f>'0_Total'!BQ13</f>
        <v>NMC111</v>
      </c>
      <c r="BR26" s="303" t="str">
        <f>'0_Total'!BR13</f>
        <v>NMC111</v>
      </c>
      <c r="BS26" s="303" t="str">
        <f>'0_Total'!BS13</f>
        <v>NMC111</v>
      </c>
      <c r="BT26" s="303" t="str">
        <f>'0_Total'!BT13</f>
        <v>NMC111</v>
      </c>
      <c r="BU26" s="303" t="str">
        <f>'0_Total'!BU13</f>
        <v>NMC111</v>
      </c>
      <c r="BV26" s="303" t="str">
        <f>'0_Total'!BV13</f>
        <v>NMC111</v>
      </c>
      <c r="BW26" s="303" t="str">
        <f>'0_Total'!BW13</f>
        <v>NMC111</v>
      </c>
      <c r="BX26" s="303" t="str">
        <f>'0_Total'!BX13</f>
        <v>NMC111</v>
      </c>
      <c r="BY26" s="303" t="str">
        <f>'0_Total'!BY13</f>
        <v>NMC111</v>
      </c>
      <c r="BZ26" s="303" t="str">
        <f>'0_Total'!BZ13</f>
        <v>NMC111</v>
      </c>
      <c r="CA26" s="303" t="str">
        <f>'0_Total'!CA13</f>
        <v>NMC111</v>
      </c>
      <c r="CB26" s="303" t="str">
        <f>'0_Total'!CB13</f>
        <v>NMC111</v>
      </c>
      <c r="CC26" s="303" t="str">
        <f>'0_Total'!CC13</f>
        <v>NMC111</v>
      </c>
      <c r="CD26" s="303" t="str">
        <f>'0_Total'!CD13</f>
        <v>NMC111</v>
      </c>
      <c r="CE26" s="303" t="str">
        <f>'0_Total'!CD13</f>
        <v>NMC111</v>
      </c>
      <c r="CF26" s="303" t="str">
        <f>'0_Total'!CF13</f>
        <v>NMC111</v>
      </c>
      <c r="CG26" s="303" t="str">
        <f>'0_Total'!CG13</f>
        <v>NMC111</v>
      </c>
      <c r="CH26" s="303">
        <f>'0_Total'!CH13</f>
        <v>0</v>
      </c>
      <c r="CI26" s="303" t="str">
        <f>'0_Total'!CI13</f>
        <v>NMC111</v>
      </c>
      <c r="CJ26" s="303" t="str">
        <f>'0_Total'!CJ13</f>
        <v>NMC111</v>
      </c>
      <c r="CK26" s="303" t="str">
        <f>'0_Total'!CK13</f>
        <v>NMC111</v>
      </c>
      <c r="CL26" s="303" t="str">
        <f>'0_Total'!CL13</f>
        <v>NMC111</v>
      </c>
      <c r="CM26" s="303" t="str">
        <f>'0_Total'!CM13</f>
        <v>NMC111</v>
      </c>
      <c r="CN26" s="303">
        <f>'0_Total'!CN13</f>
        <v>0</v>
      </c>
      <c r="CO26" s="303" t="str">
        <f>'0_Total'!CO13</f>
        <v>NMC111</v>
      </c>
      <c r="CP26" s="303" t="str">
        <f>'0_Total'!CP13</f>
        <v>NMC111</v>
      </c>
      <c r="CQ26" s="303" t="str">
        <f>'0_Total'!CQ13</f>
        <v>NMC111</v>
      </c>
      <c r="CR26" s="303" t="str">
        <f>'0_Total'!CR13</f>
        <v>NMC111</v>
      </c>
      <c r="CS26" s="303">
        <f>'0_Total'!CS13</f>
        <v>0</v>
      </c>
      <c r="CT26" s="303" t="str">
        <f>'0_Total'!CT13</f>
        <v>NMC111</v>
      </c>
      <c r="CU26" s="303" t="str">
        <f>'0_Total'!CU13</f>
        <v>NMC111</v>
      </c>
      <c r="CV26" s="303" t="str">
        <f>'0_Total'!CV13</f>
        <v>NMC111</v>
      </c>
      <c r="CW26" s="303" t="str">
        <f>'0_Total'!CW13</f>
        <v>NMC111</v>
      </c>
      <c r="CX26" s="303" t="str">
        <f>'0_Total'!CX13</f>
        <v>NMC111</v>
      </c>
      <c r="CY26" s="303">
        <f>'0_Total'!CY13</f>
        <v>0</v>
      </c>
      <c r="CZ26" s="303" t="str">
        <f>'0_Total'!CZ13</f>
        <v>NMC111</v>
      </c>
      <c r="DA26" s="303" t="str">
        <f>'0_Total'!DA13</f>
        <v>NMC111</v>
      </c>
      <c r="DB26" s="303" t="str">
        <f>'0_Total'!DB13</f>
        <v>NMC111</v>
      </c>
      <c r="DC26" s="303" t="str">
        <f>'0_Total'!DC13</f>
        <v>NMC111</v>
      </c>
      <c r="DD26" s="303" t="str">
        <f>'0_Total'!DD13</f>
        <v>NMC111</v>
      </c>
      <c r="DE26" s="303">
        <f>'0_Total'!DE13</f>
        <v>0</v>
      </c>
      <c r="DF26" s="303" t="str">
        <f>'0_Total'!DF13</f>
        <v>NMC111</v>
      </c>
      <c r="DG26" s="303"/>
      <c r="DH26" s="303" t="str">
        <f>'0_Total'!DH13</f>
        <v>NMC111</v>
      </c>
      <c r="DI26" s="303" t="str">
        <f>'0_Total'!DI13</f>
        <v>NMC111</v>
      </c>
      <c r="DJ26" s="303" t="str">
        <f>'0_Total'!DJ13</f>
        <v>NMC111</v>
      </c>
      <c r="DK26" s="303">
        <f>'0_Total'!DK13</f>
        <v>0</v>
      </c>
      <c r="DL26" s="303">
        <f>'0_Total'!DL13</f>
        <v>0</v>
      </c>
      <c r="DM26" s="303">
        <f>'0_Total'!DM13</f>
        <v>0</v>
      </c>
      <c r="DN26" s="303">
        <f>'0_Total'!DN13</f>
        <v>0</v>
      </c>
      <c r="DO26" s="303">
        <f>'0_Total'!DO13</f>
        <v>0</v>
      </c>
      <c r="DP26" s="303">
        <f>'0_Total'!DP13</f>
        <v>0</v>
      </c>
      <c r="DQ26" s="303">
        <f>'0_Total'!DQ13</f>
        <v>0</v>
      </c>
      <c r="DR26" s="303" t="str">
        <f>'0_Total'!DR13</f>
        <v>LFP: solid state</v>
      </c>
      <c r="DS26" s="303" t="str">
        <f>'0_Total'!DS13</f>
        <v>LFP: solid state</v>
      </c>
      <c r="DT26" s="303" t="str">
        <f>'0_Total'!DT13</f>
        <v>LFP: solid state</v>
      </c>
      <c r="DU26" s="303" t="str">
        <f>'0_Total'!DU13</f>
        <v>LFP: solid state</v>
      </c>
      <c r="DV26" s="303" t="str">
        <f>'0_Total'!DV13</f>
        <v>LFP: solid state</v>
      </c>
      <c r="DW26" s="303" t="str">
        <f>'0_Total'!DW13</f>
        <v>LFP: solid state</v>
      </c>
      <c r="DX26" s="303">
        <f>'0_Total'!DX13</f>
        <v>0</v>
      </c>
      <c r="DY26" s="303">
        <f>'0_Total'!DY13</f>
        <v>0</v>
      </c>
      <c r="DZ26" s="303">
        <f>'0_Total'!DZ13</f>
        <v>0</v>
      </c>
      <c r="EA26" s="303">
        <f>'0_Total'!EA13</f>
        <v>0</v>
      </c>
      <c r="EB26" s="303">
        <f>'0_Total'!EB13</f>
        <v>0</v>
      </c>
      <c r="EC26" s="303">
        <f>'0_Total'!EC13</f>
        <v>0</v>
      </c>
      <c r="ED26" s="303">
        <f>'0_Total'!ED13</f>
        <v>0</v>
      </c>
      <c r="EH26" s="21" t="s">
        <v>924</v>
      </c>
      <c r="EI26" s="21" t="s">
        <v>154</v>
      </c>
      <c r="EJ26" s="21" t="s">
        <v>124</v>
      </c>
      <c r="EK26" s="21" t="s">
        <v>155</v>
      </c>
      <c r="EL26" s="21" t="s">
        <v>156</v>
      </c>
      <c r="EM26" s="21" t="s">
        <v>157</v>
      </c>
      <c r="EN26" s="21" t="s">
        <v>158</v>
      </c>
      <c r="EO26" s="21" t="s">
        <v>159</v>
      </c>
      <c r="EP26" s="21" t="s">
        <v>160</v>
      </c>
      <c r="EQ26" s="21" t="s">
        <v>161</v>
      </c>
    </row>
    <row r="28" spans="1:147" x14ac:dyDescent="0.3">
      <c r="A28" s="21" t="s">
        <v>168</v>
      </c>
      <c r="B28" s="21" t="s">
        <v>166</v>
      </c>
      <c r="EF28" s="21" t="s">
        <v>82</v>
      </c>
      <c r="EH28" s="21" t="str">
        <f>EH66</f>
        <v>Chemistry</v>
      </c>
      <c r="EI28" s="21" t="str">
        <f>[5]Vehi_Inputs!N$115</f>
        <v>LMO</v>
      </c>
      <c r="EJ28" s="21" t="str">
        <f>[5]Vehi_Inputs!O$115</f>
        <v>NMC111</v>
      </c>
      <c r="EK28" s="21" t="str">
        <f>EK26</f>
        <v>LFP: hydrothermal</v>
      </c>
      <c r="EL28" s="21" t="str">
        <f>EL26</f>
        <v>LFP: solid state</v>
      </c>
      <c r="EM28" s="21" t="str">
        <f>[5]Vehi_Inputs!Q$115</f>
        <v>NMC622</v>
      </c>
      <c r="EN28" s="21" t="str">
        <f>[5]Vehi_Inputs!R$115</f>
        <v>NMC811</v>
      </c>
      <c r="EO28" s="21" t="str">
        <f>[5]Vehi_Inputs!S$115</f>
        <v>LMR-NMC:Gr</v>
      </c>
      <c r="EP28" s="21" t="str">
        <f>[5]Vehi_Inputs!T$115</f>
        <v>LMR-NMC:Gr-SI</v>
      </c>
      <c r="EQ28" s="21" t="str">
        <f>[5]Vehi_Inputs!U$115</f>
        <v>NCA</v>
      </c>
    </row>
    <row r="29" spans="1:147" x14ac:dyDescent="0.3">
      <c r="A29" s="21" t="s">
        <v>167</v>
      </c>
      <c r="D29" s="73">
        <f t="shared" ref="D29:AA29" si="35">HLOOKUP(D$26,$EI$28:$EQ$29,ROW($EH$29)-ROW($EH$28)+1,FALSE)</f>
        <v>0.14262303541417382</v>
      </c>
      <c r="E29" s="73">
        <f t="shared" si="35"/>
        <v>0.14262303541417382</v>
      </c>
      <c r="F29" s="73">
        <f t="shared" si="35"/>
        <v>0.14262303541417382</v>
      </c>
      <c r="G29" s="73">
        <f t="shared" si="35"/>
        <v>0.14262303541417382</v>
      </c>
      <c r="H29" s="73">
        <f t="shared" si="35"/>
        <v>0.14262303541417382</v>
      </c>
      <c r="I29" s="73">
        <f t="shared" si="35"/>
        <v>0.14262303541417382</v>
      </c>
      <c r="J29" s="73">
        <f t="shared" si="35"/>
        <v>0.14262303541417382</v>
      </c>
      <c r="K29" s="73">
        <f t="shared" si="35"/>
        <v>0.14262303541417382</v>
      </c>
      <c r="L29" s="73">
        <f t="shared" si="35"/>
        <v>0.14262303541417382</v>
      </c>
      <c r="M29" s="73">
        <f t="shared" si="35"/>
        <v>0.14262303541417382</v>
      </c>
      <c r="N29" s="73">
        <f t="shared" si="35"/>
        <v>0.14262303541417382</v>
      </c>
      <c r="O29" s="73">
        <f t="shared" si="35"/>
        <v>0.14262303541417382</v>
      </c>
      <c r="P29" s="73">
        <f t="shared" si="35"/>
        <v>0.14262303541417382</v>
      </c>
      <c r="Q29" s="73">
        <f t="shared" si="35"/>
        <v>0.14262303541417382</v>
      </c>
      <c r="R29" s="73">
        <f t="shared" si="35"/>
        <v>0.14262303541417382</v>
      </c>
      <c r="S29" s="73">
        <f t="shared" si="35"/>
        <v>0.14262303541417382</v>
      </c>
      <c r="T29" s="73">
        <f t="shared" si="35"/>
        <v>0.14262303541417382</v>
      </c>
      <c r="U29" s="73">
        <f t="shared" si="35"/>
        <v>0.14262303541417382</v>
      </c>
      <c r="V29" s="73">
        <f t="shared" si="35"/>
        <v>0.14262303541417382</v>
      </c>
      <c r="W29" s="73">
        <f t="shared" si="35"/>
        <v>0.14262303541417382</v>
      </c>
      <c r="X29" s="73">
        <f t="shared" si="35"/>
        <v>0.14262303541417382</v>
      </c>
      <c r="Y29" s="73">
        <f t="shared" si="35"/>
        <v>0.14262303541417382</v>
      </c>
      <c r="Z29" s="73">
        <f t="shared" si="35"/>
        <v>0.14262303541417382</v>
      </c>
      <c r="AA29" s="73">
        <f t="shared" si="35"/>
        <v>0.14262303541417382</v>
      </c>
      <c r="AB29" s="73">
        <f t="shared" ref="AB29:AD29" si="36">HLOOKUP(AB$26,$EI$28:$EQ$29,ROW($EH$29)-ROW($EH$28)+1,FALSE)</f>
        <v>0.14262303541417382</v>
      </c>
      <c r="AC29" s="73">
        <f t="shared" si="36"/>
        <v>0.14262303541417382</v>
      </c>
      <c r="AD29" s="73">
        <f t="shared" si="36"/>
        <v>0.14262303541417382</v>
      </c>
      <c r="AE29" s="73">
        <f t="shared" ref="AE29:BJ29" si="37">HLOOKUP(AE$26,$EI$28:$EQ$29,ROW($EH$29)-ROW($EH$28)+1,FALSE)</f>
        <v>0.14262303541417382</v>
      </c>
      <c r="AF29" s="73">
        <f t="shared" si="37"/>
        <v>0.14262303541417382</v>
      </c>
      <c r="AG29" s="73" t="e">
        <f t="shared" si="37"/>
        <v>#N/A</v>
      </c>
      <c r="AH29" s="73">
        <f t="shared" si="37"/>
        <v>0.14262303541417382</v>
      </c>
      <c r="AI29" s="73" t="e">
        <f t="shared" si="37"/>
        <v>#N/A</v>
      </c>
      <c r="AJ29" s="73">
        <f t="shared" si="37"/>
        <v>0.14262303541417382</v>
      </c>
      <c r="AK29" s="73" t="e">
        <f t="shared" si="37"/>
        <v>#N/A</v>
      </c>
      <c r="AL29" s="73">
        <f t="shared" si="37"/>
        <v>0.14262303541417382</v>
      </c>
      <c r="AM29" s="73" t="e">
        <f t="shared" si="37"/>
        <v>#N/A</v>
      </c>
      <c r="AN29" s="73">
        <f t="shared" si="37"/>
        <v>0.14262303541417382</v>
      </c>
      <c r="AO29" s="73" t="e">
        <f t="shared" si="37"/>
        <v>#N/A</v>
      </c>
      <c r="AP29" s="73">
        <f t="shared" si="37"/>
        <v>0.14262303541417382</v>
      </c>
      <c r="AQ29" s="73">
        <f t="shared" si="37"/>
        <v>0.14262303541417382</v>
      </c>
      <c r="AR29" s="73">
        <f t="shared" si="37"/>
        <v>0.14262303541417382</v>
      </c>
      <c r="AS29" s="73">
        <f t="shared" si="37"/>
        <v>0.14262303541417382</v>
      </c>
      <c r="AT29" s="73">
        <f t="shared" si="37"/>
        <v>0.14262303541417382</v>
      </c>
      <c r="AU29" s="73">
        <f t="shared" si="37"/>
        <v>0.14262303541417382</v>
      </c>
      <c r="AV29" s="73">
        <f t="shared" si="37"/>
        <v>0.14262303541417382</v>
      </c>
      <c r="AW29" s="73">
        <f t="shared" si="37"/>
        <v>0.14262303541417382</v>
      </c>
      <c r="AX29" s="73">
        <f t="shared" si="37"/>
        <v>0.14262303541417382</v>
      </c>
      <c r="AY29" s="73">
        <f t="shared" si="37"/>
        <v>0.14262303541417382</v>
      </c>
      <c r="AZ29" s="73">
        <f t="shared" si="37"/>
        <v>0.14262303541417382</v>
      </c>
      <c r="BA29" s="73">
        <f t="shared" si="37"/>
        <v>0.14262303541417382</v>
      </c>
      <c r="BB29" s="73">
        <f t="shared" si="37"/>
        <v>0.14262303541417382</v>
      </c>
      <c r="BC29" s="73" t="e">
        <f t="shared" si="37"/>
        <v>#N/A</v>
      </c>
      <c r="BD29" s="73" t="e">
        <f t="shared" si="37"/>
        <v>#N/A</v>
      </c>
      <c r="BE29" s="73" t="e">
        <f t="shared" si="37"/>
        <v>#N/A</v>
      </c>
      <c r="BF29" s="73" t="e">
        <f t="shared" si="37"/>
        <v>#N/A</v>
      </c>
      <c r="BG29" s="73" t="e">
        <f t="shared" si="37"/>
        <v>#N/A</v>
      </c>
      <c r="BH29" s="73" t="e">
        <f t="shared" si="37"/>
        <v>#N/A</v>
      </c>
      <c r="BI29" s="73" t="e">
        <f t="shared" si="37"/>
        <v>#N/A</v>
      </c>
      <c r="BJ29" s="73">
        <f t="shared" si="37"/>
        <v>0.14262303541417382</v>
      </c>
      <c r="BK29" s="73">
        <f t="shared" ref="BK29:CP29" si="38">HLOOKUP(BK$26,$EI$28:$EQ$29,ROW($EH$29)-ROW($EH$28)+1,FALSE)</f>
        <v>0.14262303541417382</v>
      </c>
      <c r="BL29" s="73">
        <f t="shared" si="38"/>
        <v>0.14262303541417382</v>
      </c>
      <c r="BM29" s="73">
        <f t="shared" si="38"/>
        <v>0.14262303541417382</v>
      </c>
      <c r="BN29" s="73">
        <f t="shared" si="38"/>
        <v>0.14262303541417382</v>
      </c>
      <c r="BO29" s="73">
        <f t="shared" si="38"/>
        <v>0.14262303541417382</v>
      </c>
      <c r="BP29" s="73">
        <f t="shared" si="38"/>
        <v>0.14262303541417382</v>
      </c>
      <c r="BQ29" s="73">
        <f t="shared" si="38"/>
        <v>0.14262303541417382</v>
      </c>
      <c r="BR29" s="73">
        <f t="shared" si="38"/>
        <v>0.14262303541417382</v>
      </c>
      <c r="BS29" s="73">
        <f t="shared" si="38"/>
        <v>0.14262303541417382</v>
      </c>
      <c r="BT29" s="73">
        <f t="shared" si="38"/>
        <v>0.14262303541417382</v>
      </c>
      <c r="BU29" s="73">
        <f t="shared" si="38"/>
        <v>0.14262303541417382</v>
      </c>
      <c r="BV29" s="73">
        <f t="shared" si="38"/>
        <v>0.14262303541417382</v>
      </c>
      <c r="BW29" s="73">
        <f t="shared" si="38"/>
        <v>0.14262303541417382</v>
      </c>
      <c r="BX29" s="73">
        <f t="shared" si="38"/>
        <v>0.14262303541417382</v>
      </c>
      <c r="BY29" s="73">
        <f t="shared" si="38"/>
        <v>0.14262303541417382</v>
      </c>
      <c r="BZ29" s="73">
        <f t="shared" si="38"/>
        <v>0.14262303541417382</v>
      </c>
      <c r="CA29" s="73">
        <f t="shared" si="38"/>
        <v>0.14262303541417382</v>
      </c>
      <c r="CB29" s="73">
        <f t="shared" si="38"/>
        <v>0.14262303541417382</v>
      </c>
      <c r="CC29" s="73">
        <f t="shared" si="38"/>
        <v>0.14262303541417382</v>
      </c>
      <c r="CD29" s="73">
        <f t="shared" si="38"/>
        <v>0.14262303541417382</v>
      </c>
      <c r="CE29" s="73">
        <f t="shared" si="38"/>
        <v>0.14262303541417382</v>
      </c>
      <c r="CF29" s="73">
        <f t="shared" si="38"/>
        <v>0.14262303541417382</v>
      </c>
      <c r="CG29" s="73">
        <f t="shared" si="38"/>
        <v>0.14262303541417382</v>
      </c>
      <c r="CH29" s="73" t="e">
        <f t="shared" si="38"/>
        <v>#N/A</v>
      </c>
      <c r="CI29" s="73">
        <f t="shared" si="38"/>
        <v>0.14262303541417382</v>
      </c>
      <c r="CJ29" s="73">
        <f t="shared" si="38"/>
        <v>0.14262303541417382</v>
      </c>
      <c r="CK29" s="73">
        <f t="shared" si="38"/>
        <v>0.14262303541417382</v>
      </c>
      <c r="CL29" s="73">
        <f t="shared" si="38"/>
        <v>0.14262303541417382</v>
      </c>
      <c r="CM29" s="73">
        <f t="shared" si="38"/>
        <v>0.14262303541417382</v>
      </c>
      <c r="CN29" s="73" t="e">
        <f t="shared" si="38"/>
        <v>#N/A</v>
      </c>
      <c r="CO29" s="73">
        <f t="shared" si="38"/>
        <v>0.14262303541417382</v>
      </c>
      <c r="CP29" s="73">
        <f t="shared" si="38"/>
        <v>0.14262303541417382</v>
      </c>
      <c r="CQ29" s="73">
        <f t="shared" ref="CQ29:DF29" si="39">HLOOKUP(CQ$26,$EI$28:$EQ$29,ROW($EH$29)-ROW($EH$28)+1,FALSE)</f>
        <v>0.14262303541417382</v>
      </c>
      <c r="CR29" s="73">
        <f t="shared" si="39"/>
        <v>0.14262303541417382</v>
      </c>
      <c r="CS29" s="73" t="e">
        <f t="shared" si="39"/>
        <v>#N/A</v>
      </c>
      <c r="CT29" s="73">
        <f t="shared" si="39"/>
        <v>0.14262303541417382</v>
      </c>
      <c r="CU29" s="73">
        <f t="shared" si="39"/>
        <v>0.14262303541417382</v>
      </c>
      <c r="CV29" s="73">
        <f t="shared" si="39"/>
        <v>0.14262303541417382</v>
      </c>
      <c r="CW29" s="73">
        <f t="shared" si="39"/>
        <v>0.14262303541417382</v>
      </c>
      <c r="CX29" s="73">
        <f t="shared" si="39"/>
        <v>0.14262303541417382</v>
      </c>
      <c r="CY29" s="73" t="e">
        <f t="shared" si="39"/>
        <v>#N/A</v>
      </c>
      <c r="CZ29" s="73">
        <f t="shared" si="39"/>
        <v>0.14262303541417382</v>
      </c>
      <c r="DA29" s="73">
        <f t="shared" si="39"/>
        <v>0.14262303541417382</v>
      </c>
      <c r="DB29" s="73">
        <f t="shared" si="39"/>
        <v>0.14262303541417382</v>
      </c>
      <c r="DC29" s="73">
        <f t="shared" si="39"/>
        <v>0.14262303541417382</v>
      </c>
      <c r="DD29" s="73">
        <f t="shared" si="39"/>
        <v>0.14262303541417382</v>
      </c>
      <c r="DE29" s="73" t="e">
        <f t="shared" si="39"/>
        <v>#N/A</v>
      </c>
      <c r="DF29" s="73">
        <f t="shared" si="39"/>
        <v>0.14262303541417382</v>
      </c>
      <c r="DG29" s="73"/>
      <c r="DH29" s="73">
        <f t="shared" ref="DH29:DW29" si="40">HLOOKUP(DH$26,$EI$28:$EQ$29,ROW($EH$29)-ROW($EH$28)+1,FALSE)</f>
        <v>0.14262303541417382</v>
      </c>
      <c r="DI29" s="73">
        <f t="shared" si="40"/>
        <v>0.14262303541417382</v>
      </c>
      <c r="DJ29" s="73">
        <f t="shared" si="40"/>
        <v>0.14262303541417382</v>
      </c>
      <c r="DK29" s="73" t="e">
        <f t="shared" si="40"/>
        <v>#N/A</v>
      </c>
      <c r="DL29" s="73" t="e">
        <f t="shared" si="40"/>
        <v>#N/A</v>
      </c>
      <c r="DM29" s="73" t="e">
        <f t="shared" si="40"/>
        <v>#N/A</v>
      </c>
      <c r="DN29" s="73" t="e">
        <f t="shared" si="40"/>
        <v>#N/A</v>
      </c>
      <c r="DO29" s="73" t="e">
        <f t="shared" si="40"/>
        <v>#N/A</v>
      </c>
      <c r="DP29" s="73" t="e">
        <f t="shared" si="40"/>
        <v>#N/A</v>
      </c>
      <c r="DQ29" s="73" t="e">
        <f t="shared" si="40"/>
        <v>#N/A</v>
      </c>
      <c r="DR29" s="73">
        <f t="shared" si="40"/>
        <v>0.11591337982671381</v>
      </c>
      <c r="DS29" s="73">
        <f t="shared" si="40"/>
        <v>0.11591337982671381</v>
      </c>
      <c r="DT29" s="73">
        <f t="shared" si="40"/>
        <v>0.11591337982671381</v>
      </c>
      <c r="DU29" s="73">
        <f t="shared" si="40"/>
        <v>0.11591337982671381</v>
      </c>
      <c r="DV29" s="73">
        <f t="shared" si="40"/>
        <v>0.11591337982671381</v>
      </c>
      <c r="DW29" s="73">
        <f t="shared" si="40"/>
        <v>0.11591337982671381</v>
      </c>
      <c r="DX29" s="73" t="e">
        <f t="shared" ref="DX29:EC29" si="41">HLOOKUP(DX$26,$EI$28:$EQ$29,ROW($EH$29)-ROW($EH$28)+1,FALSE)</f>
        <v>#N/A</v>
      </c>
      <c r="DY29" s="73" t="e">
        <f t="shared" si="41"/>
        <v>#N/A</v>
      </c>
      <c r="DZ29" s="73" t="e">
        <f t="shared" si="41"/>
        <v>#N/A</v>
      </c>
      <c r="EA29" s="73" t="e">
        <f t="shared" si="41"/>
        <v>#N/A</v>
      </c>
      <c r="EB29" s="73" t="e">
        <f t="shared" si="41"/>
        <v>#N/A</v>
      </c>
      <c r="EC29" s="73" t="e">
        <f t="shared" si="41"/>
        <v>#N/A</v>
      </c>
      <c r="ED29" s="73" t="e">
        <f>HLOOKUP(ED$26,$EI$28:$EQ$29,ROW($EH$29)-ROW($EH$28)+1,FALSE)</f>
        <v>#N/A</v>
      </c>
      <c r="EF29" s="62" t="s">
        <v>148</v>
      </c>
      <c r="EH29" s="21" t="str">
        <f>A28&amp;" "&amp;B28</f>
        <v>Battery specifc energy [kWh/kg]</v>
      </c>
      <c r="EI29" s="62">
        <f>[5]Vehi_Inputs!N$116/1000</f>
        <v>0.12123932196229183</v>
      </c>
      <c r="EJ29" s="62">
        <f>[5]Vehi_Inputs!O$116/1000</f>
        <v>0.14262303541417382</v>
      </c>
      <c r="EK29" s="62">
        <f>[5]Vehi_Inputs!P$116/1000</f>
        <v>0.11591337982671381</v>
      </c>
      <c r="EL29" s="302">
        <f>EK29</f>
        <v>0.11591337982671381</v>
      </c>
      <c r="EM29" s="62">
        <f>[5]Vehi_Inputs!Q$116/1000</f>
        <v>0.15504780647427463</v>
      </c>
      <c r="EN29" s="62">
        <f>[5]Vehi_Inputs!R$116/1000</f>
        <v>0.14922041422599697</v>
      </c>
      <c r="EO29" s="62">
        <f>[5]Vehi_Inputs!S$116/1000</f>
        <v>0.17499999999999999</v>
      </c>
      <c r="EP29" s="62">
        <f>[5]Vehi_Inputs!T$116/1000</f>
        <v>0.2</v>
      </c>
      <c r="EQ29" s="62">
        <f>[5]Vehi_Inputs!U$116/1000</f>
        <v>0.15857163037285157</v>
      </c>
    </row>
    <row r="31" spans="1:147" x14ac:dyDescent="0.3">
      <c r="A31" s="21" t="s">
        <v>123</v>
      </c>
      <c r="B31" s="21" t="s">
        <v>79</v>
      </c>
      <c r="D31" s="90">
        <f t="shared" ref="D31:R31" si="42">D4/D29</f>
        <v>2.31379173106005</v>
      </c>
      <c r="E31" s="90">
        <f t="shared" si="42"/>
        <v>2.31379173106005</v>
      </c>
      <c r="F31" s="90">
        <f t="shared" si="42"/>
        <v>2.31379173106005</v>
      </c>
      <c r="G31" s="90">
        <f t="shared" si="42"/>
        <v>2.31379173106005</v>
      </c>
      <c r="H31" s="90">
        <f t="shared" si="42"/>
        <v>2.31379173106005</v>
      </c>
      <c r="I31" s="90">
        <f t="shared" ref="I31" si="43">I4/I29</f>
        <v>2.31379173106005</v>
      </c>
      <c r="J31" s="90">
        <f t="shared" si="42"/>
        <v>2.31379173106005</v>
      </c>
      <c r="K31" s="90">
        <f t="shared" si="42"/>
        <v>2.31379173106005</v>
      </c>
      <c r="L31" s="90">
        <f t="shared" si="42"/>
        <v>2.31379173106005</v>
      </c>
      <c r="M31" s="90">
        <f t="shared" si="42"/>
        <v>2.31379173106005</v>
      </c>
      <c r="N31" s="90">
        <f t="shared" si="42"/>
        <v>2.31379173106005</v>
      </c>
      <c r="O31" s="90">
        <f t="shared" si="42"/>
        <v>2.31379173106005</v>
      </c>
      <c r="P31" s="90">
        <f t="shared" si="42"/>
        <v>2.31379173106005</v>
      </c>
      <c r="Q31" s="90">
        <f t="shared" si="42"/>
        <v>1.7353437982950373</v>
      </c>
      <c r="R31" s="90">
        <f t="shared" si="42"/>
        <v>2.8922396638250625</v>
      </c>
      <c r="S31" s="90">
        <f t="shared" ref="S31:AF31" si="44">S4/S29</f>
        <v>2.31379173106005</v>
      </c>
      <c r="T31" s="90">
        <f t="shared" si="44"/>
        <v>2.31379173106005</v>
      </c>
      <c r="U31" s="90">
        <f t="shared" si="44"/>
        <v>2.31379173106005</v>
      </c>
      <c r="V31" s="90">
        <f t="shared" si="44"/>
        <v>2.31379173106005</v>
      </c>
      <c r="W31" s="90">
        <f t="shared" si="44"/>
        <v>2.31379173106005</v>
      </c>
      <c r="X31" s="90">
        <f t="shared" ref="X31:Y31" si="45">X4/X29</f>
        <v>3.8633310418608713</v>
      </c>
      <c r="Y31" s="90">
        <f t="shared" si="45"/>
        <v>3.8633310418608713</v>
      </c>
      <c r="Z31" s="90">
        <f t="shared" si="44"/>
        <v>3.8633310418608713</v>
      </c>
      <c r="AA31" s="90">
        <f t="shared" ref="AA31" si="46">AA4/AA29</f>
        <v>3.8633310418608713</v>
      </c>
      <c r="AB31" s="90">
        <f t="shared" ref="AB31:AC31" si="47">AB4/AB29</f>
        <v>3.8633310418608713</v>
      </c>
      <c r="AC31" s="90">
        <f t="shared" si="47"/>
        <v>3.8633310418608713</v>
      </c>
      <c r="AD31" s="90">
        <f t="shared" ref="AD31" si="48">AD4/AD29</f>
        <v>3.8633310418608713</v>
      </c>
      <c r="AE31" s="90">
        <f t="shared" ref="AE31" si="49">AE4/AE29</f>
        <v>3.8633310418608713</v>
      </c>
      <c r="AF31" s="90">
        <f t="shared" si="44"/>
        <v>2.31379173106005</v>
      </c>
      <c r="AG31" s="90" t="e">
        <f t="shared" ref="AG31:BT31" si="50">AG4/AG29</f>
        <v>#N/A</v>
      </c>
      <c r="AH31" s="90">
        <f t="shared" si="50"/>
        <v>3.3885667194602971</v>
      </c>
      <c r="AI31" s="90" t="e">
        <f t="shared" si="50"/>
        <v>#N/A</v>
      </c>
      <c r="AJ31" s="90">
        <f t="shared" si="50"/>
        <v>3.3885667194602971</v>
      </c>
      <c r="AK31" s="90" t="e">
        <f t="shared" si="50"/>
        <v>#N/A</v>
      </c>
      <c r="AL31" s="90">
        <f t="shared" si="50"/>
        <v>9.1149371223577713</v>
      </c>
      <c r="AM31" s="90" t="e">
        <f t="shared" si="50"/>
        <v>#N/A</v>
      </c>
      <c r="AN31" s="90">
        <f t="shared" si="50"/>
        <v>18.229874244715543</v>
      </c>
      <c r="AO31" s="90" t="e">
        <f t="shared" si="50"/>
        <v>#N/A</v>
      </c>
      <c r="AP31" s="90">
        <f t="shared" si="50"/>
        <v>15.012371787432143</v>
      </c>
      <c r="AQ31" s="90">
        <f t="shared" si="50"/>
        <v>107.08913855077115</v>
      </c>
      <c r="AR31" s="90">
        <f t="shared" si="50"/>
        <v>420.68940564728177</v>
      </c>
      <c r="AS31" s="90">
        <f t="shared" si="50"/>
        <v>420.68940564728177</v>
      </c>
      <c r="AT31" s="90">
        <f t="shared" si="50"/>
        <v>420.68940564728177</v>
      </c>
      <c r="AU31" s="90">
        <f t="shared" si="50"/>
        <v>420.68940564728177</v>
      </c>
      <c r="AV31" s="90">
        <f t="shared" si="50"/>
        <v>315.51705423546133</v>
      </c>
      <c r="AW31" s="90">
        <f t="shared" si="50"/>
        <v>525.86175705910216</v>
      </c>
      <c r="AX31" s="90">
        <f t="shared" si="50"/>
        <v>420.68940564728177</v>
      </c>
      <c r="AY31" s="90">
        <f t="shared" si="50"/>
        <v>15.012371787432143</v>
      </c>
      <c r="AZ31" s="90">
        <f t="shared" si="50"/>
        <v>15.012371787432143</v>
      </c>
      <c r="BA31" s="90">
        <f t="shared" si="50"/>
        <v>15.012371787432143</v>
      </c>
      <c r="BB31" s="90">
        <f t="shared" si="50"/>
        <v>15.012371787432143</v>
      </c>
      <c r="BC31" s="90" t="e">
        <f t="shared" si="50"/>
        <v>#N/A</v>
      </c>
      <c r="BD31" s="90" t="e">
        <f t="shared" si="50"/>
        <v>#N/A</v>
      </c>
      <c r="BE31" s="90" t="e">
        <f t="shared" si="50"/>
        <v>#N/A</v>
      </c>
      <c r="BF31" s="90" t="e">
        <f t="shared" si="50"/>
        <v>#N/A</v>
      </c>
      <c r="BG31" s="90" t="e">
        <f t="shared" si="50"/>
        <v>#N/A</v>
      </c>
      <c r="BH31" s="90" t="e">
        <f t="shared" si="50"/>
        <v>#N/A</v>
      </c>
      <c r="BI31" s="90" t="e">
        <f t="shared" si="50"/>
        <v>#N/A</v>
      </c>
      <c r="BJ31" s="90">
        <f t="shared" si="50"/>
        <v>15.012371787432143</v>
      </c>
      <c r="BK31" s="90">
        <f t="shared" si="50"/>
        <v>107.08913855077115</v>
      </c>
      <c r="BL31" s="90">
        <f t="shared" si="50"/>
        <v>490.80430658849536</v>
      </c>
      <c r="BM31" s="90">
        <f t="shared" si="50"/>
        <v>490.80430658849536</v>
      </c>
      <c r="BN31" s="90">
        <f t="shared" si="50"/>
        <v>490.80430658849536</v>
      </c>
      <c r="BO31" s="90">
        <f t="shared" si="50"/>
        <v>490.80430658849536</v>
      </c>
      <c r="BP31" s="90">
        <f t="shared" si="50"/>
        <v>490.80430658849536</v>
      </c>
      <c r="BQ31" s="90">
        <f t="shared" si="50"/>
        <v>490.80430658849536</v>
      </c>
      <c r="BR31" s="90">
        <f t="shared" si="50"/>
        <v>368.10322994137152</v>
      </c>
      <c r="BS31" s="90">
        <f t="shared" si="50"/>
        <v>613.50538323561921</v>
      </c>
      <c r="BT31" s="90">
        <f t="shared" si="50"/>
        <v>490.80430658849536</v>
      </c>
      <c r="BU31" s="90">
        <f t="shared" ref="BU31:CC31" si="51">BU4/BU29</f>
        <v>981.60861317699073</v>
      </c>
      <c r="BV31" s="90">
        <f t="shared" si="51"/>
        <v>981.60861317699073</v>
      </c>
      <c r="BW31" s="90">
        <f t="shared" si="51"/>
        <v>981.60861317699073</v>
      </c>
      <c r="BX31" s="90">
        <f t="shared" si="51"/>
        <v>981.60861317699073</v>
      </c>
      <c r="BY31" s="90">
        <f t="shared" si="51"/>
        <v>981.60861317699073</v>
      </c>
      <c r="BZ31" s="90">
        <f t="shared" si="51"/>
        <v>981.60861317699073</v>
      </c>
      <c r="CA31" s="90">
        <f t="shared" si="51"/>
        <v>736.20645988274305</v>
      </c>
      <c r="CB31" s="90">
        <f t="shared" si="51"/>
        <v>1227.0107664712384</v>
      </c>
      <c r="CC31" s="90">
        <f t="shared" si="51"/>
        <v>981.60861317699073</v>
      </c>
      <c r="CD31" s="90">
        <f t="shared" ref="CD31:DF31" si="52">CD4/CD29</f>
        <v>15.012371787432143</v>
      </c>
      <c r="CE31" s="90">
        <f t="shared" si="52"/>
        <v>15.012371787432143</v>
      </c>
      <c r="CF31" s="90">
        <f t="shared" si="52"/>
        <v>15.012371787432143</v>
      </c>
      <c r="CG31" s="90">
        <f t="shared" si="52"/>
        <v>15.012371787432143</v>
      </c>
      <c r="CH31" s="90" t="e">
        <f t="shared" si="52"/>
        <v>#N/A</v>
      </c>
      <c r="CI31" s="90">
        <f t="shared" si="52"/>
        <v>15.012371787432143</v>
      </c>
      <c r="CJ31" s="90">
        <f t="shared" si="52"/>
        <v>107.08913855077115</v>
      </c>
      <c r="CK31" s="90">
        <f t="shared" si="52"/>
        <v>490.80430658849536</v>
      </c>
      <c r="CL31" s="90">
        <f t="shared" si="52"/>
        <v>981.60861317699073</v>
      </c>
      <c r="CM31" s="90">
        <f t="shared" si="52"/>
        <v>15.012371787432143</v>
      </c>
      <c r="CN31" s="90" t="e">
        <f t="shared" si="52"/>
        <v>#N/A</v>
      </c>
      <c r="CO31" s="90">
        <f t="shared" si="52"/>
        <v>21.128523256385979</v>
      </c>
      <c r="CP31" s="90">
        <f t="shared" si="52"/>
        <v>112.575618581961</v>
      </c>
      <c r="CQ31" s="90">
        <f t="shared" si="52"/>
        <v>420.68940564728177</v>
      </c>
      <c r="CR31" s="90">
        <f t="shared" si="52"/>
        <v>21.128523256385979</v>
      </c>
      <c r="CS31" s="90" t="e">
        <f t="shared" si="52"/>
        <v>#N/A</v>
      </c>
      <c r="CT31" s="90">
        <f t="shared" si="52"/>
        <v>21.128523256385979</v>
      </c>
      <c r="CU31" s="90">
        <f t="shared" si="52"/>
        <v>112.575618581961</v>
      </c>
      <c r="CV31" s="90">
        <f t="shared" si="52"/>
        <v>490.80430658849536</v>
      </c>
      <c r="CW31" s="90">
        <f t="shared" si="52"/>
        <v>981.60861317699073</v>
      </c>
      <c r="CX31" s="90">
        <f t="shared" si="52"/>
        <v>21.128523256385979</v>
      </c>
      <c r="CY31" s="90" t="e">
        <f t="shared" si="52"/>
        <v>#N/A</v>
      </c>
      <c r="CZ31" s="90">
        <f t="shared" si="52"/>
        <v>21.128523256385979</v>
      </c>
      <c r="DA31" s="90">
        <f t="shared" si="52"/>
        <v>112.575618581961</v>
      </c>
      <c r="DB31" s="90">
        <f t="shared" si="52"/>
        <v>490.80430658849536</v>
      </c>
      <c r="DC31" s="90">
        <f t="shared" si="52"/>
        <v>981.60861317699073</v>
      </c>
      <c r="DD31" s="90">
        <f t="shared" si="52"/>
        <v>21.128523256385979</v>
      </c>
      <c r="DE31" s="90" t="e">
        <f t="shared" si="52"/>
        <v>#N/A</v>
      </c>
      <c r="DF31" s="90">
        <f t="shared" si="52"/>
        <v>45.277697826324491</v>
      </c>
      <c r="DG31" s="90"/>
      <c r="DH31" s="90">
        <f>DH4/DH29</f>
        <v>1051.7235141182043</v>
      </c>
      <c r="DI31" s="90">
        <f>DI4/DI29</f>
        <v>2103.4470282364086</v>
      </c>
      <c r="DJ31" s="90">
        <f>DJ4/DJ29</f>
        <v>45.277697826324491</v>
      </c>
      <c r="DK31" s="90" t="e">
        <f t="shared" ref="DK31:DP31" si="53">DK4/DK29</f>
        <v>#N/A</v>
      </c>
      <c r="DL31" s="90" t="e">
        <f t="shared" si="53"/>
        <v>#N/A</v>
      </c>
      <c r="DM31" s="90" t="e">
        <f>DM4/DM29</f>
        <v>#N/A</v>
      </c>
      <c r="DN31" s="90" t="e">
        <f t="shared" si="53"/>
        <v>#N/A</v>
      </c>
      <c r="DO31" s="90" t="e">
        <f t="shared" si="53"/>
        <v>#N/A</v>
      </c>
      <c r="DP31" s="90" t="e">
        <f t="shared" si="53"/>
        <v>#N/A</v>
      </c>
      <c r="DQ31" s="90" t="e">
        <f t="shared" ref="DQ31:DW31" si="54">DQ4/DQ29</f>
        <v>#N/A</v>
      </c>
      <c r="DR31" s="90">
        <f t="shared" si="54"/>
        <v>172.54263511166059</v>
      </c>
      <c r="DS31" s="90">
        <f t="shared" si="54"/>
        <v>5607.6356411289689</v>
      </c>
      <c r="DT31" s="90">
        <f t="shared" si="54"/>
        <v>5607.6356411289689</v>
      </c>
      <c r="DU31" s="90">
        <f t="shared" si="54"/>
        <v>2803.8178205644845</v>
      </c>
      <c r="DV31" s="90">
        <f t="shared" si="54"/>
        <v>172.54263511166059</v>
      </c>
      <c r="DW31" s="90">
        <f t="shared" si="54"/>
        <v>172.54263511166059</v>
      </c>
      <c r="DX31" s="90" t="e">
        <f t="shared" ref="DX31:EC31" si="55">DX4/DX29</f>
        <v>#N/A</v>
      </c>
      <c r="DY31" s="90" t="e">
        <f t="shared" si="55"/>
        <v>#N/A</v>
      </c>
      <c r="DZ31" s="90" t="e">
        <f t="shared" si="55"/>
        <v>#N/A</v>
      </c>
      <c r="EA31" s="90" t="e">
        <f t="shared" si="55"/>
        <v>#N/A</v>
      </c>
      <c r="EB31" s="90" t="e">
        <f t="shared" si="55"/>
        <v>#N/A</v>
      </c>
      <c r="EC31" s="90" t="e">
        <f t="shared" si="55"/>
        <v>#N/A</v>
      </c>
      <c r="ED31" s="90" t="e">
        <f>ED4/ED29</f>
        <v>#N/A</v>
      </c>
    </row>
    <row r="33" spans="1:140" x14ac:dyDescent="0.3">
      <c r="A33" s="21" t="s">
        <v>162</v>
      </c>
      <c r="B33" s="21" t="s">
        <v>164</v>
      </c>
    </row>
    <row r="34" spans="1:140" x14ac:dyDescent="0.3">
      <c r="A34" s="21" t="s">
        <v>163</v>
      </c>
      <c r="D34" s="72">
        <v>0</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463">
        <f>'Tech_Spec_New Escoot'!$B$14-1</f>
        <v>0.30000000000000004</v>
      </c>
      <c r="Y34" s="463">
        <f>'Tech_Spec_New Escoot'!$B$14-1</f>
        <v>0.30000000000000004</v>
      </c>
      <c r="Z34" s="463">
        <f>'Tech_Spec_New Escoot'!$B$14-1</f>
        <v>0.30000000000000004</v>
      </c>
      <c r="AA34" s="463">
        <f>'Tech_Spec_New Escoot'!$B$14-1</f>
        <v>0.30000000000000004</v>
      </c>
      <c r="AB34" s="463">
        <f>'Tech_Spec_New Escoot'!$B$14-1</f>
        <v>0.30000000000000004</v>
      </c>
      <c r="AC34" s="463">
        <f>'Tech_Spec_New Escoot'!$B$14-1</f>
        <v>0.30000000000000004</v>
      </c>
      <c r="AD34" s="463">
        <f>'Tech_Spec_New Escoot'!$B$14-1</f>
        <v>0.30000000000000004</v>
      </c>
      <c r="AE34" s="463">
        <f>'Tech_Spec_New Escoot'!$B$14-1</f>
        <v>0.30000000000000004</v>
      </c>
      <c r="AF34" s="72">
        <v>0</v>
      </c>
      <c r="AG34" s="72">
        <v>0</v>
      </c>
      <c r="AH34" s="72">
        <v>0</v>
      </c>
      <c r="AI34" s="72">
        <v>0</v>
      </c>
      <c r="AJ34" s="92">
        <f>AE34</f>
        <v>0.30000000000000004</v>
      </c>
      <c r="AK34" s="72">
        <v>0</v>
      </c>
      <c r="AL34" s="72">
        <v>0</v>
      </c>
      <c r="AM34" s="72">
        <v>0</v>
      </c>
      <c r="AN34" s="92">
        <f>AE34</f>
        <v>0.30000000000000004</v>
      </c>
      <c r="AO34" s="72">
        <v>0</v>
      </c>
      <c r="AP34" s="72">
        <v>0</v>
      </c>
      <c r="AQ34" s="72">
        <v>0</v>
      </c>
      <c r="AR34" s="72">
        <v>0</v>
      </c>
      <c r="AS34" s="72">
        <v>0</v>
      </c>
      <c r="AT34" s="72">
        <v>0</v>
      </c>
      <c r="AU34" s="72">
        <v>0</v>
      </c>
      <c r="AV34" s="72">
        <v>0</v>
      </c>
      <c r="AW34" s="72">
        <v>0</v>
      </c>
      <c r="AX34" s="72">
        <v>0</v>
      </c>
      <c r="AY34" s="72">
        <v>0</v>
      </c>
      <c r="AZ34" s="72">
        <v>0</v>
      </c>
      <c r="BA34" s="72">
        <v>0</v>
      </c>
      <c r="BB34" s="72">
        <v>0</v>
      </c>
      <c r="BC34" s="72">
        <v>0</v>
      </c>
      <c r="BD34" s="72">
        <v>0</v>
      </c>
      <c r="BE34" s="72">
        <v>0</v>
      </c>
      <c r="BF34" s="72">
        <v>0</v>
      </c>
      <c r="BG34" s="72">
        <v>0</v>
      </c>
      <c r="BH34" s="72">
        <v>0</v>
      </c>
      <c r="BI34" s="72">
        <v>0</v>
      </c>
      <c r="BJ34" s="72">
        <v>0</v>
      </c>
      <c r="BK34" s="72">
        <v>0</v>
      </c>
      <c r="BL34" s="72">
        <v>0</v>
      </c>
      <c r="BM34" s="72">
        <v>0</v>
      </c>
      <c r="BN34" s="72">
        <v>0</v>
      </c>
      <c r="BO34" s="72">
        <v>0</v>
      </c>
      <c r="BP34" s="72">
        <v>0</v>
      </c>
      <c r="BQ34" s="72">
        <v>0</v>
      </c>
      <c r="BR34" s="72">
        <v>0</v>
      </c>
      <c r="BS34" s="72">
        <v>0</v>
      </c>
      <c r="BT34" s="72">
        <v>0</v>
      </c>
      <c r="BU34" s="72">
        <v>0</v>
      </c>
      <c r="BV34" s="72">
        <v>0</v>
      </c>
      <c r="BW34" s="72">
        <v>0</v>
      </c>
      <c r="BX34" s="72">
        <v>0</v>
      </c>
      <c r="BY34" s="72">
        <v>0</v>
      </c>
      <c r="BZ34" s="72">
        <v>0</v>
      </c>
      <c r="CA34" s="72">
        <v>0</v>
      </c>
      <c r="CB34" s="72">
        <v>0</v>
      </c>
      <c r="CC34" s="72">
        <v>0</v>
      </c>
      <c r="CD34" s="72">
        <v>0</v>
      </c>
      <c r="CE34" s="72">
        <v>0</v>
      </c>
      <c r="CF34" s="72">
        <v>0</v>
      </c>
      <c r="CG34" s="72">
        <v>0</v>
      </c>
      <c r="CH34" s="72">
        <v>0</v>
      </c>
      <c r="CI34" s="72">
        <v>0</v>
      </c>
      <c r="CJ34" s="72">
        <v>0</v>
      </c>
      <c r="CK34" s="72">
        <v>0</v>
      </c>
      <c r="CL34" s="72">
        <v>0</v>
      </c>
      <c r="CM34" s="72">
        <v>0</v>
      </c>
      <c r="CN34" s="72">
        <v>0</v>
      </c>
      <c r="CO34" s="72">
        <v>0</v>
      </c>
      <c r="CP34" s="72">
        <v>0</v>
      </c>
      <c r="CQ34" s="72">
        <v>0</v>
      </c>
      <c r="CR34" s="72">
        <v>0</v>
      </c>
      <c r="CS34" s="72">
        <v>0</v>
      </c>
      <c r="CT34" s="72">
        <v>0</v>
      </c>
      <c r="CU34" s="72">
        <v>0</v>
      </c>
      <c r="CV34" s="72">
        <v>0</v>
      </c>
      <c r="CW34" s="72">
        <v>0</v>
      </c>
      <c r="CX34" s="72">
        <v>0</v>
      </c>
      <c r="CY34" s="72">
        <v>0</v>
      </c>
      <c r="CZ34" s="72">
        <v>0</v>
      </c>
      <c r="DA34" s="72">
        <v>0</v>
      </c>
      <c r="DB34" s="72">
        <v>0</v>
      </c>
      <c r="DC34" s="72">
        <v>0</v>
      </c>
      <c r="DD34" s="72">
        <v>0</v>
      </c>
      <c r="DE34" s="72">
        <v>0</v>
      </c>
      <c r="DF34" s="72">
        <v>0</v>
      </c>
      <c r="DG34" s="72">
        <v>0</v>
      </c>
      <c r="DH34" s="72">
        <v>0</v>
      </c>
      <c r="DI34" s="72">
        <v>0</v>
      </c>
      <c r="DJ34" s="72">
        <v>0</v>
      </c>
      <c r="DK34" s="72">
        <v>0</v>
      </c>
      <c r="DL34" s="72">
        <v>0</v>
      </c>
      <c r="DM34" s="72">
        <v>0</v>
      </c>
      <c r="DN34" s="72">
        <v>0</v>
      </c>
      <c r="DO34" s="72">
        <v>0</v>
      </c>
      <c r="DP34" s="72">
        <v>0</v>
      </c>
      <c r="DQ34" s="72">
        <v>0</v>
      </c>
      <c r="DR34" s="72">
        <v>0</v>
      </c>
      <c r="DS34" s="72">
        <v>0</v>
      </c>
      <c r="DT34" s="72">
        <v>0</v>
      </c>
      <c r="DU34" s="72">
        <v>0</v>
      </c>
      <c r="DV34" s="72">
        <v>0</v>
      </c>
      <c r="DW34" s="72">
        <v>0</v>
      </c>
      <c r="DX34" s="72">
        <v>0</v>
      </c>
      <c r="DY34" s="72">
        <v>0</v>
      </c>
      <c r="DZ34" s="72">
        <v>0</v>
      </c>
      <c r="EA34" s="72">
        <v>0</v>
      </c>
      <c r="EB34" s="72">
        <v>0</v>
      </c>
      <c r="EC34" s="72">
        <v>0</v>
      </c>
      <c r="ED34" s="72">
        <v>0</v>
      </c>
    </row>
    <row r="36" spans="1:140" x14ac:dyDescent="0.3">
      <c r="A36" s="21" t="s">
        <v>125</v>
      </c>
      <c r="B36" s="21" t="s">
        <v>126</v>
      </c>
      <c r="EH36" s="21" t="str">
        <f>A36&amp;" (default values from GREET2 account for changes in the power generation mix only) "&amp;B36</f>
        <v>Energy intensity of material production (default values from GREET2 account for changes in the power generation mix only) [MJ/kg]</v>
      </c>
    </row>
    <row r="37" spans="1:140" x14ac:dyDescent="0.3">
      <c r="A37" s="21" t="str">
        <f>A$5</f>
        <v>Vehicle production region</v>
      </c>
      <c r="D37" s="21" t="str">
        <f>D$5</f>
        <v>With Al smelting mostly form coal</v>
      </c>
      <c r="E37" s="21" t="str">
        <f t="shared" ref="E37:ED37" si="56">E$5</f>
        <v>With Al smelting mostly form coal</v>
      </c>
      <c r="F37" s="21" t="str">
        <f t="shared" si="56"/>
        <v>Default</v>
      </c>
      <c r="G37" s="21" t="str">
        <f t="shared" si="56"/>
        <v>With Al smelting mostly form coal</v>
      </c>
      <c r="H37" s="21" t="str">
        <f t="shared" si="56"/>
        <v>With Al smelting mostly form coal</v>
      </c>
      <c r="I37" s="21" t="str">
        <f t="shared" si="56"/>
        <v>With Al smelting mostly form coal</v>
      </c>
      <c r="J37" s="21" t="str">
        <f t="shared" si="56"/>
        <v>With Al smelting mostly form coal</v>
      </c>
      <c r="K37" s="21" t="str">
        <f t="shared" si="56"/>
        <v>With Al smelting mostly form coal</v>
      </c>
      <c r="L37" s="21" t="str">
        <f t="shared" si="56"/>
        <v>With Al smelting mostly form coal</v>
      </c>
      <c r="M37" s="21" t="str">
        <f t="shared" si="56"/>
        <v>With Al smelting mostly form coal</v>
      </c>
      <c r="N37" s="21" t="str">
        <f t="shared" si="56"/>
        <v>With Al smelting mostly form coal</v>
      </c>
      <c r="O37" s="21" t="str">
        <f t="shared" si="56"/>
        <v>With Al smelting mostly form coal</v>
      </c>
      <c r="P37" s="21" t="str">
        <f t="shared" si="56"/>
        <v>With Al smelting mostly form coal</v>
      </c>
      <c r="Q37" s="21" t="str">
        <f t="shared" si="56"/>
        <v>With Al smelting mostly form coal</v>
      </c>
      <c r="R37" s="21" t="str">
        <f t="shared" si="56"/>
        <v>With Al smelting mostly form coal</v>
      </c>
      <c r="S37" s="21" t="str">
        <f t="shared" si="56"/>
        <v>With Al smelting mostly form coal</v>
      </c>
      <c r="T37" s="21" t="str">
        <f t="shared" si="56"/>
        <v>Default</v>
      </c>
      <c r="U37" s="21" t="str">
        <f t="shared" si="56"/>
        <v>With Al smelting mostly form coal</v>
      </c>
      <c r="V37" s="21" t="str">
        <f t="shared" si="56"/>
        <v>With Al smelting mostly form coal</v>
      </c>
      <c r="W37" s="21" t="str">
        <f t="shared" si="56"/>
        <v>With Al smelting mostly form coal</v>
      </c>
      <c r="X37" s="21" t="str">
        <f>X$5</f>
        <v>Default</v>
      </c>
      <c r="Y37" s="21" t="str">
        <f>Y$5</f>
        <v>With Al smelting mostly form coal</v>
      </c>
      <c r="Z37" s="21" t="str">
        <f>Z$5</f>
        <v>With Al smelting mostly form coal</v>
      </c>
      <c r="AA37" s="21" t="str">
        <f>AA$5</f>
        <v>With Al smelting mostly form coal</v>
      </c>
      <c r="AB37" s="21" t="str">
        <f t="shared" ref="AB37:AD37" si="57">AB$5</f>
        <v>Default</v>
      </c>
      <c r="AC37" s="21" t="str">
        <f t="shared" si="57"/>
        <v>With Al smelting mostly form coal</v>
      </c>
      <c r="AD37" s="21" t="str">
        <f t="shared" si="57"/>
        <v>With Al smelting mostly form coal</v>
      </c>
      <c r="AE37" s="21" t="str">
        <f t="shared" si="56"/>
        <v>With Al smelting mostly form coal</v>
      </c>
      <c r="AF37" s="21" t="str">
        <f t="shared" si="56"/>
        <v>With Al smelting mostly form coal</v>
      </c>
      <c r="AG37" s="21" t="str">
        <f t="shared" si="56"/>
        <v>With Al smelting mostly form coal</v>
      </c>
      <c r="AH37" s="21" t="str">
        <f t="shared" si="56"/>
        <v>With Al smelting mostly form coal</v>
      </c>
      <c r="AI37" s="21" t="str">
        <f t="shared" si="56"/>
        <v>With Al smelting mostly form coal</v>
      </c>
      <c r="AJ37" s="21" t="str">
        <f t="shared" si="56"/>
        <v>With Al smelting mostly form coal</v>
      </c>
      <c r="AK37" s="21" t="str">
        <f t="shared" si="56"/>
        <v>With Al smelting mostly form coal</v>
      </c>
      <c r="AL37" s="21" t="str">
        <f t="shared" si="56"/>
        <v>With Al smelting mostly form coal</v>
      </c>
      <c r="AM37" s="21" t="str">
        <f t="shared" si="56"/>
        <v>With Al smelting mostly form coal</v>
      </c>
      <c r="AN37" s="21" t="str">
        <f t="shared" si="56"/>
        <v>With Al smelting mostly form coal</v>
      </c>
      <c r="AO37" s="21" t="str">
        <f t="shared" si="56"/>
        <v>With Al smelting mostly form coal</v>
      </c>
      <c r="AP37" s="21" t="str">
        <f t="shared" si="56"/>
        <v>With Al smelting mostly form coal</v>
      </c>
      <c r="AQ37" s="21" t="str">
        <f t="shared" si="56"/>
        <v>With Al smelting mostly form coal</v>
      </c>
      <c r="AR37" s="21" t="str">
        <f t="shared" si="56"/>
        <v>With Al smelting mostly form coal</v>
      </c>
      <c r="AS37" s="21" t="str">
        <f t="shared" si="56"/>
        <v>With Al smelting mostly form coal</v>
      </c>
      <c r="AT37" s="21" t="str">
        <f t="shared" si="56"/>
        <v>With Al smelting mostly form coal</v>
      </c>
      <c r="AU37" s="21" t="str">
        <f t="shared" si="56"/>
        <v>Default</v>
      </c>
      <c r="AV37" s="21" t="str">
        <f t="shared" si="56"/>
        <v>With Al smelting mostly form coal</v>
      </c>
      <c r="AW37" s="21" t="str">
        <f t="shared" si="56"/>
        <v>With Al smelting mostly form coal</v>
      </c>
      <c r="AX37" s="21" t="str">
        <f t="shared" si="56"/>
        <v>With Al smelting mostly form coal</v>
      </c>
      <c r="AY37" s="21" t="str">
        <f t="shared" si="56"/>
        <v>With Al smelting mostly form coal</v>
      </c>
      <c r="AZ37" s="21" t="str">
        <f t="shared" si="56"/>
        <v>With Al smelting mostly form coal</v>
      </c>
      <c r="BA37" s="21" t="str">
        <f t="shared" si="56"/>
        <v>With Al smelting mostly form coal</v>
      </c>
      <c r="BB37" s="21" t="str">
        <f t="shared" si="56"/>
        <v>With Al smelting mostly form coal</v>
      </c>
      <c r="BC37" s="21" t="str">
        <f t="shared" si="56"/>
        <v>With Al smelting mostly form coal</v>
      </c>
      <c r="BD37" s="21" t="str">
        <f t="shared" si="56"/>
        <v>With Al smelting mostly form coal</v>
      </c>
      <c r="BE37" s="21" t="str">
        <f t="shared" si="56"/>
        <v>With Al smelting mostly form coal</v>
      </c>
      <c r="BF37" s="21" t="str">
        <f t="shared" si="56"/>
        <v>With Al smelting mostly form coal</v>
      </c>
      <c r="BG37" s="21" t="str">
        <f t="shared" si="56"/>
        <v>With Al smelting mostly form coal</v>
      </c>
      <c r="BH37" s="21" t="str">
        <f t="shared" si="56"/>
        <v>With Al smelting mostly form coal</v>
      </c>
      <c r="BI37" s="21" t="str">
        <f t="shared" si="56"/>
        <v>With Al smelting mostly form coal</v>
      </c>
      <c r="BJ37" s="21" t="str">
        <f t="shared" si="56"/>
        <v>With Al smelting mostly form coal</v>
      </c>
      <c r="BK37" s="21" t="str">
        <f t="shared" si="56"/>
        <v>With Al smelting mostly form coal</v>
      </c>
      <c r="BL37" s="21" t="str">
        <f t="shared" si="56"/>
        <v>With Al smelting mostly form coal</v>
      </c>
      <c r="BM37" s="21" t="str">
        <f t="shared" si="56"/>
        <v>With Al smelting mostly form coal</v>
      </c>
      <c r="BN37" s="21" t="str">
        <f t="shared" si="56"/>
        <v>With Al smelting mostly form coal</v>
      </c>
      <c r="BO37" s="21" t="str">
        <f t="shared" si="56"/>
        <v>With Al smelting mostly form coal</v>
      </c>
      <c r="BP37" s="21" t="str">
        <f t="shared" si="56"/>
        <v>With Al smelting mostly form coal</v>
      </c>
      <c r="BQ37" s="21" t="str">
        <f t="shared" si="56"/>
        <v>Default</v>
      </c>
      <c r="BR37" s="21" t="str">
        <f t="shared" si="56"/>
        <v>With Al smelting mostly form coal</v>
      </c>
      <c r="BS37" s="21" t="str">
        <f t="shared" si="56"/>
        <v>With Al smelting mostly form coal</v>
      </c>
      <c r="BT37" s="21" t="str">
        <f t="shared" si="56"/>
        <v>With Al smelting mostly form coal</v>
      </c>
      <c r="BU37" s="21" t="str">
        <f t="shared" ref="BU37:CC37" si="58">BU$5</f>
        <v>With Al smelting mostly form coal</v>
      </c>
      <c r="BV37" s="21" t="str">
        <f t="shared" si="58"/>
        <v>With Al smelting mostly form coal</v>
      </c>
      <c r="BW37" s="21" t="str">
        <f t="shared" si="58"/>
        <v>With Al smelting mostly form coal</v>
      </c>
      <c r="BX37" s="21" t="str">
        <f t="shared" si="58"/>
        <v>With Al smelting mostly form coal</v>
      </c>
      <c r="BY37" s="21" t="str">
        <f t="shared" si="58"/>
        <v>With Al smelting mostly form coal</v>
      </c>
      <c r="BZ37" s="21" t="str">
        <f t="shared" si="58"/>
        <v>Default</v>
      </c>
      <c r="CA37" s="21" t="str">
        <f t="shared" si="58"/>
        <v>With Al smelting mostly form coal</v>
      </c>
      <c r="CB37" s="21" t="str">
        <f t="shared" si="58"/>
        <v>With Al smelting mostly form coal</v>
      </c>
      <c r="CC37" s="21" t="str">
        <f t="shared" si="58"/>
        <v>With Al smelting mostly form coal</v>
      </c>
      <c r="CD37" s="21" t="str">
        <f t="shared" si="56"/>
        <v>With Al smelting mostly form coal</v>
      </c>
      <c r="CE37" s="21" t="str">
        <f t="shared" si="56"/>
        <v>With Al smelting mostly form coal</v>
      </c>
      <c r="CF37" s="21" t="str">
        <f t="shared" si="56"/>
        <v>With Al smelting mostly form coal</v>
      </c>
      <c r="CG37" s="21" t="str">
        <f t="shared" si="56"/>
        <v>With Al smelting mostly form coal</v>
      </c>
      <c r="CH37" s="21" t="str">
        <f t="shared" si="56"/>
        <v>With Al smelting mostly form coal</v>
      </c>
      <c r="CI37" s="21" t="str">
        <f t="shared" si="56"/>
        <v>With Al smelting mostly form coal</v>
      </c>
      <c r="CJ37" s="21" t="str">
        <f t="shared" si="56"/>
        <v>With Al smelting mostly form coal</v>
      </c>
      <c r="CK37" s="21" t="str">
        <f t="shared" si="56"/>
        <v>With Al smelting mostly form coal</v>
      </c>
      <c r="CL37" s="21" t="str">
        <f t="shared" si="56"/>
        <v>With Al smelting mostly form coal</v>
      </c>
      <c r="CM37" s="21" t="str">
        <f t="shared" si="56"/>
        <v>With Al smelting mostly form coal</v>
      </c>
      <c r="CN37" s="21" t="str">
        <f t="shared" si="56"/>
        <v>With Al smelting mostly form coal</v>
      </c>
      <c r="CO37" s="21" t="str">
        <f t="shared" si="56"/>
        <v>With Al smelting mostly form coal</v>
      </c>
      <c r="CP37" s="21" t="str">
        <f t="shared" si="56"/>
        <v>With Al smelting mostly form coal</v>
      </c>
      <c r="CQ37" s="21" t="str">
        <f t="shared" si="56"/>
        <v>With Al smelting mostly form coal</v>
      </c>
      <c r="CR37" s="21" t="str">
        <f t="shared" si="56"/>
        <v>With Al smelting mostly form coal</v>
      </c>
      <c r="CS37" s="21" t="str">
        <f t="shared" si="56"/>
        <v>With Al smelting mostly form coal</v>
      </c>
      <c r="CT37" s="21" t="str">
        <f t="shared" si="56"/>
        <v>With Al smelting mostly form coal</v>
      </c>
      <c r="CU37" s="21" t="str">
        <f t="shared" si="56"/>
        <v>With Al smelting mostly form coal</v>
      </c>
      <c r="CV37" s="21" t="str">
        <f t="shared" si="56"/>
        <v>With Al smelting mostly form coal</v>
      </c>
      <c r="CW37" s="21" t="str">
        <f t="shared" si="56"/>
        <v>With Al smelting mostly form coal</v>
      </c>
      <c r="CX37" s="21" t="str">
        <f t="shared" si="56"/>
        <v>With Al smelting mostly form coal</v>
      </c>
      <c r="CY37" s="21" t="str">
        <f t="shared" si="56"/>
        <v>With Al smelting mostly form coal</v>
      </c>
      <c r="CZ37" s="21" t="str">
        <f t="shared" si="56"/>
        <v>With Al smelting mostly form coal</v>
      </c>
      <c r="DA37" s="21" t="str">
        <f t="shared" si="56"/>
        <v>With Al smelting mostly form coal</v>
      </c>
      <c r="DB37" s="21" t="str">
        <f t="shared" si="56"/>
        <v>With Al smelting mostly form coal</v>
      </c>
      <c r="DC37" s="21" t="str">
        <f t="shared" si="56"/>
        <v>With Al smelting mostly form coal</v>
      </c>
      <c r="DD37" s="21" t="str">
        <f t="shared" si="56"/>
        <v>With Al smelting mostly form coal</v>
      </c>
      <c r="DE37" s="21" t="str">
        <f t="shared" si="56"/>
        <v>With Al smelting mostly form coal</v>
      </c>
      <c r="DF37" s="21" t="str">
        <f t="shared" si="56"/>
        <v>With Al smelting mostly form coal</v>
      </c>
      <c r="DH37" s="21" t="str">
        <f t="shared" si="56"/>
        <v>With Al smelting mostly form coal</v>
      </c>
      <c r="DI37" s="21" t="str">
        <f t="shared" si="56"/>
        <v>With Al smelting mostly form coal</v>
      </c>
      <c r="DJ37" s="21" t="str">
        <f t="shared" si="56"/>
        <v>With Al smelting mostly form coal</v>
      </c>
      <c r="DK37" s="21" t="str">
        <f t="shared" si="56"/>
        <v>With Al smelting mostly form coal</v>
      </c>
      <c r="DL37" s="21" t="str">
        <f t="shared" si="56"/>
        <v>With Al smelting mostly form coal</v>
      </c>
      <c r="DM37" s="21" t="str">
        <f t="shared" si="56"/>
        <v>With Al smelting mostly form coal</v>
      </c>
      <c r="DN37" s="21" t="str">
        <f t="shared" si="56"/>
        <v>With Al smelting mostly form coal</v>
      </c>
      <c r="DO37" s="21" t="str">
        <f t="shared" si="56"/>
        <v>With Al smelting mostly form coal</v>
      </c>
      <c r="DP37" s="21" t="str">
        <f t="shared" si="56"/>
        <v>With Al smelting mostly form coal</v>
      </c>
      <c r="DQ37" s="21" t="str">
        <f t="shared" si="56"/>
        <v>With Al smelting mostly form coal</v>
      </c>
      <c r="DR37" s="21" t="str">
        <f t="shared" si="56"/>
        <v>With Al smelting mostly form coal</v>
      </c>
      <c r="DS37" s="21" t="str">
        <f t="shared" si="56"/>
        <v>With Al smelting mostly form coal</v>
      </c>
      <c r="DT37" s="21" t="str">
        <f t="shared" si="56"/>
        <v>With Al smelting mostly form coal</v>
      </c>
      <c r="DU37" s="21" t="str">
        <f t="shared" si="56"/>
        <v>With Al smelting mostly form coal</v>
      </c>
      <c r="DV37" s="21" t="str">
        <f t="shared" si="56"/>
        <v>With Al smelting mostly form coal</v>
      </c>
      <c r="DW37" s="21" t="str">
        <f t="shared" si="56"/>
        <v>With Al smelting mostly form coal</v>
      </c>
      <c r="DX37" s="21" t="str">
        <f t="shared" si="56"/>
        <v>With Al smelting mostly form coal</v>
      </c>
      <c r="DY37" s="21" t="str">
        <f t="shared" si="56"/>
        <v>With Al smelting mostly form coal</v>
      </c>
      <c r="DZ37" s="21" t="str">
        <f t="shared" si="56"/>
        <v>With Al smelting mostly form coal</v>
      </c>
      <c r="EA37" s="21" t="str">
        <f t="shared" si="56"/>
        <v>With Al smelting mostly form coal</v>
      </c>
      <c r="EB37" s="21" t="str">
        <f t="shared" si="56"/>
        <v>With Al smelting mostly form coal</v>
      </c>
      <c r="EC37" s="21" t="str">
        <f t="shared" si="56"/>
        <v>With Al smelting mostly form coal</v>
      </c>
      <c r="ED37" s="21" t="str">
        <f t="shared" si="56"/>
        <v>With Al smelting mostly form coal</v>
      </c>
      <c r="EH37" s="21" t="s">
        <v>915</v>
      </c>
      <c r="EI37" s="21" t="s">
        <v>951</v>
      </c>
      <c r="EJ37" s="21" t="s">
        <v>950</v>
      </c>
    </row>
    <row r="38" spans="1:140" x14ac:dyDescent="0.3">
      <c r="A38" s="21" t="s">
        <v>127</v>
      </c>
      <c r="D38" s="21">
        <f t="shared" ref="D38:M51" si="59">HLOOKUP(D$37,$EI$37:$EJ$51,ROW($EH38)-ROW($EH$37)+1,FALSE)</f>
        <v>31.324956664096621</v>
      </c>
      <c r="E38" s="21">
        <f t="shared" si="59"/>
        <v>31.324956664096621</v>
      </c>
      <c r="F38" s="21">
        <f t="shared" si="59"/>
        <v>31.324956664096621</v>
      </c>
      <c r="G38" s="21">
        <f t="shared" si="59"/>
        <v>31.324956664096621</v>
      </c>
      <c r="H38" s="21">
        <f t="shared" si="59"/>
        <v>31.324956664096621</v>
      </c>
      <c r="I38" s="21">
        <f t="shared" si="59"/>
        <v>31.324956664096621</v>
      </c>
      <c r="J38" s="21">
        <f t="shared" si="59"/>
        <v>31.324956664096621</v>
      </c>
      <c r="K38" s="21">
        <f t="shared" si="59"/>
        <v>31.324956664096621</v>
      </c>
      <c r="L38" s="21">
        <f t="shared" si="59"/>
        <v>31.324956664096621</v>
      </c>
      <c r="M38" s="21">
        <f t="shared" si="59"/>
        <v>31.324956664096621</v>
      </c>
      <c r="N38" s="21">
        <f t="shared" ref="N38:AA51" si="60">HLOOKUP(N$37,$EI$37:$EJ$51,ROW($EH38)-ROW($EH$37)+1,FALSE)</f>
        <v>31.324956664096621</v>
      </c>
      <c r="O38" s="21">
        <f t="shared" si="60"/>
        <v>31.324956664096621</v>
      </c>
      <c r="P38" s="21">
        <f t="shared" si="60"/>
        <v>31.324956664096621</v>
      </c>
      <c r="Q38" s="21">
        <f t="shared" si="60"/>
        <v>31.324956664096621</v>
      </c>
      <c r="R38" s="21">
        <f t="shared" si="60"/>
        <v>31.324956664096621</v>
      </c>
      <c r="S38" s="21">
        <f t="shared" si="60"/>
        <v>31.324956664096621</v>
      </c>
      <c r="T38" s="21">
        <f t="shared" si="60"/>
        <v>31.324956664096621</v>
      </c>
      <c r="U38" s="21">
        <f t="shared" si="60"/>
        <v>31.324956664096621</v>
      </c>
      <c r="V38" s="21">
        <f t="shared" si="60"/>
        <v>31.324956664096621</v>
      </c>
      <c r="W38" s="21">
        <f t="shared" si="60"/>
        <v>31.324956664096621</v>
      </c>
      <c r="X38" s="21">
        <f t="shared" si="60"/>
        <v>31.324956664096621</v>
      </c>
      <c r="Y38" s="21">
        <f t="shared" si="60"/>
        <v>31.324956664096621</v>
      </c>
      <c r="Z38" s="21">
        <f t="shared" si="60"/>
        <v>31.324956664096621</v>
      </c>
      <c r="AA38" s="21">
        <f t="shared" si="60"/>
        <v>31.324956664096621</v>
      </c>
      <c r="AB38" s="21">
        <f t="shared" ref="AB38:AD51" si="61">HLOOKUP(AB$37,$EI$37:$EJ$51,ROW($EH38)-ROW($EH$37)+1,FALSE)</f>
        <v>31.324956664096621</v>
      </c>
      <c r="AC38" s="21">
        <f t="shared" si="61"/>
        <v>31.324956664096621</v>
      </c>
      <c r="AD38" s="21">
        <f t="shared" si="61"/>
        <v>31.324956664096621</v>
      </c>
      <c r="AE38" s="21">
        <f t="shared" ref="AE38:AN51" si="62">HLOOKUP(AE$37,$EI$37:$EJ$51,ROW($EH38)-ROW($EH$37)+1,FALSE)</f>
        <v>31.324956664096621</v>
      </c>
      <c r="AF38" s="21">
        <f t="shared" si="62"/>
        <v>31.324956664096621</v>
      </c>
      <c r="AG38" s="21">
        <f t="shared" si="62"/>
        <v>31.324956664096621</v>
      </c>
      <c r="AH38" s="21">
        <f t="shared" si="62"/>
        <v>31.324956664096621</v>
      </c>
      <c r="AI38" s="21">
        <f t="shared" si="62"/>
        <v>31.324956664096621</v>
      </c>
      <c r="AJ38" s="21">
        <f t="shared" si="62"/>
        <v>31.324956664096621</v>
      </c>
      <c r="AK38" s="21">
        <f t="shared" si="62"/>
        <v>31.324956664096621</v>
      </c>
      <c r="AL38" s="21">
        <f t="shared" si="62"/>
        <v>31.324956664096621</v>
      </c>
      <c r="AM38" s="21">
        <f t="shared" si="62"/>
        <v>31.324956664096621</v>
      </c>
      <c r="AN38" s="21">
        <f t="shared" si="62"/>
        <v>31.324956664096621</v>
      </c>
      <c r="AO38" s="21">
        <f t="shared" ref="AO38:AX51" si="63">HLOOKUP(AO$37,$EI$37:$EJ$51,ROW($EH38)-ROW($EH$37)+1,FALSE)</f>
        <v>31.324956664096621</v>
      </c>
      <c r="AP38" s="21">
        <f t="shared" si="63"/>
        <v>31.324956664096621</v>
      </c>
      <c r="AQ38" s="21">
        <f t="shared" si="63"/>
        <v>31.324956664096621</v>
      </c>
      <c r="AR38" s="21">
        <f t="shared" si="63"/>
        <v>31.324956664096621</v>
      </c>
      <c r="AS38" s="21">
        <f t="shared" si="63"/>
        <v>31.324956664096621</v>
      </c>
      <c r="AT38" s="21">
        <f t="shared" si="63"/>
        <v>31.324956664096621</v>
      </c>
      <c r="AU38" s="21">
        <f t="shared" si="63"/>
        <v>31.324956664096621</v>
      </c>
      <c r="AV38" s="21">
        <f t="shared" si="63"/>
        <v>31.324956664096621</v>
      </c>
      <c r="AW38" s="21">
        <f t="shared" si="63"/>
        <v>31.324956664096621</v>
      </c>
      <c r="AX38" s="21">
        <f t="shared" si="63"/>
        <v>31.324956664096621</v>
      </c>
      <c r="AY38" s="21">
        <f t="shared" ref="AY38:BH51" si="64">HLOOKUP(AY$37,$EI$37:$EJ$51,ROW($EH38)-ROW($EH$37)+1,FALSE)</f>
        <v>31.324956664096621</v>
      </c>
      <c r="AZ38" s="21">
        <f t="shared" si="64"/>
        <v>31.324956664096621</v>
      </c>
      <c r="BA38" s="21">
        <f t="shared" si="64"/>
        <v>31.324956664096621</v>
      </c>
      <c r="BB38" s="21">
        <f t="shared" si="64"/>
        <v>31.324956664096621</v>
      </c>
      <c r="BC38" s="21">
        <f t="shared" si="64"/>
        <v>31.324956664096621</v>
      </c>
      <c r="BD38" s="21">
        <f t="shared" si="64"/>
        <v>31.324956664096621</v>
      </c>
      <c r="BE38" s="21">
        <f t="shared" si="64"/>
        <v>31.324956664096621</v>
      </c>
      <c r="BF38" s="21">
        <f t="shared" si="64"/>
        <v>31.324956664096621</v>
      </c>
      <c r="BG38" s="21">
        <f t="shared" si="64"/>
        <v>31.324956664096621</v>
      </c>
      <c r="BH38" s="21">
        <f t="shared" si="64"/>
        <v>31.324956664096621</v>
      </c>
      <c r="BI38" s="21">
        <f t="shared" ref="BI38:BR51" si="65">HLOOKUP(BI$37,$EI$37:$EJ$51,ROW($EH38)-ROW($EH$37)+1,FALSE)</f>
        <v>31.324956664096621</v>
      </c>
      <c r="BJ38" s="21">
        <f t="shared" si="65"/>
        <v>31.324956664096621</v>
      </c>
      <c r="BK38" s="21">
        <f t="shared" si="65"/>
        <v>31.324956664096621</v>
      </c>
      <c r="BL38" s="21">
        <f t="shared" si="65"/>
        <v>31.324956664096621</v>
      </c>
      <c r="BM38" s="21">
        <f t="shared" si="65"/>
        <v>31.324956664096621</v>
      </c>
      <c r="BN38" s="21">
        <f t="shared" si="65"/>
        <v>31.324956664096621</v>
      </c>
      <c r="BO38" s="21">
        <f t="shared" si="65"/>
        <v>31.324956664096621</v>
      </c>
      <c r="BP38" s="21">
        <f t="shared" si="65"/>
        <v>31.324956664096621</v>
      </c>
      <c r="BQ38" s="21">
        <f t="shared" si="65"/>
        <v>31.324956664096621</v>
      </c>
      <c r="BR38" s="21">
        <f t="shared" si="65"/>
        <v>31.324956664096621</v>
      </c>
      <c r="BS38" s="21">
        <f t="shared" ref="BS38:CB51" si="66">HLOOKUP(BS$37,$EI$37:$EJ$51,ROW($EH38)-ROW($EH$37)+1,FALSE)</f>
        <v>31.324956664096621</v>
      </c>
      <c r="BT38" s="21">
        <f t="shared" si="66"/>
        <v>31.324956664096621</v>
      </c>
      <c r="BU38" s="21">
        <f t="shared" si="66"/>
        <v>31.324956664096621</v>
      </c>
      <c r="BV38" s="21">
        <f t="shared" si="66"/>
        <v>31.324956664096621</v>
      </c>
      <c r="BW38" s="21">
        <f t="shared" si="66"/>
        <v>31.324956664096621</v>
      </c>
      <c r="BX38" s="21">
        <f t="shared" si="66"/>
        <v>31.324956664096621</v>
      </c>
      <c r="BY38" s="21">
        <f t="shared" si="66"/>
        <v>31.324956664096621</v>
      </c>
      <c r="BZ38" s="21">
        <f t="shared" si="66"/>
        <v>31.324956664096621</v>
      </c>
      <c r="CA38" s="21">
        <f t="shared" si="66"/>
        <v>31.324956664096621</v>
      </c>
      <c r="CB38" s="21">
        <f t="shared" si="66"/>
        <v>31.324956664096621</v>
      </c>
      <c r="CC38" s="21">
        <f t="shared" ref="CC38:CL51" si="67">HLOOKUP(CC$37,$EI$37:$EJ$51,ROW($EH38)-ROW($EH$37)+1,FALSE)</f>
        <v>31.324956664096621</v>
      </c>
      <c r="CD38" s="21">
        <f t="shared" si="67"/>
        <v>31.324956664096621</v>
      </c>
      <c r="CE38" s="21">
        <f t="shared" si="67"/>
        <v>31.324956664096621</v>
      </c>
      <c r="CF38" s="21">
        <f t="shared" si="67"/>
        <v>31.324956664096621</v>
      </c>
      <c r="CG38" s="21">
        <f t="shared" si="67"/>
        <v>31.324956664096621</v>
      </c>
      <c r="CH38" s="21">
        <f t="shared" si="67"/>
        <v>31.324956664096621</v>
      </c>
      <c r="CI38" s="21">
        <f t="shared" si="67"/>
        <v>31.324956664096621</v>
      </c>
      <c r="CJ38" s="21">
        <f t="shared" si="67"/>
        <v>31.324956664096621</v>
      </c>
      <c r="CK38" s="21">
        <f t="shared" si="67"/>
        <v>31.324956664096621</v>
      </c>
      <c r="CL38" s="21">
        <f t="shared" si="67"/>
        <v>31.324956664096621</v>
      </c>
      <c r="CM38" s="21">
        <f t="shared" ref="CM38:CV51" si="68">HLOOKUP(CM$37,$EI$37:$EJ$51,ROW($EH38)-ROW($EH$37)+1,FALSE)</f>
        <v>31.324956664096621</v>
      </c>
      <c r="CN38" s="21">
        <f t="shared" si="68"/>
        <v>31.324956664096621</v>
      </c>
      <c r="CO38" s="21">
        <f t="shared" si="68"/>
        <v>31.324956664096621</v>
      </c>
      <c r="CP38" s="21">
        <f t="shared" si="68"/>
        <v>31.324956664096621</v>
      </c>
      <c r="CQ38" s="21">
        <f t="shared" si="68"/>
        <v>31.324956664096621</v>
      </c>
      <c r="CR38" s="21">
        <f t="shared" si="68"/>
        <v>31.324956664096621</v>
      </c>
      <c r="CS38" s="21">
        <f t="shared" si="68"/>
        <v>31.324956664096621</v>
      </c>
      <c r="CT38" s="21">
        <f t="shared" si="68"/>
        <v>31.324956664096621</v>
      </c>
      <c r="CU38" s="21">
        <f t="shared" si="68"/>
        <v>31.324956664096621</v>
      </c>
      <c r="CV38" s="21">
        <f t="shared" si="68"/>
        <v>31.324956664096621</v>
      </c>
      <c r="CW38" s="21">
        <f t="shared" ref="CW38:DF51" si="69">HLOOKUP(CW$37,$EI$37:$EJ$51,ROW($EH38)-ROW($EH$37)+1,FALSE)</f>
        <v>31.324956664096621</v>
      </c>
      <c r="CX38" s="21">
        <f t="shared" si="69"/>
        <v>31.324956664096621</v>
      </c>
      <c r="CY38" s="21">
        <f t="shared" si="69"/>
        <v>31.324956664096621</v>
      </c>
      <c r="CZ38" s="21">
        <f t="shared" si="69"/>
        <v>31.324956664096621</v>
      </c>
      <c r="DA38" s="21">
        <f t="shared" si="69"/>
        <v>31.324956664096621</v>
      </c>
      <c r="DB38" s="21">
        <f t="shared" si="69"/>
        <v>31.324956664096621</v>
      </c>
      <c r="DC38" s="21">
        <f t="shared" si="69"/>
        <v>31.324956664096621</v>
      </c>
      <c r="DD38" s="21">
        <f t="shared" si="69"/>
        <v>31.324956664096621</v>
      </c>
      <c r="DE38" s="21">
        <f t="shared" si="69"/>
        <v>31.324956664096621</v>
      </c>
      <c r="DF38" s="21">
        <f t="shared" si="69"/>
        <v>31.324956664096621</v>
      </c>
      <c r="DH38" s="21">
        <f t="shared" ref="DH38:DW51" si="70">HLOOKUP(DH$37,$EI$37:$EJ$51,ROW($EH38)-ROW($EH$37)+1,FALSE)</f>
        <v>31.324956664096621</v>
      </c>
      <c r="DI38" s="21">
        <f t="shared" si="70"/>
        <v>31.324956664096621</v>
      </c>
      <c r="DJ38" s="21">
        <f t="shared" si="70"/>
        <v>31.324956664096621</v>
      </c>
      <c r="DK38" s="21">
        <f t="shared" si="70"/>
        <v>31.324956664096621</v>
      </c>
      <c r="DL38" s="21">
        <f t="shared" si="70"/>
        <v>31.324956664096621</v>
      </c>
      <c r="DM38" s="21">
        <f t="shared" si="70"/>
        <v>31.324956664096621</v>
      </c>
      <c r="DN38" s="21">
        <f t="shared" si="70"/>
        <v>31.324956664096621</v>
      </c>
      <c r="DO38" s="21">
        <f t="shared" si="70"/>
        <v>31.324956664096621</v>
      </c>
      <c r="DP38" s="21">
        <f t="shared" si="70"/>
        <v>31.324956664096621</v>
      </c>
      <c r="DQ38" s="21">
        <f t="shared" si="70"/>
        <v>31.324956664096621</v>
      </c>
      <c r="DR38" s="21">
        <f t="shared" si="70"/>
        <v>31.324956664096621</v>
      </c>
      <c r="DS38" s="21">
        <f t="shared" si="70"/>
        <v>31.324956664096621</v>
      </c>
      <c r="DT38" s="21">
        <f t="shared" si="70"/>
        <v>31.324956664096621</v>
      </c>
      <c r="DU38" s="21">
        <f t="shared" si="70"/>
        <v>31.324956664096621</v>
      </c>
      <c r="DV38" s="21">
        <f t="shared" si="70"/>
        <v>31.324956664096621</v>
      </c>
      <c r="DW38" s="21">
        <f t="shared" si="70"/>
        <v>31.324956664096621</v>
      </c>
      <c r="DX38" s="21">
        <f t="shared" ref="DX38:EC51" si="71">HLOOKUP(DX$37,$EI$37:$EJ$51,ROW($EH38)-ROW($EH$37)+1,FALSE)</f>
        <v>31.324956664096621</v>
      </c>
      <c r="DY38" s="21">
        <f t="shared" si="71"/>
        <v>31.324956664096621</v>
      </c>
      <c r="DZ38" s="21">
        <f t="shared" si="71"/>
        <v>31.324956664096621</v>
      </c>
      <c r="EA38" s="21">
        <f t="shared" si="71"/>
        <v>31.324956664096621</v>
      </c>
      <c r="EB38" s="21">
        <f t="shared" si="71"/>
        <v>31.324956664096621</v>
      </c>
      <c r="EC38" s="21">
        <f t="shared" si="71"/>
        <v>31.324956664096621</v>
      </c>
      <c r="ED38" s="21">
        <f t="shared" ref="ED38:ED51" si="72">HLOOKUP(ED$37,$EI$37:$EJ$51,ROW($EH38)-ROW($EH$37)+1,FALSE)</f>
        <v>31.324956664096621</v>
      </c>
      <c r="EF38" s="21" t="s">
        <v>82</v>
      </c>
      <c r="EH38" s="21" t="str">
        <f>[5]Steel!$U$91</f>
        <v>Final Average Stamped Steel Product: Combined</v>
      </c>
      <c r="EI38" s="69">
        <f>[7]Steel!$U$94*Convert!$G$9/1000</f>
        <v>31.324956664096621</v>
      </c>
      <c r="EJ38" s="69">
        <f>[5]Steel!$U$94*Convert!$G$9/1000</f>
        <v>31.324956664096621</v>
      </c>
    </row>
    <row r="39" spans="1:140" x14ac:dyDescent="0.3">
      <c r="A39" s="21" t="s">
        <v>128</v>
      </c>
      <c r="D39" s="21">
        <f t="shared" si="59"/>
        <v>19.061663037236091</v>
      </c>
      <c r="E39" s="21">
        <f t="shared" si="59"/>
        <v>19.061663037236091</v>
      </c>
      <c r="F39" s="21">
        <f t="shared" si="59"/>
        <v>19.061663037236091</v>
      </c>
      <c r="G39" s="21">
        <f t="shared" si="59"/>
        <v>19.061663037236091</v>
      </c>
      <c r="H39" s="21">
        <f t="shared" si="59"/>
        <v>19.061663037236091</v>
      </c>
      <c r="I39" s="21">
        <f t="shared" si="59"/>
        <v>19.061663037236091</v>
      </c>
      <c r="J39" s="21">
        <f t="shared" si="59"/>
        <v>19.061663037236091</v>
      </c>
      <c r="K39" s="21">
        <f t="shared" si="59"/>
        <v>19.061663037236091</v>
      </c>
      <c r="L39" s="21">
        <f t="shared" si="59"/>
        <v>19.061663037236091</v>
      </c>
      <c r="M39" s="21">
        <f t="shared" si="59"/>
        <v>19.061663037236091</v>
      </c>
      <c r="N39" s="21">
        <f t="shared" si="60"/>
        <v>19.061663037236091</v>
      </c>
      <c r="O39" s="21">
        <f t="shared" si="60"/>
        <v>19.061663037236091</v>
      </c>
      <c r="P39" s="21">
        <f t="shared" si="60"/>
        <v>19.061663037236091</v>
      </c>
      <c r="Q39" s="21">
        <f t="shared" si="60"/>
        <v>19.061663037236091</v>
      </c>
      <c r="R39" s="21">
        <f t="shared" si="60"/>
        <v>19.061663037236091</v>
      </c>
      <c r="S39" s="21">
        <f t="shared" si="60"/>
        <v>19.061663037236091</v>
      </c>
      <c r="T39" s="21">
        <f t="shared" si="60"/>
        <v>19.061663037236091</v>
      </c>
      <c r="U39" s="21">
        <f t="shared" si="60"/>
        <v>19.061663037236091</v>
      </c>
      <c r="V39" s="21">
        <f t="shared" si="60"/>
        <v>19.061663037236091</v>
      </c>
      <c r="W39" s="21">
        <f t="shared" si="60"/>
        <v>19.061663037236091</v>
      </c>
      <c r="X39" s="21">
        <f t="shared" si="60"/>
        <v>19.061663037236091</v>
      </c>
      <c r="Y39" s="21">
        <f t="shared" si="60"/>
        <v>19.061663037236091</v>
      </c>
      <c r="Z39" s="21">
        <f t="shared" si="60"/>
        <v>19.061663037236091</v>
      </c>
      <c r="AA39" s="21">
        <f t="shared" si="60"/>
        <v>19.061663037236091</v>
      </c>
      <c r="AB39" s="21">
        <f t="shared" si="61"/>
        <v>19.061663037236091</v>
      </c>
      <c r="AC39" s="21">
        <f t="shared" si="61"/>
        <v>19.061663037236091</v>
      </c>
      <c r="AD39" s="21">
        <f t="shared" si="61"/>
        <v>19.061663037236091</v>
      </c>
      <c r="AE39" s="21">
        <f t="shared" si="62"/>
        <v>19.061663037236091</v>
      </c>
      <c r="AF39" s="21">
        <f t="shared" si="62"/>
        <v>19.061663037236091</v>
      </c>
      <c r="AG39" s="21">
        <f t="shared" si="62"/>
        <v>19.061663037236091</v>
      </c>
      <c r="AH39" s="21">
        <f t="shared" si="62"/>
        <v>19.061663037236091</v>
      </c>
      <c r="AI39" s="21">
        <f t="shared" si="62"/>
        <v>19.061663037236091</v>
      </c>
      <c r="AJ39" s="21">
        <f t="shared" si="62"/>
        <v>19.061663037236091</v>
      </c>
      <c r="AK39" s="21">
        <f t="shared" si="62"/>
        <v>19.061663037236091</v>
      </c>
      <c r="AL39" s="21">
        <f t="shared" si="62"/>
        <v>19.061663037236091</v>
      </c>
      <c r="AM39" s="21">
        <f t="shared" si="62"/>
        <v>19.061663037236091</v>
      </c>
      <c r="AN39" s="21">
        <f t="shared" si="62"/>
        <v>19.061663037236091</v>
      </c>
      <c r="AO39" s="21">
        <f t="shared" si="63"/>
        <v>19.061663037236091</v>
      </c>
      <c r="AP39" s="21">
        <f t="shared" si="63"/>
        <v>19.061663037236091</v>
      </c>
      <c r="AQ39" s="21">
        <f t="shared" si="63"/>
        <v>19.061663037236091</v>
      </c>
      <c r="AR39" s="21">
        <f t="shared" si="63"/>
        <v>19.061663037236091</v>
      </c>
      <c r="AS39" s="21">
        <f t="shared" si="63"/>
        <v>19.061663037236091</v>
      </c>
      <c r="AT39" s="21">
        <f t="shared" si="63"/>
        <v>19.061663037236091</v>
      </c>
      <c r="AU39" s="21">
        <f t="shared" si="63"/>
        <v>19.061663037236091</v>
      </c>
      <c r="AV39" s="21">
        <f t="shared" si="63"/>
        <v>19.061663037236091</v>
      </c>
      <c r="AW39" s="21">
        <f t="shared" si="63"/>
        <v>19.061663037236091</v>
      </c>
      <c r="AX39" s="21">
        <f t="shared" si="63"/>
        <v>19.061663037236091</v>
      </c>
      <c r="AY39" s="21">
        <f t="shared" si="64"/>
        <v>19.061663037236091</v>
      </c>
      <c r="AZ39" s="21">
        <f t="shared" si="64"/>
        <v>19.061663037236091</v>
      </c>
      <c r="BA39" s="21">
        <f t="shared" si="64"/>
        <v>19.061663037236091</v>
      </c>
      <c r="BB39" s="21">
        <f t="shared" si="64"/>
        <v>19.061663037236091</v>
      </c>
      <c r="BC39" s="21">
        <f t="shared" si="64"/>
        <v>19.061663037236091</v>
      </c>
      <c r="BD39" s="21">
        <f t="shared" si="64"/>
        <v>19.061663037236091</v>
      </c>
      <c r="BE39" s="21">
        <f t="shared" si="64"/>
        <v>19.061663037236091</v>
      </c>
      <c r="BF39" s="21">
        <f t="shared" si="64"/>
        <v>19.061663037236091</v>
      </c>
      <c r="BG39" s="21">
        <f t="shared" si="64"/>
        <v>19.061663037236091</v>
      </c>
      <c r="BH39" s="21">
        <f t="shared" si="64"/>
        <v>19.061663037236091</v>
      </c>
      <c r="BI39" s="21">
        <f t="shared" si="65"/>
        <v>19.061663037236091</v>
      </c>
      <c r="BJ39" s="21">
        <f t="shared" si="65"/>
        <v>19.061663037236091</v>
      </c>
      <c r="BK39" s="21">
        <f t="shared" si="65"/>
        <v>19.061663037236091</v>
      </c>
      <c r="BL39" s="21">
        <f t="shared" si="65"/>
        <v>19.061663037236091</v>
      </c>
      <c r="BM39" s="21">
        <f t="shared" si="65"/>
        <v>19.061663037236091</v>
      </c>
      <c r="BN39" s="21">
        <f t="shared" si="65"/>
        <v>19.061663037236091</v>
      </c>
      <c r="BO39" s="21">
        <f t="shared" si="65"/>
        <v>19.061663037236091</v>
      </c>
      <c r="BP39" s="21">
        <f t="shared" si="65"/>
        <v>19.061663037236091</v>
      </c>
      <c r="BQ39" s="21">
        <f t="shared" si="65"/>
        <v>19.061663037236091</v>
      </c>
      <c r="BR39" s="21">
        <f t="shared" si="65"/>
        <v>19.061663037236091</v>
      </c>
      <c r="BS39" s="21">
        <f t="shared" si="66"/>
        <v>19.061663037236091</v>
      </c>
      <c r="BT39" s="21">
        <f t="shared" si="66"/>
        <v>19.061663037236091</v>
      </c>
      <c r="BU39" s="21">
        <f t="shared" si="66"/>
        <v>19.061663037236091</v>
      </c>
      <c r="BV39" s="21">
        <f t="shared" si="66"/>
        <v>19.061663037236091</v>
      </c>
      <c r="BW39" s="21">
        <f t="shared" si="66"/>
        <v>19.061663037236091</v>
      </c>
      <c r="BX39" s="21">
        <f t="shared" si="66"/>
        <v>19.061663037236091</v>
      </c>
      <c r="BY39" s="21">
        <f t="shared" si="66"/>
        <v>19.061663037236091</v>
      </c>
      <c r="BZ39" s="21">
        <f t="shared" si="66"/>
        <v>19.061663037236091</v>
      </c>
      <c r="CA39" s="21">
        <f t="shared" si="66"/>
        <v>19.061663037236091</v>
      </c>
      <c r="CB39" s="21">
        <f t="shared" si="66"/>
        <v>19.061663037236091</v>
      </c>
      <c r="CC39" s="21">
        <f t="shared" si="67"/>
        <v>19.061663037236091</v>
      </c>
      <c r="CD39" s="21">
        <f t="shared" si="67"/>
        <v>19.061663037236091</v>
      </c>
      <c r="CE39" s="21">
        <f t="shared" si="67"/>
        <v>19.061663037236091</v>
      </c>
      <c r="CF39" s="21">
        <f t="shared" si="67"/>
        <v>19.061663037236091</v>
      </c>
      <c r="CG39" s="21">
        <f t="shared" si="67"/>
        <v>19.061663037236091</v>
      </c>
      <c r="CH39" s="21">
        <f t="shared" si="67"/>
        <v>19.061663037236091</v>
      </c>
      <c r="CI39" s="21">
        <f t="shared" si="67"/>
        <v>19.061663037236091</v>
      </c>
      <c r="CJ39" s="21">
        <f t="shared" si="67"/>
        <v>19.061663037236091</v>
      </c>
      <c r="CK39" s="21">
        <f t="shared" si="67"/>
        <v>19.061663037236091</v>
      </c>
      <c r="CL39" s="21">
        <f t="shared" si="67"/>
        <v>19.061663037236091</v>
      </c>
      <c r="CM39" s="21">
        <f t="shared" si="68"/>
        <v>19.061663037236091</v>
      </c>
      <c r="CN39" s="21">
        <f t="shared" si="68"/>
        <v>19.061663037236091</v>
      </c>
      <c r="CO39" s="21">
        <f t="shared" si="68"/>
        <v>19.061663037236091</v>
      </c>
      <c r="CP39" s="21">
        <f t="shared" si="68"/>
        <v>19.061663037236091</v>
      </c>
      <c r="CQ39" s="21">
        <f t="shared" si="68"/>
        <v>19.061663037236091</v>
      </c>
      <c r="CR39" s="21">
        <f t="shared" si="68"/>
        <v>19.061663037236091</v>
      </c>
      <c r="CS39" s="21">
        <f t="shared" si="68"/>
        <v>19.061663037236091</v>
      </c>
      <c r="CT39" s="21">
        <f t="shared" si="68"/>
        <v>19.061663037236091</v>
      </c>
      <c r="CU39" s="21">
        <f t="shared" si="68"/>
        <v>19.061663037236091</v>
      </c>
      <c r="CV39" s="21">
        <f t="shared" si="68"/>
        <v>19.061663037236091</v>
      </c>
      <c r="CW39" s="21">
        <f t="shared" si="69"/>
        <v>19.061663037236091</v>
      </c>
      <c r="CX39" s="21">
        <f t="shared" si="69"/>
        <v>19.061663037236091</v>
      </c>
      <c r="CY39" s="21">
        <f t="shared" si="69"/>
        <v>19.061663037236091</v>
      </c>
      <c r="CZ39" s="21">
        <f t="shared" si="69"/>
        <v>19.061663037236091</v>
      </c>
      <c r="DA39" s="21">
        <f t="shared" si="69"/>
        <v>19.061663037236091</v>
      </c>
      <c r="DB39" s="21">
        <f t="shared" si="69"/>
        <v>19.061663037236091</v>
      </c>
      <c r="DC39" s="21">
        <f t="shared" si="69"/>
        <v>19.061663037236091</v>
      </c>
      <c r="DD39" s="21">
        <f t="shared" si="69"/>
        <v>19.061663037236091</v>
      </c>
      <c r="DE39" s="21">
        <f t="shared" si="69"/>
        <v>19.061663037236091</v>
      </c>
      <c r="DF39" s="21">
        <f t="shared" si="69"/>
        <v>19.061663037236091</v>
      </c>
      <c r="DH39" s="21">
        <f t="shared" si="70"/>
        <v>19.061663037236091</v>
      </c>
      <c r="DI39" s="21">
        <f t="shared" si="70"/>
        <v>19.061663037236091</v>
      </c>
      <c r="DJ39" s="21">
        <f t="shared" si="70"/>
        <v>19.061663037236091</v>
      </c>
      <c r="DK39" s="21">
        <f t="shared" si="70"/>
        <v>19.061663037236091</v>
      </c>
      <c r="DL39" s="21">
        <f t="shared" si="70"/>
        <v>19.061663037236091</v>
      </c>
      <c r="DM39" s="21">
        <f t="shared" si="70"/>
        <v>19.061663037236091</v>
      </c>
      <c r="DN39" s="21">
        <f t="shared" si="70"/>
        <v>19.061663037236091</v>
      </c>
      <c r="DO39" s="21">
        <f t="shared" si="70"/>
        <v>19.061663037236091</v>
      </c>
      <c r="DP39" s="21">
        <f t="shared" si="70"/>
        <v>19.061663037236091</v>
      </c>
      <c r="DQ39" s="21">
        <f t="shared" si="70"/>
        <v>19.061663037236091</v>
      </c>
      <c r="DR39" s="21">
        <f t="shared" si="70"/>
        <v>19.061663037236091</v>
      </c>
      <c r="DS39" s="21">
        <f t="shared" si="70"/>
        <v>19.061663037236091</v>
      </c>
      <c r="DT39" s="21">
        <f t="shared" si="70"/>
        <v>19.061663037236091</v>
      </c>
      <c r="DU39" s="21">
        <f t="shared" si="70"/>
        <v>19.061663037236091</v>
      </c>
      <c r="DV39" s="21">
        <f t="shared" si="70"/>
        <v>19.061663037236091</v>
      </c>
      <c r="DW39" s="21">
        <f t="shared" si="70"/>
        <v>19.061663037236091</v>
      </c>
      <c r="DX39" s="21">
        <f t="shared" si="71"/>
        <v>19.061663037236091</v>
      </c>
      <c r="DY39" s="21">
        <f t="shared" si="71"/>
        <v>19.061663037236091</v>
      </c>
      <c r="DZ39" s="21">
        <f t="shared" si="71"/>
        <v>19.061663037236091</v>
      </c>
      <c r="EA39" s="21">
        <f t="shared" si="71"/>
        <v>19.061663037236091</v>
      </c>
      <c r="EB39" s="21">
        <f t="shared" si="71"/>
        <v>19.061663037236091</v>
      </c>
      <c r="EC39" s="21">
        <f t="shared" si="71"/>
        <v>19.061663037236091</v>
      </c>
      <c r="ED39" s="21">
        <f>HLOOKUP(ED$37,$EI$37:$EJ$51,ROW($EH39)-ROW($EH$37)+1,FALSE)</f>
        <v>19.061663037236091</v>
      </c>
      <c r="EF39" s="62" t="s">
        <v>148</v>
      </c>
      <c r="EH39" s="21" t="str">
        <f>[5]Steel!$E$125</f>
        <v>Final Steel Product: Combined</v>
      </c>
      <c r="EI39" s="69">
        <f>[7]Steel!$E$128*Convert!$G$9/1000</f>
        <v>19.061663037236091</v>
      </c>
      <c r="EJ39" s="69">
        <f>[5]Steel!$E$128*Convert!$G$9/1000</f>
        <v>19.061663037236091</v>
      </c>
    </row>
    <row r="40" spans="1:140" x14ac:dyDescent="0.3">
      <c r="A40" s="21" t="s">
        <v>135</v>
      </c>
      <c r="D40" s="21">
        <f t="shared" si="59"/>
        <v>26.13887204534219</v>
      </c>
      <c r="E40" s="21">
        <f t="shared" si="59"/>
        <v>26.13887204534219</v>
      </c>
      <c r="F40" s="21">
        <f t="shared" si="59"/>
        <v>26.13887204534219</v>
      </c>
      <c r="G40" s="21">
        <f t="shared" si="59"/>
        <v>26.13887204534219</v>
      </c>
      <c r="H40" s="21">
        <f t="shared" si="59"/>
        <v>26.13887204534219</v>
      </c>
      <c r="I40" s="21">
        <f t="shared" si="59"/>
        <v>26.13887204534219</v>
      </c>
      <c r="J40" s="21">
        <f t="shared" si="59"/>
        <v>26.13887204534219</v>
      </c>
      <c r="K40" s="21">
        <f t="shared" si="59"/>
        <v>26.13887204534219</v>
      </c>
      <c r="L40" s="21">
        <f t="shared" si="59"/>
        <v>26.13887204534219</v>
      </c>
      <c r="M40" s="21">
        <f t="shared" si="59"/>
        <v>26.13887204534219</v>
      </c>
      <c r="N40" s="21">
        <f t="shared" si="60"/>
        <v>26.13887204534219</v>
      </c>
      <c r="O40" s="21">
        <f t="shared" si="60"/>
        <v>26.13887204534219</v>
      </c>
      <c r="P40" s="21">
        <f t="shared" si="60"/>
        <v>26.13887204534219</v>
      </c>
      <c r="Q40" s="21">
        <f t="shared" si="60"/>
        <v>26.13887204534219</v>
      </c>
      <c r="R40" s="21">
        <f t="shared" si="60"/>
        <v>26.13887204534219</v>
      </c>
      <c r="S40" s="21">
        <f t="shared" si="60"/>
        <v>26.13887204534219</v>
      </c>
      <c r="T40" s="21">
        <f t="shared" si="60"/>
        <v>26.13887204534219</v>
      </c>
      <c r="U40" s="21">
        <f t="shared" si="60"/>
        <v>26.13887204534219</v>
      </c>
      <c r="V40" s="21">
        <f t="shared" si="60"/>
        <v>26.13887204534219</v>
      </c>
      <c r="W40" s="21">
        <f t="shared" si="60"/>
        <v>26.13887204534219</v>
      </c>
      <c r="X40" s="21">
        <f t="shared" si="60"/>
        <v>26.13887204534219</v>
      </c>
      <c r="Y40" s="21">
        <f t="shared" si="60"/>
        <v>26.13887204534219</v>
      </c>
      <c r="Z40" s="21">
        <f t="shared" si="60"/>
        <v>26.13887204534219</v>
      </c>
      <c r="AA40" s="21">
        <f t="shared" si="60"/>
        <v>26.13887204534219</v>
      </c>
      <c r="AB40" s="21">
        <f t="shared" si="61"/>
        <v>26.13887204534219</v>
      </c>
      <c r="AC40" s="21">
        <f t="shared" si="61"/>
        <v>26.13887204534219</v>
      </c>
      <c r="AD40" s="21">
        <f t="shared" si="61"/>
        <v>26.13887204534219</v>
      </c>
      <c r="AE40" s="21">
        <f t="shared" si="62"/>
        <v>26.13887204534219</v>
      </c>
      <c r="AF40" s="21">
        <f t="shared" si="62"/>
        <v>26.13887204534219</v>
      </c>
      <c r="AG40" s="21">
        <f t="shared" si="62"/>
        <v>26.13887204534219</v>
      </c>
      <c r="AH40" s="21">
        <f t="shared" si="62"/>
        <v>26.13887204534219</v>
      </c>
      <c r="AI40" s="21">
        <f t="shared" si="62"/>
        <v>26.13887204534219</v>
      </c>
      <c r="AJ40" s="21">
        <f t="shared" si="62"/>
        <v>26.13887204534219</v>
      </c>
      <c r="AK40" s="21">
        <f t="shared" si="62"/>
        <v>26.13887204534219</v>
      </c>
      <c r="AL40" s="21">
        <f t="shared" si="62"/>
        <v>26.13887204534219</v>
      </c>
      <c r="AM40" s="21">
        <f t="shared" si="62"/>
        <v>26.13887204534219</v>
      </c>
      <c r="AN40" s="21">
        <f t="shared" si="62"/>
        <v>26.13887204534219</v>
      </c>
      <c r="AO40" s="21">
        <f t="shared" si="63"/>
        <v>26.13887204534219</v>
      </c>
      <c r="AP40" s="21">
        <f t="shared" si="63"/>
        <v>26.13887204534219</v>
      </c>
      <c r="AQ40" s="21">
        <f t="shared" si="63"/>
        <v>26.13887204534219</v>
      </c>
      <c r="AR40" s="21">
        <f t="shared" si="63"/>
        <v>26.13887204534219</v>
      </c>
      <c r="AS40" s="21">
        <f t="shared" si="63"/>
        <v>26.13887204534219</v>
      </c>
      <c r="AT40" s="21">
        <f t="shared" si="63"/>
        <v>26.13887204534219</v>
      </c>
      <c r="AU40" s="21">
        <f t="shared" si="63"/>
        <v>26.13887204534219</v>
      </c>
      <c r="AV40" s="21">
        <f t="shared" si="63"/>
        <v>26.13887204534219</v>
      </c>
      <c r="AW40" s="21">
        <f t="shared" si="63"/>
        <v>26.13887204534219</v>
      </c>
      <c r="AX40" s="21">
        <f t="shared" si="63"/>
        <v>26.13887204534219</v>
      </c>
      <c r="AY40" s="21">
        <f t="shared" si="64"/>
        <v>26.13887204534219</v>
      </c>
      <c r="AZ40" s="21">
        <f t="shared" si="64"/>
        <v>26.13887204534219</v>
      </c>
      <c r="BA40" s="21">
        <f t="shared" si="64"/>
        <v>26.13887204534219</v>
      </c>
      <c r="BB40" s="21">
        <f t="shared" si="64"/>
        <v>26.13887204534219</v>
      </c>
      <c r="BC40" s="21">
        <f t="shared" si="64"/>
        <v>26.13887204534219</v>
      </c>
      <c r="BD40" s="21">
        <f t="shared" si="64"/>
        <v>26.13887204534219</v>
      </c>
      <c r="BE40" s="21">
        <f t="shared" si="64"/>
        <v>26.13887204534219</v>
      </c>
      <c r="BF40" s="21">
        <f t="shared" si="64"/>
        <v>26.13887204534219</v>
      </c>
      <c r="BG40" s="21">
        <f t="shared" si="64"/>
        <v>26.13887204534219</v>
      </c>
      <c r="BH40" s="21">
        <f t="shared" si="64"/>
        <v>26.13887204534219</v>
      </c>
      <c r="BI40" s="21">
        <f t="shared" si="65"/>
        <v>26.13887204534219</v>
      </c>
      <c r="BJ40" s="21">
        <f t="shared" si="65"/>
        <v>26.13887204534219</v>
      </c>
      <c r="BK40" s="21">
        <f t="shared" si="65"/>
        <v>26.13887204534219</v>
      </c>
      <c r="BL40" s="21">
        <f t="shared" si="65"/>
        <v>26.13887204534219</v>
      </c>
      <c r="BM40" s="21">
        <f t="shared" si="65"/>
        <v>26.13887204534219</v>
      </c>
      <c r="BN40" s="21">
        <f t="shared" si="65"/>
        <v>26.13887204534219</v>
      </c>
      <c r="BO40" s="21">
        <f t="shared" si="65"/>
        <v>26.13887204534219</v>
      </c>
      <c r="BP40" s="21">
        <f t="shared" si="65"/>
        <v>26.13887204534219</v>
      </c>
      <c r="BQ40" s="21">
        <f t="shared" si="65"/>
        <v>26.13887204534219</v>
      </c>
      <c r="BR40" s="21">
        <f t="shared" si="65"/>
        <v>26.13887204534219</v>
      </c>
      <c r="BS40" s="21">
        <f t="shared" si="66"/>
        <v>26.13887204534219</v>
      </c>
      <c r="BT40" s="21">
        <f t="shared" si="66"/>
        <v>26.13887204534219</v>
      </c>
      <c r="BU40" s="21">
        <f t="shared" si="66"/>
        <v>26.13887204534219</v>
      </c>
      <c r="BV40" s="21">
        <f t="shared" si="66"/>
        <v>26.13887204534219</v>
      </c>
      <c r="BW40" s="21">
        <f t="shared" si="66"/>
        <v>26.13887204534219</v>
      </c>
      <c r="BX40" s="21">
        <f t="shared" si="66"/>
        <v>26.13887204534219</v>
      </c>
      <c r="BY40" s="21">
        <f t="shared" si="66"/>
        <v>26.13887204534219</v>
      </c>
      <c r="BZ40" s="21">
        <f t="shared" si="66"/>
        <v>26.13887204534219</v>
      </c>
      <c r="CA40" s="21">
        <f t="shared" si="66"/>
        <v>26.13887204534219</v>
      </c>
      <c r="CB40" s="21">
        <f t="shared" si="66"/>
        <v>26.13887204534219</v>
      </c>
      <c r="CC40" s="21">
        <f t="shared" si="67"/>
        <v>26.13887204534219</v>
      </c>
      <c r="CD40" s="21">
        <f t="shared" si="67"/>
        <v>26.13887204534219</v>
      </c>
      <c r="CE40" s="21">
        <f t="shared" si="67"/>
        <v>26.13887204534219</v>
      </c>
      <c r="CF40" s="21">
        <f t="shared" si="67"/>
        <v>26.13887204534219</v>
      </c>
      <c r="CG40" s="21">
        <f t="shared" si="67"/>
        <v>26.13887204534219</v>
      </c>
      <c r="CH40" s="21">
        <f t="shared" si="67"/>
        <v>26.13887204534219</v>
      </c>
      <c r="CI40" s="21">
        <f t="shared" si="67"/>
        <v>26.13887204534219</v>
      </c>
      <c r="CJ40" s="21">
        <f t="shared" si="67"/>
        <v>26.13887204534219</v>
      </c>
      <c r="CK40" s="21">
        <f t="shared" si="67"/>
        <v>26.13887204534219</v>
      </c>
      <c r="CL40" s="21">
        <f t="shared" si="67"/>
        <v>26.13887204534219</v>
      </c>
      <c r="CM40" s="21">
        <f t="shared" si="68"/>
        <v>26.13887204534219</v>
      </c>
      <c r="CN40" s="21">
        <f t="shared" si="68"/>
        <v>26.13887204534219</v>
      </c>
      <c r="CO40" s="21">
        <f t="shared" si="68"/>
        <v>26.13887204534219</v>
      </c>
      <c r="CP40" s="21">
        <f t="shared" si="68"/>
        <v>26.13887204534219</v>
      </c>
      <c r="CQ40" s="21">
        <f t="shared" si="68"/>
        <v>26.13887204534219</v>
      </c>
      <c r="CR40" s="21">
        <f t="shared" si="68"/>
        <v>26.13887204534219</v>
      </c>
      <c r="CS40" s="21">
        <f t="shared" si="68"/>
        <v>26.13887204534219</v>
      </c>
      <c r="CT40" s="21">
        <f t="shared" si="68"/>
        <v>26.13887204534219</v>
      </c>
      <c r="CU40" s="21">
        <f t="shared" si="68"/>
        <v>26.13887204534219</v>
      </c>
      <c r="CV40" s="21">
        <f t="shared" si="68"/>
        <v>26.13887204534219</v>
      </c>
      <c r="CW40" s="21">
        <f t="shared" si="69"/>
        <v>26.13887204534219</v>
      </c>
      <c r="CX40" s="21">
        <f t="shared" si="69"/>
        <v>26.13887204534219</v>
      </c>
      <c r="CY40" s="21">
        <f t="shared" si="69"/>
        <v>26.13887204534219</v>
      </c>
      <c r="CZ40" s="21">
        <f t="shared" si="69"/>
        <v>26.13887204534219</v>
      </c>
      <c r="DA40" s="21">
        <f t="shared" si="69"/>
        <v>26.13887204534219</v>
      </c>
      <c r="DB40" s="21">
        <f t="shared" si="69"/>
        <v>26.13887204534219</v>
      </c>
      <c r="DC40" s="21">
        <f t="shared" si="69"/>
        <v>26.13887204534219</v>
      </c>
      <c r="DD40" s="21">
        <f t="shared" si="69"/>
        <v>26.13887204534219</v>
      </c>
      <c r="DE40" s="21">
        <f t="shared" si="69"/>
        <v>26.13887204534219</v>
      </c>
      <c r="DF40" s="21">
        <f t="shared" si="69"/>
        <v>26.13887204534219</v>
      </c>
      <c r="DH40" s="21">
        <f t="shared" si="70"/>
        <v>26.13887204534219</v>
      </c>
      <c r="DI40" s="21">
        <f t="shared" si="70"/>
        <v>26.13887204534219</v>
      </c>
      <c r="DJ40" s="21">
        <f t="shared" si="70"/>
        <v>26.13887204534219</v>
      </c>
      <c r="DK40" s="21">
        <f t="shared" si="70"/>
        <v>26.13887204534219</v>
      </c>
      <c r="DL40" s="21">
        <f t="shared" si="70"/>
        <v>26.13887204534219</v>
      </c>
      <c r="DM40" s="21">
        <f t="shared" si="70"/>
        <v>26.13887204534219</v>
      </c>
      <c r="DN40" s="21">
        <f t="shared" si="70"/>
        <v>26.13887204534219</v>
      </c>
      <c r="DO40" s="21">
        <f t="shared" si="70"/>
        <v>26.13887204534219</v>
      </c>
      <c r="DP40" s="21">
        <f t="shared" si="70"/>
        <v>26.13887204534219</v>
      </c>
      <c r="DQ40" s="21">
        <f t="shared" si="70"/>
        <v>26.13887204534219</v>
      </c>
      <c r="DR40" s="21">
        <f t="shared" si="70"/>
        <v>26.13887204534219</v>
      </c>
      <c r="DS40" s="21">
        <f t="shared" si="70"/>
        <v>26.13887204534219</v>
      </c>
      <c r="DT40" s="21">
        <f t="shared" si="70"/>
        <v>26.13887204534219</v>
      </c>
      <c r="DU40" s="21">
        <f t="shared" si="70"/>
        <v>26.13887204534219</v>
      </c>
      <c r="DV40" s="21">
        <f t="shared" si="70"/>
        <v>26.13887204534219</v>
      </c>
      <c r="DW40" s="21">
        <f t="shared" si="70"/>
        <v>26.13887204534219</v>
      </c>
      <c r="DX40" s="21">
        <f t="shared" si="71"/>
        <v>26.13887204534219</v>
      </c>
      <c r="DY40" s="21">
        <f t="shared" si="71"/>
        <v>26.13887204534219</v>
      </c>
      <c r="DZ40" s="21">
        <f t="shared" si="71"/>
        <v>26.13887204534219</v>
      </c>
      <c r="EA40" s="21">
        <f t="shared" si="71"/>
        <v>26.13887204534219</v>
      </c>
      <c r="EB40" s="21">
        <f t="shared" si="71"/>
        <v>26.13887204534219</v>
      </c>
      <c r="EC40" s="21">
        <f t="shared" si="71"/>
        <v>26.13887204534219</v>
      </c>
      <c r="ED40" s="21">
        <f t="shared" si="72"/>
        <v>26.13887204534219</v>
      </c>
      <c r="EH40" s="21" t="str">
        <f>[5]Steel!$E$193</f>
        <v>Final Steel Product: Combined</v>
      </c>
      <c r="EI40" s="69">
        <f>[7]Steel!$E$196*Convert!$G$9/1000</f>
        <v>26.13887204534219</v>
      </c>
      <c r="EJ40" s="69">
        <f>[5]Steel!$E$196*Convert!$G$9/1000</f>
        <v>26.13887204534219</v>
      </c>
    </row>
    <row r="41" spans="1:140" x14ac:dyDescent="0.3">
      <c r="A41" s="21" t="s">
        <v>136</v>
      </c>
      <c r="D41" s="21">
        <f t="shared" si="59"/>
        <v>31.44180657005337</v>
      </c>
      <c r="E41" s="21">
        <f t="shared" si="59"/>
        <v>31.44180657005337</v>
      </c>
      <c r="F41" s="21">
        <f t="shared" si="59"/>
        <v>31.44180657005337</v>
      </c>
      <c r="G41" s="21">
        <f t="shared" si="59"/>
        <v>31.44180657005337</v>
      </c>
      <c r="H41" s="21">
        <f t="shared" si="59"/>
        <v>31.44180657005337</v>
      </c>
      <c r="I41" s="21">
        <f t="shared" si="59"/>
        <v>31.44180657005337</v>
      </c>
      <c r="J41" s="21">
        <f t="shared" si="59"/>
        <v>31.44180657005337</v>
      </c>
      <c r="K41" s="21">
        <f t="shared" si="59"/>
        <v>31.44180657005337</v>
      </c>
      <c r="L41" s="21">
        <f t="shared" si="59"/>
        <v>31.44180657005337</v>
      </c>
      <c r="M41" s="21">
        <f t="shared" si="59"/>
        <v>31.44180657005337</v>
      </c>
      <c r="N41" s="21">
        <f t="shared" si="60"/>
        <v>31.44180657005337</v>
      </c>
      <c r="O41" s="21">
        <f t="shared" si="60"/>
        <v>31.44180657005337</v>
      </c>
      <c r="P41" s="21">
        <f t="shared" si="60"/>
        <v>31.44180657005337</v>
      </c>
      <c r="Q41" s="21">
        <f t="shared" si="60"/>
        <v>31.44180657005337</v>
      </c>
      <c r="R41" s="21">
        <f t="shared" si="60"/>
        <v>31.44180657005337</v>
      </c>
      <c r="S41" s="21">
        <f t="shared" si="60"/>
        <v>31.44180657005337</v>
      </c>
      <c r="T41" s="21">
        <f t="shared" si="60"/>
        <v>31.44180657005337</v>
      </c>
      <c r="U41" s="21">
        <f t="shared" si="60"/>
        <v>31.44180657005337</v>
      </c>
      <c r="V41" s="21">
        <f t="shared" si="60"/>
        <v>31.44180657005337</v>
      </c>
      <c r="W41" s="21">
        <f t="shared" si="60"/>
        <v>31.44180657005337</v>
      </c>
      <c r="X41" s="21">
        <f t="shared" si="60"/>
        <v>31.44180657005337</v>
      </c>
      <c r="Y41" s="21">
        <f t="shared" si="60"/>
        <v>31.44180657005337</v>
      </c>
      <c r="Z41" s="21">
        <f t="shared" si="60"/>
        <v>31.44180657005337</v>
      </c>
      <c r="AA41" s="21">
        <f t="shared" si="60"/>
        <v>31.44180657005337</v>
      </c>
      <c r="AB41" s="21">
        <f t="shared" si="61"/>
        <v>31.44180657005337</v>
      </c>
      <c r="AC41" s="21">
        <f t="shared" si="61"/>
        <v>31.44180657005337</v>
      </c>
      <c r="AD41" s="21">
        <f t="shared" si="61"/>
        <v>31.44180657005337</v>
      </c>
      <c r="AE41" s="21">
        <f t="shared" si="62"/>
        <v>31.44180657005337</v>
      </c>
      <c r="AF41" s="21">
        <f t="shared" si="62"/>
        <v>31.44180657005337</v>
      </c>
      <c r="AG41" s="21">
        <f t="shared" si="62"/>
        <v>31.44180657005337</v>
      </c>
      <c r="AH41" s="21">
        <f t="shared" si="62"/>
        <v>31.44180657005337</v>
      </c>
      <c r="AI41" s="21">
        <f t="shared" si="62"/>
        <v>31.44180657005337</v>
      </c>
      <c r="AJ41" s="21">
        <f t="shared" si="62"/>
        <v>31.44180657005337</v>
      </c>
      <c r="AK41" s="21">
        <f t="shared" si="62"/>
        <v>31.44180657005337</v>
      </c>
      <c r="AL41" s="21">
        <f t="shared" si="62"/>
        <v>31.44180657005337</v>
      </c>
      <c r="AM41" s="21">
        <f t="shared" si="62"/>
        <v>31.44180657005337</v>
      </c>
      <c r="AN41" s="21">
        <f t="shared" si="62"/>
        <v>31.44180657005337</v>
      </c>
      <c r="AO41" s="21">
        <f t="shared" si="63"/>
        <v>31.44180657005337</v>
      </c>
      <c r="AP41" s="21">
        <f t="shared" si="63"/>
        <v>31.44180657005337</v>
      </c>
      <c r="AQ41" s="21">
        <f t="shared" si="63"/>
        <v>31.44180657005337</v>
      </c>
      <c r="AR41" s="21">
        <f t="shared" si="63"/>
        <v>31.44180657005337</v>
      </c>
      <c r="AS41" s="21">
        <f t="shared" si="63"/>
        <v>31.44180657005337</v>
      </c>
      <c r="AT41" s="21">
        <f t="shared" si="63"/>
        <v>31.44180657005337</v>
      </c>
      <c r="AU41" s="21">
        <f t="shared" si="63"/>
        <v>31.44180657005337</v>
      </c>
      <c r="AV41" s="21">
        <f t="shared" si="63"/>
        <v>31.44180657005337</v>
      </c>
      <c r="AW41" s="21">
        <f t="shared" si="63"/>
        <v>31.44180657005337</v>
      </c>
      <c r="AX41" s="21">
        <f t="shared" si="63"/>
        <v>31.44180657005337</v>
      </c>
      <c r="AY41" s="21">
        <f t="shared" si="64"/>
        <v>31.44180657005337</v>
      </c>
      <c r="AZ41" s="21">
        <f t="shared" si="64"/>
        <v>31.44180657005337</v>
      </c>
      <c r="BA41" s="21">
        <f t="shared" si="64"/>
        <v>31.44180657005337</v>
      </c>
      <c r="BB41" s="21">
        <f t="shared" si="64"/>
        <v>31.44180657005337</v>
      </c>
      <c r="BC41" s="21">
        <f t="shared" si="64"/>
        <v>31.44180657005337</v>
      </c>
      <c r="BD41" s="21">
        <f t="shared" si="64"/>
        <v>31.44180657005337</v>
      </c>
      <c r="BE41" s="21">
        <f t="shared" si="64"/>
        <v>31.44180657005337</v>
      </c>
      <c r="BF41" s="21">
        <f t="shared" si="64"/>
        <v>31.44180657005337</v>
      </c>
      <c r="BG41" s="21">
        <f t="shared" si="64"/>
        <v>31.44180657005337</v>
      </c>
      <c r="BH41" s="21">
        <f t="shared" si="64"/>
        <v>31.44180657005337</v>
      </c>
      <c r="BI41" s="21">
        <f t="shared" si="65"/>
        <v>31.44180657005337</v>
      </c>
      <c r="BJ41" s="21">
        <f t="shared" si="65"/>
        <v>31.44180657005337</v>
      </c>
      <c r="BK41" s="21">
        <f t="shared" si="65"/>
        <v>31.44180657005337</v>
      </c>
      <c r="BL41" s="21">
        <f t="shared" si="65"/>
        <v>31.44180657005337</v>
      </c>
      <c r="BM41" s="21">
        <f t="shared" si="65"/>
        <v>31.44180657005337</v>
      </c>
      <c r="BN41" s="21">
        <f t="shared" si="65"/>
        <v>31.44180657005337</v>
      </c>
      <c r="BO41" s="21">
        <f t="shared" si="65"/>
        <v>31.44180657005337</v>
      </c>
      <c r="BP41" s="21">
        <f t="shared" si="65"/>
        <v>31.44180657005337</v>
      </c>
      <c r="BQ41" s="21">
        <f t="shared" si="65"/>
        <v>31.44180657005337</v>
      </c>
      <c r="BR41" s="21">
        <f t="shared" si="65"/>
        <v>31.44180657005337</v>
      </c>
      <c r="BS41" s="21">
        <f t="shared" si="66"/>
        <v>31.44180657005337</v>
      </c>
      <c r="BT41" s="21">
        <f t="shared" si="66"/>
        <v>31.44180657005337</v>
      </c>
      <c r="BU41" s="21">
        <f t="shared" si="66"/>
        <v>31.44180657005337</v>
      </c>
      <c r="BV41" s="21">
        <f t="shared" si="66"/>
        <v>31.44180657005337</v>
      </c>
      <c r="BW41" s="21">
        <f t="shared" si="66"/>
        <v>31.44180657005337</v>
      </c>
      <c r="BX41" s="21">
        <f t="shared" si="66"/>
        <v>31.44180657005337</v>
      </c>
      <c r="BY41" s="21">
        <f t="shared" si="66"/>
        <v>31.44180657005337</v>
      </c>
      <c r="BZ41" s="21">
        <f t="shared" si="66"/>
        <v>31.44180657005337</v>
      </c>
      <c r="CA41" s="21">
        <f t="shared" si="66"/>
        <v>31.44180657005337</v>
      </c>
      <c r="CB41" s="21">
        <f t="shared" si="66"/>
        <v>31.44180657005337</v>
      </c>
      <c r="CC41" s="21">
        <f t="shared" si="67"/>
        <v>31.44180657005337</v>
      </c>
      <c r="CD41" s="21">
        <f t="shared" si="67"/>
        <v>31.44180657005337</v>
      </c>
      <c r="CE41" s="21">
        <f t="shared" si="67"/>
        <v>31.44180657005337</v>
      </c>
      <c r="CF41" s="21">
        <f t="shared" si="67"/>
        <v>31.44180657005337</v>
      </c>
      <c r="CG41" s="21">
        <f t="shared" si="67"/>
        <v>31.44180657005337</v>
      </c>
      <c r="CH41" s="21">
        <f t="shared" si="67"/>
        <v>31.44180657005337</v>
      </c>
      <c r="CI41" s="21">
        <f t="shared" si="67"/>
        <v>31.44180657005337</v>
      </c>
      <c r="CJ41" s="21">
        <f t="shared" si="67"/>
        <v>31.44180657005337</v>
      </c>
      <c r="CK41" s="21">
        <f t="shared" si="67"/>
        <v>31.44180657005337</v>
      </c>
      <c r="CL41" s="21">
        <f t="shared" si="67"/>
        <v>31.44180657005337</v>
      </c>
      <c r="CM41" s="21">
        <f t="shared" si="68"/>
        <v>31.44180657005337</v>
      </c>
      <c r="CN41" s="21">
        <f t="shared" si="68"/>
        <v>31.44180657005337</v>
      </c>
      <c r="CO41" s="21">
        <f t="shared" si="68"/>
        <v>31.44180657005337</v>
      </c>
      <c r="CP41" s="21">
        <f t="shared" si="68"/>
        <v>31.44180657005337</v>
      </c>
      <c r="CQ41" s="21">
        <f t="shared" si="68"/>
        <v>31.44180657005337</v>
      </c>
      <c r="CR41" s="21">
        <f t="shared" si="68"/>
        <v>31.44180657005337</v>
      </c>
      <c r="CS41" s="21">
        <f t="shared" si="68"/>
        <v>31.44180657005337</v>
      </c>
      <c r="CT41" s="21">
        <f t="shared" si="68"/>
        <v>31.44180657005337</v>
      </c>
      <c r="CU41" s="21">
        <f t="shared" si="68"/>
        <v>31.44180657005337</v>
      </c>
      <c r="CV41" s="21">
        <f t="shared" si="68"/>
        <v>31.44180657005337</v>
      </c>
      <c r="CW41" s="21">
        <f t="shared" si="69"/>
        <v>31.44180657005337</v>
      </c>
      <c r="CX41" s="21">
        <f t="shared" si="69"/>
        <v>31.44180657005337</v>
      </c>
      <c r="CY41" s="21">
        <f t="shared" si="69"/>
        <v>31.44180657005337</v>
      </c>
      <c r="CZ41" s="21">
        <f t="shared" si="69"/>
        <v>31.44180657005337</v>
      </c>
      <c r="DA41" s="21">
        <f t="shared" si="69"/>
        <v>31.44180657005337</v>
      </c>
      <c r="DB41" s="21">
        <f t="shared" si="69"/>
        <v>31.44180657005337</v>
      </c>
      <c r="DC41" s="21">
        <f t="shared" si="69"/>
        <v>31.44180657005337</v>
      </c>
      <c r="DD41" s="21">
        <f t="shared" si="69"/>
        <v>31.44180657005337</v>
      </c>
      <c r="DE41" s="21">
        <f t="shared" si="69"/>
        <v>31.44180657005337</v>
      </c>
      <c r="DF41" s="21">
        <f t="shared" si="69"/>
        <v>31.44180657005337</v>
      </c>
      <c r="DH41" s="21">
        <f t="shared" si="70"/>
        <v>31.44180657005337</v>
      </c>
      <c r="DI41" s="21">
        <f t="shared" si="70"/>
        <v>31.44180657005337</v>
      </c>
      <c r="DJ41" s="21">
        <f t="shared" si="70"/>
        <v>31.44180657005337</v>
      </c>
      <c r="DK41" s="21">
        <f t="shared" si="70"/>
        <v>31.44180657005337</v>
      </c>
      <c r="DL41" s="21">
        <f t="shared" si="70"/>
        <v>31.44180657005337</v>
      </c>
      <c r="DM41" s="21">
        <f t="shared" si="70"/>
        <v>31.44180657005337</v>
      </c>
      <c r="DN41" s="21">
        <f t="shared" si="70"/>
        <v>31.44180657005337</v>
      </c>
      <c r="DO41" s="21">
        <f t="shared" si="70"/>
        <v>31.44180657005337</v>
      </c>
      <c r="DP41" s="21">
        <f t="shared" si="70"/>
        <v>31.44180657005337</v>
      </c>
      <c r="DQ41" s="21">
        <f t="shared" si="70"/>
        <v>31.44180657005337</v>
      </c>
      <c r="DR41" s="21">
        <f t="shared" si="70"/>
        <v>31.44180657005337</v>
      </c>
      <c r="DS41" s="21">
        <f t="shared" si="70"/>
        <v>31.44180657005337</v>
      </c>
      <c r="DT41" s="21">
        <f t="shared" si="70"/>
        <v>31.44180657005337</v>
      </c>
      <c r="DU41" s="21">
        <f t="shared" si="70"/>
        <v>31.44180657005337</v>
      </c>
      <c r="DV41" s="21">
        <f t="shared" si="70"/>
        <v>31.44180657005337</v>
      </c>
      <c r="DW41" s="21">
        <f t="shared" si="70"/>
        <v>31.44180657005337</v>
      </c>
      <c r="DX41" s="21">
        <f t="shared" si="71"/>
        <v>31.44180657005337</v>
      </c>
      <c r="DY41" s="21">
        <f t="shared" si="71"/>
        <v>31.44180657005337</v>
      </c>
      <c r="DZ41" s="21">
        <f t="shared" si="71"/>
        <v>31.44180657005337</v>
      </c>
      <c r="EA41" s="21">
        <f t="shared" si="71"/>
        <v>31.44180657005337</v>
      </c>
      <c r="EB41" s="21">
        <f t="shared" si="71"/>
        <v>31.44180657005337</v>
      </c>
      <c r="EC41" s="21">
        <f t="shared" si="71"/>
        <v>31.44180657005337</v>
      </c>
      <c r="ED41" s="21">
        <f t="shared" si="72"/>
        <v>31.44180657005337</v>
      </c>
      <c r="EH41" s="21" t="str">
        <f>'[5]C.Iron'!$J$60</f>
        <v>Final Iron Product: Combined</v>
      </c>
      <c r="EI41" s="69">
        <f>'[7]C.Iron'!$J$62*Convert!$G$9/1000</f>
        <v>31.44180657005337</v>
      </c>
      <c r="EJ41" s="69">
        <f>'[5]C.Iron'!$J$62*Convert!$G$9/1000</f>
        <v>31.44180657005337</v>
      </c>
    </row>
    <row r="42" spans="1:140" x14ac:dyDescent="0.3">
      <c r="A42" s="21" t="s">
        <v>137</v>
      </c>
      <c r="D42" s="21">
        <f t="shared" si="59"/>
        <v>192.38570427734732</v>
      </c>
      <c r="E42" s="21">
        <f t="shared" si="59"/>
        <v>192.38570427734732</v>
      </c>
      <c r="F42" s="21">
        <f t="shared" si="59"/>
        <v>120.95914685012082</v>
      </c>
      <c r="G42" s="21">
        <f t="shared" si="59"/>
        <v>192.38570427734732</v>
      </c>
      <c r="H42" s="21">
        <f t="shared" si="59"/>
        <v>192.38570427734732</v>
      </c>
      <c r="I42" s="21">
        <f t="shared" si="59"/>
        <v>192.38570427734732</v>
      </c>
      <c r="J42" s="21">
        <f t="shared" si="59"/>
        <v>192.38570427734732</v>
      </c>
      <c r="K42" s="21">
        <f t="shared" si="59"/>
        <v>192.38570427734732</v>
      </c>
      <c r="L42" s="21">
        <f t="shared" si="59"/>
        <v>192.38570427734732</v>
      </c>
      <c r="M42" s="21">
        <f t="shared" si="59"/>
        <v>192.38570427734732</v>
      </c>
      <c r="N42" s="21">
        <f t="shared" si="60"/>
        <v>192.38570427734732</v>
      </c>
      <c r="O42" s="21">
        <f t="shared" si="60"/>
        <v>192.38570427734732</v>
      </c>
      <c r="P42" s="21">
        <f t="shared" si="60"/>
        <v>192.38570427734732</v>
      </c>
      <c r="Q42" s="21">
        <f t="shared" si="60"/>
        <v>192.38570427734732</v>
      </c>
      <c r="R42" s="21">
        <f t="shared" si="60"/>
        <v>192.38570427734732</v>
      </c>
      <c r="S42" s="21">
        <f t="shared" si="60"/>
        <v>192.38570427734732</v>
      </c>
      <c r="T42" s="21">
        <f t="shared" si="60"/>
        <v>120.95914685012082</v>
      </c>
      <c r="U42" s="21">
        <f t="shared" si="60"/>
        <v>192.38570427734732</v>
      </c>
      <c r="V42" s="21">
        <f t="shared" si="60"/>
        <v>192.38570427734732</v>
      </c>
      <c r="W42" s="21">
        <f t="shared" si="60"/>
        <v>192.38570427734732</v>
      </c>
      <c r="X42" s="21">
        <f t="shared" si="60"/>
        <v>120.95914685012082</v>
      </c>
      <c r="Y42" s="21">
        <f t="shared" si="60"/>
        <v>192.38570427734732</v>
      </c>
      <c r="Z42" s="21">
        <f t="shared" si="60"/>
        <v>192.38570427734732</v>
      </c>
      <c r="AA42" s="21">
        <f t="shared" si="60"/>
        <v>192.38570427734732</v>
      </c>
      <c r="AB42" s="21">
        <f t="shared" si="61"/>
        <v>120.95914685012082</v>
      </c>
      <c r="AC42" s="21">
        <f t="shared" si="61"/>
        <v>192.38570427734732</v>
      </c>
      <c r="AD42" s="21">
        <f t="shared" si="61"/>
        <v>192.38570427734732</v>
      </c>
      <c r="AE42" s="21">
        <f t="shared" si="62"/>
        <v>192.38570427734732</v>
      </c>
      <c r="AF42" s="21">
        <f t="shared" si="62"/>
        <v>192.38570427734732</v>
      </c>
      <c r="AG42" s="21">
        <f t="shared" si="62"/>
        <v>192.38570427734732</v>
      </c>
      <c r="AH42" s="21">
        <f t="shared" si="62"/>
        <v>192.38570427734732</v>
      </c>
      <c r="AI42" s="21">
        <f t="shared" si="62"/>
        <v>192.38570427734732</v>
      </c>
      <c r="AJ42" s="21">
        <f t="shared" si="62"/>
        <v>192.38570427734732</v>
      </c>
      <c r="AK42" s="21">
        <f t="shared" si="62"/>
        <v>192.38570427734732</v>
      </c>
      <c r="AL42" s="21">
        <f t="shared" si="62"/>
        <v>192.38570427734732</v>
      </c>
      <c r="AM42" s="21">
        <f t="shared" si="62"/>
        <v>192.38570427734732</v>
      </c>
      <c r="AN42" s="21">
        <f t="shared" si="62"/>
        <v>192.38570427734732</v>
      </c>
      <c r="AO42" s="21">
        <f t="shared" si="63"/>
        <v>192.38570427734732</v>
      </c>
      <c r="AP42" s="21">
        <f t="shared" si="63"/>
        <v>192.38570427734732</v>
      </c>
      <c r="AQ42" s="21">
        <f t="shared" si="63"/>
        <v>192.38570427734732</v>
      </c>
      <c r="AR42" s="21">
        <f t="shared" si="63"/>
        <v>192.38570427734732</v>
      </c>
      <c r="AS42" s="21">
        <f t="shared" si="63"/>
        <v>192.38570427734732</v>
      </c>
      <c r="AT42" s="21">
        <f t="shared" si="63"/>
        <v>192.38570427734732</v>
      </c>
      <c r="AU42" s="21">
        <f t="shared" si="63"/>
        <v>120.95914685012082</v>
      </c>
      <c r="AV42" s="21">
        <f t="shared" si="63"/>
        <v>192.38570427734732</v>
      </c>
      <c r="AW42" s="21">
        <f t="shared" si="63"/>
        <v>192.38570427734732</v>
      </c>
      <c r="AX42" s="21">
        <f t="shared" si="63"/>
        <v>192.38570427734732</v>
      </c>
      <c r="AY42" s="21">
        <f t="shared" si="64"/>
        <v>192.38570427734732</v>
      </c>
      <c r="AZ42" s="21">
        <f t="shared" si="64"/>
        <v>192.38570427734732</v>
      </c>
      <c r="BA42" s="21">
        <f t="shared" si="64"/>
        <v>192.38570427734732</v>
      </c>
      <c r="BB42" s="21">
        <f t="shared" si="64"/>
        <v>192.38570427734732</v>
      </c>
      <c r="BC42" s="21">
        <f t="shared" si="64"/>
        <v>192.38570427734732</v>
      </c>
      <c r="BD42" s="21">
        <f t="shared" si="64"/>
        <v>192.38570427734732</v>
      </c>
      <c r="BE42" s="21">
        <f t="shared" si="64"/>
        <v>192.38570427734732</v>
      </c>
      <c r="BF42" s="21">
        <f t="shared" si="64"/>
        <v>192.38570427734732</v>
      </c>
      <c r="BG42" s="21">
        <f t="shared" si="64"/>
        <v>192.38570427734732</v>
      </c>
      <c r="BH42" s="21">
        <f t="shared" si="64"/>
        <v>192.38570427734732</v>
      </c>
      <c r="BI42" s="21">
        <f t="shared" si="65"/>
        <v>192.38570427734732</v>
      </c>
      <c r="BJ42" s="21">
        <f t="shared" si="65"/>
        <v>192.38570427734732</v>
      </c>
      <c r="BK42" s="21">
        <f t="shared" si="65"/>
        <v>192.38570427734732</v>
      </c>
      <c r="BL42" s="21">
        <f t="shared" si="65"/>
        <v>192.38570427734732</v>
      </c>
      <c r="BM42" s="21">
        <f t="shared" si="65"/>
        <v>192.38570427734732</v>
      </c>
      <c r="BN42" s="21">
        <f t="shared" si="65"/>
        <v>192.38570427734732</v>
      </c>
      <c r="BO42" s="21">
        <f t="shared" si="65"/>
        <v>192.38570427734732</v>
      </c>
      <c r="BP42" s="21">
        <f t="shared" si="65"/>
        <v>192.38570427734732</v>
      </c>
      <c r="BQ42" s="21">
        <f t="shared" si="65"/>
        <v>120.95914685012082</v>
      </c>
      <c r="BR42" s="21">
        <f t="shared" si="65"/>
        <v>192.38570427734732</v>
      </c>
      <c r="BS42" s="21">
        <f t="shared" si="66"/>
        <v>192.38570427734732</v>
      </c>
      <c r="BT42" s="21">
        <f t="shared" si="66"/>
        <v>192.38570427734732</v>
      </c>
      <c r="BU42" s="21">
        <f t="shared" si="66"/>
        <v>192.38570427734732</v>
      </c>
      <c r="BV42" s="21">
        <f t="shared" si="66"/>
        <v>192.38570427734732</v>
      </c>
      <c r="BW42" s="21">
        <f t="shared" si="66"/>
        <v>192.38570427734732</v>
      </c>
      <c r="BX42" s="21">
        <f t="shared" si="66"/>
        <v>192.38570427734732</v>
      </c>
      <c r="BY42" s="21">
        <f t="shared" si="66"/>
        <v>192.38570427734732</v>
      </c>
      <c r="BZ42" s="21">
        <f t="shared" si="66"/>
        <v>120.95914685012082</v>
      </c>
      <c r="CA42" s="21">
        <f t="shared" si="66"/>
        <v>192.38570427734732</v>
      </c>
      <c r="CB42" s="21">
        <f t="shared" si="66"/>
        <v>192.38570427734732</v>
      </c>
      <c r="CC42" s="21">
        <f t="shared" si="67"/>
        <v>192.38570427734732</v>
      </c>
      <c r="CD42" s="21">
        <f t="shared" si="67"/>
        <v>192.38570427734732</v>
      </c>
      <c r="CE42" s="21">
        <f t="shared" si="67"/>
        <v>192.38570427734732</v>
      </c>
      <c r="CF42" s="21">
        <f t="shared" si="67"/>
        <v>192.38570427734732</v>
      </c>
      <c r="CG42" s="21">
        <f t="shared" si="67"/>
        <v>192.38570427734732</v>
      </c>
      <c r="CH42" s="21">
        <f t="shared" si="67"/>
        <v>192.38570427734732</v>
      </c>
      <c r="CI42" s="21">
        <f t="shared" si="67"/>
        <v>192.38570427734732</v>
      </c>
      <c r="CJ42" s="21">
        <f t="shared" si="67"/>
        <v>192.38570427734732</v>
      </c>
      <c r="CK42" s="21">
        <f t="shared" si="67"/>
        <v>192.38570427734732</v>
      </c>
      <c r="CL42" s="21">
        <f t="shared" si="67"/>
        <v>192.38570427734732</v>
      </c>
      <c r="CM42" s="21">
        <f t="shared" si="68"/>
        <v>192.38570427734732</v>
      </c>
      <c r="CN42" s="21">
        <f t="shared" si="68"/>
        <v>192.38570427734732</v>
      </c>
      <c r="CO42" s="21">
        <f t="shared" si="68"/>
        <v>192.38570427734732</v>
      </c>
      <c r="CP42" s="21">
        <f t="shared" si="68"/>
        <v>192.38570427734732</v>
      </c>
      <c r="CQ42" s="21">
        <f t="shared" si="68"/>
        <v>192.38570427734732</v>
      </c>
      <c r="CR42" s="21">
        <f t="shared" si="68"/>
        <v>192.38570427734732</v>
      </c>
      <c r="CS42" s="21">
        <f t="shared" si="68"/>
        <v>192.38570427734732</v>
      </c>
      <c r="CT42" s="21">
        <f t="shared" si="68"/>
        <v>192.38570427734732</v>
      </c>
      <c r="CU42" s="21">
        <f t="shared" si="68"/>
        <v>192.38570427734732</v>
      </c>
      <c r="CV42" s="21">
        <f t="shared" si="68"/>
        <v>192.38570427734732</v>
      </c>
      <c r="CW42" s="21">
        <f t="shared" si="69"/>
        <v>192.38570427734732</v>
      </c>
      <c r="CX42" s="21">
        <f t="shared" si="69"/>
        <v>192.38570427734732</v>
      </c>
      <c r="CY42" s="21">
        <f t="shared" si="69"/>
        <v>192.38570427734732</v>
      </c>
      <c r="CZ42" s="21">
        <f t="shared" si="69"/>
        <v>192.38570427734732</v>
      </c>
      <c r="DA42" s="21">
        <f t="shared" si="69"/>
        <v>192.38570427734732</v>
      </c>
      <c r="DB42" s="21">
        <f t="shared" si="69"/>
        <v>192.38570427734732</v>
      </c>
      <c r="DC42" s="21">
        <f t="shared" si="69"/>
        <v>192.38570427734732</v>
      </c>
      <c r="DD42" s="21">
        <f t="shared" si="69"/>
        <v>192.38570427734732</v>
      </c>
      <c r="DE42" s="21">
        <f t="shared" si="69"/>
        <v>192.38570427734732</v>
      </c>
      <c r="DF42" s="21">
        <f t="shared" si="69"/>
        <v>192.38570427734732</v>
      </c>
      <c r="DH42" s="21">
        <f t="shared" si="70"/>
        <v>192.38570427734732</v>
      </c>
      <c r="DI42" s="21">
        <f t="shared" si="70"/>
        <v>192.38570427734732</v>
      </c>
      <c r="DJ42" s="21">
        <f t="shared" si="70"/>
        <v>192.38570427734732</v>
      </c>
      <c r="DK42" s="21">
        <f t="shared" si="70"/>
        <v>192.38570427734732</v>
      </c>
      <c r="DL42" s="21">
        <f t="shared" si="70"/>
        <v>192.38570427734732</v>
      </c>
      <c r="DM42" s="21">
        <f t="shared" si="70"/>
        <v>192.38570427734732</v>
      </c>
      <c r="DN42" s="21">
        <f t="shared" si="70"/>
        <v>192.38570427734732</v>
      </c>
      <c r="DO42" s="21">
        <f t="shared" si="70"/>
        <v>192.38570427734732</v>
      </c>
      <c r="DP42" s="21">
        <f t="shared" si="70"/>
        <v>192.38570427734732</v>
      </c>
      <c r="DQ42" s="21">
        <f t="shared" si="70"/>
        <v>192.38570427734732</v>
      </c>
      <c r="DR42" s="21">
        <f t="shared" si="70"/>
        <v>192.38570427734732</v>
      </c>
      <c r="DS42" s="21">
        <f t="shared" si="70"/>
        <v>192.38570427734732</v>
      </c>
      <c r="DT42" s="21">
        <f t="shared" si="70"/>
        <v>192.38570427734732</v>
      </c>
      <c r="DU42" s="21">
        <f t="shared" si="70"/>
        <v>192.38570427734732</v>
      </c>
      <c r="DV42" s="21">
        <f t="shared" si="70"/>
        <v>192.38570427734732</v>
      </c>
      <c r="DW42" s="21">
        <f t="shared" si="70"/>
        <v>192.38570427734732</v>
      </c>
      <c r="DX42" s="21">
        <f t="shared" si="71"/>
        <v>192.38570427734732</v>
      </c>
      <c r="DY42" s="21">
        <f t="shared" si="71"/>
        <v>192.38570427734732</v>
      </c>
      <c r="DZ42" s="21">
        <f t="shared" si="71"/>
        <v>192.38570427734732</v>
      </c>
      <c r="EA42" s="21">
        <f t="shared" si="71"/>
        <v>192.38570427734732</v>
      </c>
      <c r="EB42" s="21">
        <f t="shared" si="71"/>
        <v>192.38570427734732</v>
      </c>
      <c r="EC42" s="21">
        <f t="shared" si="71"/>
        <v>192.38570427734732</v>
      </c>
      <c r="ED42" s="21">
        <f t="shared" si="72"/>
        <v>192.38570427734732</v>
      </c>
      <c r="EH42" s="21" t="str">
        <f>[5]W.Al!$U$120</f>
        <v>Final Average Wrought Aluminum Product: Combined</v>
      </c>
      <c r="EI42" s="69">
        <f>[7]W.Al!$U$125*Convert!$G$9/1000</f>
        <v>192.38570427734732</v>
      </c>
      <c r="EJ42" s="69">
        <f>[5]W.Al!$U$125*Convert!$G$9/1000</f>
        <v>120.95914685012082</v>
      </c>
    </row>
    <row r="43" spans="1:140" x14ac:dyDescent="0.3">
      <c r="A43" s="21" t="s">
        <v>138</v>
      </c>
      <c r="D43" s="21">
        <f t="shared" si="59"/>
        <v>29.972950126276309</v>
      </c>
      <c r="E43" s="21">
        <f t="shared" si="59"/>
        <v>29.972950126276309</v>
      </c>
      <c r="F43" s="21">
        <f t="shared" si="59"/>
        <v>24.264303949052863</v>
      </c>
      <c r="G43" s="21">
        <f t="shared" si="59"/>
        <v>29.972950126276309</v>
      </c>
      <c r="H43" s="21">
        <f t="shared" si="59"/>
        <v>29.972950126276309</v>
      </c>
      <c r="I43" s="21">
        <f t="shared" si="59"/>
        <v>29.972950126276309</v>
      </c>
      <c r="J43" s="21">
        <f t="shared" si="59"/>
        <v>29.972950126276309</v>
      </c>
      <c r="K43" s="21">
        <f t="shared" si="59"/>
        <v>29.972950126276309</v>
      </c>
      <c r="L43" s="21">
        <f t="shared" si="59"/>
        <v>29.972950126276309</v>
      </c>
      <c r="M43" s="21">
        <f t="shared" si="59"/>
        <v>29.972950126276309</v>
      </c>
      <c r="N43" s="21">
        <f t="shared" si="60"/>
        <v>29.972950126276309</v>
      </c>
      <c r="O43" s="21">
        <f t="shared" si="60"/>
        <v>29.972950126276309</v>
      </c>
      <c r="P43" s="21">
        <f t="shared" si="60"/>
        <v>29.972950126276309</v>
      </c>
      <c r="Q43" s="21">
        <f t="shared" si="60"/>
        <v>29.972950126276309</v>
      </c>
      <c r="R43" s="21">
        <f t="shared" si="60"/>
        <v>29.972950126276309</v>
      </c>
      <c r="S43" s="21">
        <f t="shared" si="60"/>
        <v>29.972950126276309</v>
      </c>
      <c r="T43" s="21">
        <f t="shared" si="60"/>
        <v>24.264303949052863</v>
      </c>
      <c r="U43" s="21">
        <f t="shared" si="60"/>
        <v>29.972950126276309</v>
      </c>
      <c r="V43" s="21">
        <f t="shared" si="60"/>
        <v>29.972950126276309</v>
      </c>
      <c r="W43" s="21">
        <f t="shared" si="60"/>
        <v>29.972950126276309</v>
      </c>
      <c r="X43" s="21">
        <f t="shared" si="60"/>
        <v>24.264303949052863</v>
      </c>
      <c r="Y43" s="21">
        <f t="shared" si="60"/>
        <v>29.972950126276309</v>
      </c>
      <c r="Z43" s="21">
        <f t="shared" si="60"/>
        <v>29.972950126276309</v>
      </c>
      <c r="AA43" s="21">
        <f t="shared" si="60"/>
        <v>29.972950126276309</v>
      </c>
      <c r="AB43" s="21">
        <f t="shared" si="61"/>
        <v>24.264303949052863</v>
      </c>
      <c r="AC43" s="21">
        <f t="shared" si="61"/>
        <v>29.972950126276309</v>
      </c>
      <c r="AD43" s="21">
        <f t="shared" si="61"/>
        <v>29.972950126276309</v>
      </c>
      <c r="AE43" s="21">
        <f t="shared" si="62"/>
        <v>29.972950126276309</v>
      </c>
      <c r="AF43" s="21">
        <f t="shared" si="62"/>
        <v>29.972950126276309</v>
      </c>
      <c r="AG43" s="21">
        <f t="shared" si="62"/>
        <v>29.972950126276309</v>
      </c>
      <c r="AH43" s="21">
        <f t="shared" si="62"/>
        <v>29.972950126276309</v>
      </c>
      <c r="AI43" s="21">
        <f t="shared" si="62"/>
        <v>29.972950126276309</v>
      </c>
      <c r="AJ43" s="21">
        <f t="shared" si="62"/>
        <v>29.972950126276309</v>
      </c>
      <c r="AK43" s="21">
        <f t="shared" si="62"/>
        <v>29.972950126276309</v>
      </c>
      <c r="AL43" s="21">
        <f t="shared" si="62"/>
        <v>29.972950126276309</v>
      </c>
      <c r="AM43" s="21">
        <f t="shared" si="62"/>
        <v>29.972950126276309</v>
      </c>
      <c r="AN43" s="21">
        <f t="shared" si="62"/>
        <v>29.972950126276309</v>
      </c>
      <c r="AO43" s="21">
        <f t="shared" si="63"/>
        <v>29.972950126276309</v>
      </c>
      <c r="AP43" s="21">
        <f t="shared" si="63"/>
        <v>29.972950126276309</v>
      </c>
      <c r="AQ43" s="21">
        <f t="shared" si="63"/>
        <v>29.972950126276309</v>
      </c>
      <c r="AR43" s="21">
        <f t="shared" si="63"/>
        <v>29.972950126276309</v>
      </c>
      <c r="AS43" s="21">
        <f t="shared" si="63"/>
        <v>29.972950126276309</v>
      </c>
      <c r="AT43" s="21">
        <f t="shared" si="63"/>
        <v>29.972950126276309</v>
      </c>
      <c r="AU43" s="21">
        <f t="shared" si="63"/>
        <v>24.264303949052863</v>
      </c>
      <c r="AV43" s="21">
        <f t="shared" si="63"/>
        <v>29.972950126276309</v>
      </c>
      <c r="AW43" s="21">
        <f t="shared" si="63"/>
        <v>29.972950126276309</v>
      </c>
      <c r="AX43" s="21">
        <f t="shared" si="63"/>
        <v>29.972950126276309</v>
      </c>
      <c r="AY43" s="21">
        <f t="shared" si="64"/>
        <v>29.972950126276309</v>
      </c>
      <c r="AZ43" s="21">
        <f t="shared" si="64"/>
        <v>29.972950126276309</v>
      </c>
      <c r="BA43" s="21">
        <f t="shared" si="64"/>
        <v>29.972950126276309</v>
      </c>
      <c r="BB43" s="21">
        <f t="shared" si="64"/>
        <v>29.972950126276309</v>
      </c>
      <c r="BC43" s="21">
        <f t="shared" si="64"/>
        <v>29.972950126276309</v>
      </c>
      <c r="BD43" s="21">
        <f t="shared" si="64"/>
        <v>29.972950126276309</v>
      </c>
      <c r="BE43" s="21">
        <f t="shared" si="64"/>
        <v>29.972950126276309</v>
      </c>
      <c r="BF43" s="21">
        <f t="shared" si="64"/>
        <v>29.972950126276309</v>
      </c>
      <c r="BG43" s="21">
        <f t="shared" si="64"/>
        <v>29.972950126276309</v>
      </c>
      <c r="BH43" s="21">
        <f t="shared" si="64"/>
        <v>29.972950126276309</v>
      </c>
      <c r="BI43" s="21">
        <f t="shared" si="65"/>
        <v>29.972950126276309</v>
      </c>
      <c r="BJ43" s="21">
        <f t="shared" si="65"/>
        <v>29.972950126276309</v>
      </c>
      <c r="BK43" s="21">
        <f t="shared" si="65"/>
        <v>29.972950126276309</v>
      </c>
      <c r="BL43" s="21">
        <f t="shared" si="65"/>
        <v>29.972950126276309</v>
      </c>
      <c r="BM43" s="21">
        <f t="shared" si="65"/>
        <v>29.972950126276309</v>
      </c>
      <c r="BN43" s="21">
        <f t="shared" si="65"/>
        <v>29.972950126276309</v>
      </c>
      <c r="BO43" s="21">
        <f t="shared" si="65"/>
        <v>29.972950126276309</v>
      </c>
      <c r="BP43" s="21">
        <f t="shared" si="65"/>
        <v>29.972950126276309</v>
      </c>
      <c r="BQ43" s="21">
        <f t="shared" si="65"/>
        <v>24.264303949052863</v>
      </c>
      <c r="BR43" s="21">
        <f t="shared" si="65"/>
        <v>29.972950126276309</v>
      </c>
      <c r="BS43" s="21">
        <f t="shared" si="66"/>
        <v>29.972950126276309</v>
      </c>
      <c r="BT43" s="21">
        <f t="shared" si="66"/>
        <v>29.972950126276309</v>
      </c>
      <c r="BU43" s="21">
        <f t="shared" si="66"/>
        <v>29.972950126276309</v>
      </c>
      <c r="BV43" s="21">
        <f t="shared" si="66"/>
        <v>29.972950126276309</v>
      </c>
      <c r="BW43" s="21">
        <f t="shared" si="66"/>
        <v>29.972950126276309</v>
      </c>
      <c r="BX43" s="21">
        <f t="shared" si="66"/>
        <v>29.972950126276309</v>
      </c>
      <c r="BY43" s="21">
        <f t="shared" si="66"/>
        <v>29.972950126276309</v>
      </c>
      <c r="BZ43" s="21">
        <f t="shared" si="66"/>
        <v>24.264303949052863</v>
      </c>
      <c r="CA43" s="21">
        <f t="shared" si="66"/>
        <v>29.972950126276309</v>
      </c>
      <c r="CB43" s="21">
        <f t="shared" si="66"/>
        <v>29.972950126276309</v>
      </c>
      <c r="CC43" s="21">
        <f t="shared" si="67"/>
        <v>29.972950126276309</v>
      </c>
      <c r="CD43" s="21">
        <f t="shared" si="67"/>
        <v>29.972950126276309</v>
      </c>
      <c r="CE43" s="21">
        <f t="shared" si="67"/>
        <v>29.972950126276309</v>
      </c>
      <c r="CF43" s="21">
        <f t="shared" si="67"/>
        <v>29.972950126276309</v>
      </c>
      <c r="CG43" s="21">
        <f t="shared" si="67"/>
        <v>29.972950126276309</v>
      </c>
      <c r="CH43" s="21">
        <f t="shared" si="67"/>
        <v>29.972950126276309</v>
      </c>
      <c r="CI43" s="21">
        <f t="shared" si="67"/>
        <v>29.972950126276309</v>
      </c>
      <c r="CJ43" s="21">
        <f t="shared" si="67"/>
        <v>29.972950126276309</v>
      </c>
      <c r="CK43" s="21">
        <f t="shared" si="67"/>
        <v>29.972950126276309</v>
      </c>
      <c r="CL43" s="21">
        <f t="shared" si="67"/>
        <v>29.972950126276309</v>
      </c>
      <c r="CM43" s="21">
        <f t="shared" si="68"/>
        <v>29.972950126276309</v>
      </c>
      <c r="CN43" s="21">
        <f t="shared" si="68"/>
        <v>29.972950126276309</v>
      </c>
      <c r="CO43" s="21">
        <f t="shared" si="68"/>
        <v>29.972950126276309</v>
      </c>
      <c r="CP43" s="21">
        <f t="shared" si="68"/>
        <v>29.972950126276309</v>
      </c>
      <c r="CQ43" s="21">
        <f t="shared" si="68"/>
        <v>29.972950126276309</v>
      </c>
      <c r="CR43" s="21">
        <f t="shared" si="68"/>
        <v>29.972950126276309</v>
      </c>
      <c r="CS43" s="21">
        <f t="shared" si="68"/>
        <v>29.972950126276309</v>
      </c>
      <c r="CT43" s="21">
        <f t="shared" si="68"/>
        <v>29.972950126276309</v>
      </c>
      <c r="CU43" s="21">
        <f t="shared" si="68"/>
        <v>29.972950126276309</v>
      </c>
      <c r="CV43" s="21">
        <f t="shared" si="68"/>
        <v>29.972950126276309</v>
      </c>
      <c r="CW43" s="21">
        <f t="shared" si="69"/>
        <v>29.972950126276309</v>
      </c>
      <c r="CX43" s="21">
        <f t="shared" si="69"/>
        <v>29.972950126276309</v>
      </c>
      <c r="CY43" s="21">
        <f t="shared" si="69"/>
        <v>29.972950126276309</v>
      </c>
      <c r="CZ43" s="21">
        <f t="shared" si="69"/>
        <v>29.972950126276309</v>
      </c>
      <c r="DA43" s="21">
        <f t="shared" si="69"/>
        <v>29.972950126276309</v>
      </c>
      <c r="DB43" s="21">
        <f t="shared" si="69"/>
        <v>29.972950126276309</v>
      </c>
      <c r="DC43" s="21">
        <f t="shared" si="69"/>
        <v>29.972950126276309</v>
      </c>
      <c r="DD43" s="21">
        <f t="shared" si="69"/>
        <v>29.972950126276309</v>
      </c>
      <c r="DE43" s="21">
        <f t="shared" si="69"/>
        <v>29.972950126276309</v>
      </c>
      <c r="DF43" s="21">
        <f t="shared" si="69"/>
        <v>29.972950126276309</v>
      </c>
      <c r="DH43" s="21">
        <f t="shared" si="70"/>
        <v>29.972950126276309</v>
      </c>
      <c r="DI43" s="21">
        <f t="shared" si="70"/>
        <v>29.972950126276309</v>
      </c>
      <c r="DJ43" s="21">
        <f t="shared" si="70"/>
        <v>29.972950126276309</v>
      </c>
      <c r="DK43" s="21">
        <f t="shared" si="70"/>
        <v>29.972950126276309</v>
      </c>
      <c r="DL43" s="21">
        <f t="shared" si="70"/>
        <v>29.972950126276309</v>
      </c>
      <c r="DM43" s="21">
        <f t="shared" si="70"/>
        <v>29.972950126276309</v>
      </c>
      <c r="DN43" s="21">
        <f t="shared" si="70"/>
        <v>29.972950126276309</v>
      </c>
      <c r="DO43" s="21">
        <f t="shared" si="70"/>
        <v>29.972950126276309</v>
      </c>
      <c r="DP43" s="21">
        <f t="shared" si="70"/>
        <v>29.972950126276309</v>
      </c>
      <c r="DQ43" s="21">
        <f t="shared" si="70"/>
        <v>29.972950126276309</v>
      </c>
      <c r="DR43" s="21">
        <f t="shared" si="70"/>
        <v>29.972950126276309</v>
      </c>
      <c r="DS43" s="21">
        <f t="shared" si="70"/>
        <v>29.972950126276309</v>
      </c>
      <c r="DT43" s="21">
        <f t="shared" si="70"/>
        <v>29.972950126276309</v>
      </c>
      <c r="DU43" s="21">
        <f t="shared" si="70"/>
        <v>29.972950126276309</v>
      </c>
      <c r="DV43" s="21">
        <f t="shared" si="70"/>
        <v>29.972950126276309</v>
      </c>
      <c r="DW43" s="21">
        <f t="shared" si="70"/>
        <v>29.972950126276309</v>
      </c>
      <c r="DX43" s="21">
        <f t="shared" si="71"/>
        <v>29.972950126276309</v>
      </c>
      <c r="DY43" s="21">
        <f t="shared" si="71"/>
        <v>29.972950126276309</v>
      </c>
      <c r="DZ43" s="21">
        <f t="shared" si="71"/>
        <v>29.972950126276309</v>
      </c>
      <c r="EA43" s="21">
        <f t="shared" si="71"/>
        <v>29.972950126276309</v>
      </c>
      <c r="EB43" s="21">
        <f t="shared" si="71"/>
        <v>29.972950126276309</v>
      </c>
      <c r="EC43" s="21">
        <f t="shared" si="71"/>
        <v>29.972950126276309</v>
      </c>
      <c r="ED43" s="21">
        <f t="shared" si="72"/>
        <v>29.972950126276309</v>
      </c>
      <c r="EH43" s="21" t="str">
        <f>[5]W.Al!$R$158</f>
        <v>Final Average Wrought Aluminum Product: Combined</v>
      </c>
      <c r="EI43" s="69">
        <f>[7]W.Al!$R$163*Convert!$G$9/1000</f>
        <v>29.972950126276309</v>
      </c>
      <c r="EJ43" s="69">
        <f>[5]W.Al!$R$163*Convert!$G$9/1000</f>
        <v>24.264303949052863</v>
      </c>
    </row>
    <row r="44" spans="1:140" x14ac:dyDescent="0.3">
      <c r="A44" s="21" t="s">
        <v>139</v>
      </c>
      <c r="D44" s="21">
        <f t="shared" si="59"/>
        <v>213.09414300877964</v>
      </c>
      <c r="E44" s="21">
        <f t="shared" si="59"/>
        <v>213.09414300877964</v>
      </c>
      <c r="F44" s="21">
        <f t="shared" si="59"/>
        <v>134.38307927682033</v>
      </c>
      <c r="G44" s="21">
        <f t="shared" si="59"/>
        <v>213.09414300877964</v>
      </c>
      <c r="H44" s="21">
        <f t="shared" si="59"/>
        <v>213.09414300877964</v>
      </c>
      <c r="I44" s="21">
        <f t="shared" si="59"/>
        <v>213.09414300877964</v>
      </c>
      <c r="J44" s="21">
        <f t="shared" si="59"/>
        <v>213.09414300877964</v>
      </c>
      <c r="K44" s="21">
        <f t="shared" si="59"/>
        <v>213.09414300877964</v>
      </c>
      <c r="L44" s="21">
        <f t="shared" si="59"/>
        <v>213.09414300877964</v>
      </c>
      <c r="M44" s="21">
        <f t="shared" si="59"/>
        <v>213.09414300877964</v>
      </c>
      <c r="N44" s="21">
        <f t="shared" si="60"/>
        <v>213.09414300877964</v>
      </c>
      <c r="O44" s="21">
        <f t="shared" si="60"/>
        <v>213.09414300877964</v>
      </c>
      <c r="P44" s="21">
        <f t="shared" si="60"/>
        <v>213.09414300877964</v>
      </c>
      <c r="Q44" s="21">
        <f t="shared" si="60"/>
        <v>213.09414300877964</v>
      </c>
      <c r="R44" s="21">
        <f t="shared" si="60"/>
        <v>213.09414300877964</v>
      </c>
      <c r="S44" s="21">
        <f t="shared" si="60"/>
        <v>213.09414300877964</v>
      </c>
      <c r="T44" s="21">
        <f t="shared" si="60"/>
        <v>134.38307927682033</v>
      </c>
      <c r="U44" s="21">
        <f t="shared" si="60"/>
        <v>213.09414300877964</v>
      </c>
      <c r="V44" s="21">
        <f t="shared" si="60"/>
        <v>213.09414300877964</v>
      </c>
      <c r="W44" s="21">
        <f t="shared" si="60"/>
        <v>213.09414300877964</v>
      </c>
      <c r="X44" s="21">
        <f t="shared" si="60"/>
        <v>134.38307927682033</v>
      </c>
      <c r="Y44" s="21">
        <f t="shared" si="60"/>
        <v>213.09414300877964</v>
      </c>
      <c r="Z44" s="21">
        <f t="shared" si="60"/>
        <v>213.09414300877964</v>
      </c>
      <c r="AA44" s="21">
        <f t="shared" si="60"/>
        <v>213.09414300877964</v>
      </c>
      <c r="AB44" s="21">
        <f t="shared" si="61"/>
        <v>134.38307927682033</v>
      </c>
      <c r="AC44" s="21">
        <f t="shared" si="61"/>
        <v>213.09414300877964</v>
      </c>
      <c r="AD44" s="21">
        <f t="shared" si="61"/>
        <v>213.09414300877964</v>
      </c>
      <c r="AE44" s="21">
        <f t="shared" si="62"/>
        <v>213.09414300877964</v>
      </c>
      <c r="AF44" s="21">
        <f t="shared" si="62"/>
        <v>213.09414300877964</v>
      </c>
      <c r="AG44" s="21">
        <f t="shared" si="62"/>
        <v>213.09414300877964</v>
      </c>
      <c r="AH44" s="21">
        <f t="shared" si="62"/>
        <v>213.09414300877964</v>
      </c>
      <c r="AI44" s="21">
        <f t="shared" si="62"/>
        <v>213.09414300877964</v>
      </c>
      <c r="AJ44" s="21">
        <f t="shared" si="62"/>
        <v>213.09414300877964</v>
      </c>
      <c r="AK44" s="21">
        <f t="shared" si="62"/>
        <v>213.09414300877964</v>
      </c>
      <c r="AL44" s="21">
        <f t="shared" si="62"/>
        <v>213.09414300877964</v>
      </c>
      <c r="AM44" s="21">
        <f t="shared" si="62"/>
        <v>213.09414300877964</v>
      </c>
      <c r="AN44" s="21">
        <f t="shared" si="62"/>
        <v>213.09414300877964</v>
      </c>
      <c r="AO44" s="21">
        <f t="shared" si="63"/>
        <v>213.09414300877964</v>
      </c>
      <c r="AP44" s="21">
        <f t="shared" si="63"/>
        <v>213.09414300877964</v>
      </c>
      <c r="AQ44" s="21">
        <f t="shared" si="63"/>
        <v>213.09414300877964</v>
      </c>
      <c r="AR44" s="21">
        <f t="shared" si="63"/>
        <v>213.09414300877964</v>
      </c>
      <c r="AS44" s="21">
        <f t="shared" si="63"/>
        <v>213.09414300877964</v>
      </c>
      <c r="AT44" s="21">
        <f t="shared" si="63"/>
        <v>213.09414300877964</v>
      </c>
      <c r="AU44" s="21">
        <f t="shared" si="63"/>
        <v>134.38307927682033</v>
      </c>
      <c r="AV44" s="21">
        <f t="shared" si="63"/>
        <v>213.09414300877964</v>
      </c>
      <c r="AW44" s="21">
        <f t="shared" si="63"/>
        <v>213.09414300877964</v>
      </c>
      <c r="AX44" s="21">
        <f t="shared" si="63"/>
        <v>213.09414300877964</v>
      </c>
      <c r="AY44" s="21">
        <f t="shared" si="64"/>
        <v>213.09414300877964</v>
      </c>
      <c r="AZ44" s="21">
        <f t="shared" si="64"/>
        <v>213.09414300877964</v>
      </c>
      <c r="BA44" s="21">
        <f t="shared" si="64"/>
        <v>213.09414300877964</v>
      </c>
      <c r="BB44" s="21">
        <f t="shared" si="64"/>
        <v>213.09414300877964</v>
      </c>
      <c r="BC44" s="21">
        <f t="shared" si="64"/>
        <v>213.09414300877964</v>
      </c>
      <c r="BD44" s="21">
        <f t="shared" si="64"/>
        <v>213.09414300877964</v>
      </c>
      <c r="BE44" s="21">
        <f t="shared" si="64"/>
        <v>213.09414300877964</v>
      </c>
      <c r="BF44" s="21">
        <f t="shared" si="64"/>
        <v>213.09414300877964</v>
      </c>
      <c r="BG44" s="21">
        <f t="shared" si="64"/>
        <v>213.09414300877964</v>
      </c>
      <c r="BH44" s="21">
        <f t="shared" si="64"/>
        <v>213.09414300877964</v>
      </c>
      <c r="BI44" s="21">
        <f t="shared" si="65"/>
        <v>213.09414300877964</v>
      </c>
      <c r="BJ44" s="21">
        <f t="shared" si="65"/>
        <v>213.09414300877964</v>
      </c>
      <c r="BK44" s="21">
        <f t="shared" si="65"/>
        <v>213.09414300877964</v>
      </c>
      <c r="BL44" s="21">
        <f t="shared" si="65"/>
        <v>213.09414300877964</v>
      </c>
      <c r="BM44" s="21">
        <f t="shared" si="65"/>
        <v>213.09414300877964</v>
      </c>
      <c r="BN44" s="21">
        <f t="shared" si="65"/>
        <v>213.09414300877964</v>
      </c>
      <c r="BO44" s="21">
        <f t="shared" si="65"/>
        <v>213.09414300877964</v>
      </c>
      <c r="BP44" s="21">
        <f t="shared" si="65"/>
        <v>213.09414300877964</v>
      </c>
      <c r="BQ44" s="21">
        <f t="shared" si="65"/>
        <v>134.38307927682033</v>
      </c>
      <c r="BR44" s="21">
        <f t="shared" si="65"/>
        <v>213.09414300877964</v>
      </c>
      <c r="BS44" s="21">
        <f t="shared" si="66"/>
        <v>213.09414300877964</v>
      </c>
      <c r="BT44" s="21">
        <f t="shared" si="66"/>
        <v>213.09414300877964</v>
      </c>
      <c r="BU44" s="21">
        <f t="shared" si="66"/>
        <v>213.09414300877964</v>
      </c>
      <c r="BV44" s="21">
        <f t="shared" si="66"/>
        <v>213.09414300877964</v>
      </c>
      <c r="BW44" s="21">
        <f t="shared" si="66"/>
        <v>213.09414300877964</v>
      </c>
      <c r="BX44" s="21">
        <f t="shared" si="66"/>
        <v>213.09414300877964</v>
      </c>
      <c r="BY44" s="21">
        <f t="shared" si="66"/>
        <v>213.09414300877964</v>
      </c>
      <c r="BZ44" s="21">
        <f t="shared" si="66"/>
        <v>134.38307927682033</v>
      </c>
      <c r="CA44" s="21">
        <f t="shared" si="66"/>
        <v>213.09414300877964</v>
      </c>
      <c r="CB44" s="21">
        <f t="shared" si="66"/>
        <v>213.09414300877964</v>
      </c>
      <c r="CC44" s="21">
        <f t="shared" si="67"/>
        <v>213.09414300877964</v>
      </c>
      <c r="CD44" s="21">
        <f t="shared" si="67"/>
        <v>213.09414300877964</v>
      </c>
      <c r="CE44" s="21">
        <f t="shared" si="67"/>
        <v>213.09414300877964</v>
      </c>
      <c r="CF44" s="21">
        <f t="shared" si="67"/>
        <v>213.09414300877964</v>
      </c>
      <c r="CG44" s="21">
        <f t="shared" si="67"/>
        <v>213.09414300877964</v>
      </c>
      <c r="CH44" s="21">
        <f t="shared" si="67"/>
        <v>213.09414300877964</v>
      </c>
      <c r="CI44" s="21">
        <f t="shared" si="67"/>
        <v>213.09414300877964</v>
      </c>
      <c r="CJ44" s="21">
        <f t="shared" si="67"/>
        <v>213.09414300877964</v>
      </c>
      <c r="CK44" s="21">
        <f t="shared" si="67"/>
        <v>213.09414300877964</v>
      </c>
      <c r="CL44" s="21">
        <f t="shared" si="67"/>
        <v>213.09414300877964</v>
      </c>
      <c r="CM44" s="21">
        <f t="shared" si="68"/>
        <v>213.09414300877964</v>
      </c>
      <c r="CN44" s="21">
        <f t="shared" si="68"/>
        <v>213.09414300877964</v>
      </c>
      <c r="CO44" s="21">
        <f t="shared" si="68"/>
        <v>213.09414300877964</v>
      </c>
      <c r="CP44" s="21">
        <f t="shared" si="68"/>
        <v>213.09414300877964</v>
      </c>
      <c r="CQ44" s="21">
        <f t="shared" si="68"/>
        <v>213.09414300877964</v>
      </c>
      <c r="CR44" s="21">
        <f t="shared" si="68"/>
        <v>213.09414300877964</v>
      </c>
      <c r="CS44" s="21">
        <f t="shared" si="68"/>
        <v>213.09414300877964</v>
      </c>
      <c r="CT44" s="21">
        <f t="shared" si="68"/>
        <v>213.09414300877964</v>
      </c>
      <c r="CU44" s="21">
        <f t="shared" si="68"/>
        <v>213.09414300877964</v>
      </c>
      <c r="CV44" s="21">
        <f t="shared" si="68"/>
        <v>213.09414300877964</v>
      </c>
      <c r="CW44" s="21">
        <f t="shared" si="69"/>
        <v>213.09414300877964</v>
      </c>
      <c r="CX44" s="21">
        <f t="shared" si="69"/>
        <v>213.09414300877964</v>
      </c>
      <c r="CY44" s="21">
        <f t="shared" si="69"/>
        <v>213.09414300877964</v>
      </c>
      <c r="CZ44" s="21">
        <f t="shared" si="69"/>
        <v>213.09414300877964</v>
      </c>
      <c r="DA44" s="21">
        <f t="shared" si="69"/>
        <v>213.09414300877964</v>
      </c>
      <c r="DB44" s="21">
        <f t="shared" si="69"/>
        <v>213.09414300877964</v>
      </c>
      <c r="DC44" s="21">
        <f t="shared" si="69"/>
        <v>213.09414300877964</v>
      </c>
      <c r="DD44" s="21">
        <f t="shared" si="69"/>
        <v>213.09414300877964</v>
      </c>
      <c r="DE44" s="21">
        <f t="shared" si="69"/>
        <v>213.09414300877964</v>
      </c>
      <c r="DF44" s="21">
        <f t="shared" si="69"/>
        <v>213.09414300877964</v>
      </c>
      <c r="DH44" s="21">
        <f t="shared" si="70"/>
        <v>213.09414300877964</v>
      </c>
      <c r="DI44" s="21">
        <f t="shared" si="70"/>
        <v>213.09414300877964</v>
      </c>
      <c r="DJ44" s="21">
        <f t="shared" si="70"/>
        <v>213.09414300877964</v>
      </c>
      <c r="DK44" s="21">
        <f t="shared" si="70"/>
        <v>213.09414300877964</v>
      </c>
      <c r="DL44" s="21">
        <f t="shared" si="70"/>
        <v>213.09414300877964</v>
      </c>
      <c r="DM44" s="21">
        <f t="shared" si="70"/>
        <v>213.09414300877964</v>
      </c>
      <c r="DN44" s="21">
        <f t="shared" si="70"/>
        <v>213.09414300877964</v>
      </c>
      <c r="DO44" s="21">
        <f t="shared" si="70"/>
        <v>213.09414300877964</v>
      </c>
      <c r="DP44" s="21">
        <f t="shared" si="70"/>
        <v>213.09414300877964</v>
      </c>
      <c r="DQ44" s="21">
        <f t="shared" si="70"/>
        <v>213.09414300877964</v>
      </c>
      <c r="DR44" s="21">
        <f t="shared" si="70"/>
        <v>213.09414300877964</v>
      </c>
      <c r="DS44" s="21">
        <f t="shared" si="70"/>
        <v>213.09414300877964</v>
      </c>
      <c r="DT44" s="21">
        <f t="shared" si="70"/>
        <v>213.09414300877964</v>
      </c>
      <c r="DU44" s="21">
        <f t="shared" si="70"/>
        <v>213.09414300877964</v>
      </c>
      <c r="DV44" s="21">
        <f t="shared" si="70"/>
        <v>213.09414300877964</v>
      </c>
      <c r="DW44" s="21">
        <f t="shared" si="70"/>
        <v>213.09414300877964</v>
      </c>
      <c r="DX44" s="21">
        <f t="shared" si="71"/>
        <v>213.09414300877964</v>
      </c>
      <c r="DY44" s="21">
        <f t="shared" si="71"/>
        <v>213.09414300877964</v>
      </c>
      <c r="DZ44" s="21">
        <f t="shared" si="71"/>
        <v>213.09414300877964</v>
      </c>
      <c r="EA44" s="21">
        <f t="shared" si="71"/>
        <v>213.09414300877964</v>
      </c>
      <c r="EB44" s="21">
        <f t="shared" si="71"/>
        <v>213.09414300877964</v>
      </c>
      <c r="EC44" s="21">
        <f t="shared" si="71"/>
        <v>213.09414300877964</v>
      </c>
      <c r="ED44" s="21">
        <f t="shared" si="72"/>
        <v>213.09414300877964</v>
      </c>
      <c r="EH44" s="21" t="str">
        <f>'[5]C.Al'!$I$112</f>
        <v>Final Shape Cast Aluminum Product: Combined</v>
      </c>
      <c r="EI44" s="69">
        <f>'[7]C.Al'!$I$115*Convert!$G$9/1000</f>
        <v>213.09414300877964</v>
      </c>
      <c r="EJ44" s="69">
        <f>'[5]C.Al'!$I$115*Convert!$G$9/1000</f>
        <v>134.38307927682033</v>
      </c>
    </row>
    <row r="45" spans="1:140" x14ac:dyDescent="0.3">
      <c r="A45" s="21" t="s">
        <v>140</v>
      </c>
      <c r="D45" s="21">
        <f t="shared" si="59"/>
        <v>34.117567581737084</v>
      </c>
      <c r="E45" s="21">
        <f t="shared" si="59"/>
        <v>34.117567581737084</v>
      </c>
      <c r="F45" s="21">
        <f t="shared" si="59"/>
        <v>27.826719621768579</v>
      </c>
      <c r="G45" s="21">
        <f t="shared" si="59"/>
        <v>34.117567581737084</v>
      </c>
      <c r="H45" s="21">
        <f t="shared" si="59"/>
        <v>34.117567581737084</v>
      </c>
      <c r="I45" s="21">
        <f t="shared" si="59"/>
        <v>34.117567581737084</v>
      </c>
      <c r="J45" s="21">
        <f t="shared" si="59"/>
        <v>34.117567581737084</v>
      </c>
      <c r="K45" s="21">
        <f t="shared" si="59"/>
        <v>34.117567581737084</v>
      </c>
      <c r="L45" s="21">
        <f t="shared" si="59"/>
        <v>34.117567581737084</v>
      </c>
      <c r="M45" s="21">
        <f t="shared" si="59"/>
        <v>34.117567581737084</v>
      </c>
      <c r="N45" s="21">
        <f t="shared" si="60"/>
        <v>34.117567581737084</v>
      </c>
      <c r="O45" s="21">
        <f t="shared" si="60"/>
        <v>34.117567581737084</v>
      </c>
      <c r="P45" s="21">
        <f t="shared" si="60"/>
        <v>34.117567581737084</v>
      </c>
      <c r="Q45" s="21">
        <f t="shared" si="60"/>
        <v>34.117567581737084</v>
      </c>
      <c r="R45" s="21">
        <f t="shared" si="60"/>
        <v>34.117567581737084</v>
      </c>
      <c r="S45" s="21">
        <f t="shared" si="60"/>
        <v>34.117567581737084</v>
      </c>
      <c r="T45" s="21">
        <f t="shared" si="60"/>
        <v>27.826719621768579</v>
      </c>
      <c r="U45" s="21">
        <f t="shared" si="60"/>
        <v>34.117567581737084</v>
      </c>
      <c r="V45" s="21">
        <f t="shared" si="60"/>
        <v>34.117567581737084</v>
      </c>
      <c r="W45" s="21">
        <f t="shared" si="60"/>
        <v>34.117567581737084</v>
      </c>
      <c r="X45" s="21">
        <f t="shared" si="60"/>
        <v>27.826719621768579</v>
      </c>
      <c r="Y45" s="21">
        <f t="shared" si="60"/>
        <v>34.117567581737084</v>
      </c>
      <c r="Z45" s="21">
        <f t="shared" si="60"/>
        <v>34.117567581737084</v>
      </c>
      <c r="AA45" s="21">
        <f t="shared" si="60"/>
        <v>34.117567581737084</v>
      </c>
      <c r="AB45" s="21">
        <f t="shared" si="61"/>
        <v>27.826719621768579</v>
      </c>
      <c r="AC45" s="21">
        <f t="shared" si="61"/>
        <v>34.117567581737084</v>
      </c>
      <c r="AD45" s="21">
        <f t="shared" si="61"/>
        <v>34.117567581737084</v>
      </c>
      <c r="AE45" s="21">
        <f t="shared" si="62"/>
        <v>34.117567581737084</v>
      </c>
      <c r="AF45" s="21">
        <f t="shared" si="62"/>
        <v>34.117567581737084</v>
      </c>
      <c r="AG45" s="21">
        <f t="shared" si="62"/>
        <v>34.117567581737084</v>
      </c>
      <c r="AH45" s="21">
        <f t="shared" si="62"/>
        <v>34.117567581737084</v>
      </c>
      <c r="AI45" s="21">
        <f t="shared" si="62"/>
        <v>34.117567581737084</v>
      </c>
      <c r="AJ45" s="21">
        <f t="shared" si="62"/>
        <v>34.117567581737084</v>
      </c>
      <c r="AK45" s="21">
        <f t="shared" si="62"/>
        <v>34.117567581737084</v>
      </c>
      <c r="AL45" s="21">
        <f t="shared" si="62"/>
        <v>34.117567581737084</v>
      </c>
      <c r="AM45" s="21">
        <f t="shared" si="62"/>
        <v>34.117567581737084</v>
      </c>
      <c r="AN45" s="21">
        <f t="shared" si="62"/>
        <v>34.117567581737084</v>
      </c>
      <c r="AO45" s="21">
        <f t="shared" si="63"/>
        <v>34.117567581737084</v>
      </c>
      <c r="AP45" s="21">
        <f t="shared" si="63"/>
        <v>34.117567581737084</v>
      </c>
      <c r="AQ45" s="21">
        <f t="shared" si="63"/>
        <v>34.117567581737084</v>
      </c>
      <c r="AR45" s="21">
        <f t="shared" si="63"/>
        <v>34.117567581737084</v>
      </c>
      <c r="AS45" s="21">
        <f t="shared" si="63"/>
        <v>34.117567581737084</v>
      </c>
      <c r="AT45" s="21">
        <f t="shared" si="63"/>
        <v>34.117567581737084</v>
      </c>
      <c r="AU45" s="21">
        <f t="shared" si="63"/>
        <v>27.826719621768579</v>
      </c>
      <c r="AV45" s="21">
        <f t="shared" si="63"/>
        <v>34.117567581737084</v>
      </c>
      <c r="AW45" s="21">
        <f t="shared" si="63"/>
        <v>34.117567581737084</v>
      </c>
      <c r="AX45" s="21">
        <f t="shared" si="63"/>
        <v>34.117567581737084</v>
      </c>
      <c r="AY45" s="21">
        <f t="shared" si="64"/>
        <v>34.117567581737084</v>
      </c>
      <c r="AZ45" s="21">
        <f t="shared" si="64"/>
        <v>34.117567581737084</v>
      </c>
      <c r="BA45" s="21">
        <f t="shared" si="64"/>
        <v>34.117567581737084</v>
      </c>
      <c r="BB45" s="21">
        <f t="shared" si="64"/>
        <v>34.117567581737084</v>
      </c>
      <c r="BC45" s="21">
        <f t="shared" si="64"/>
        <v>34.117567581737084</v>
      </c>
      <c r="BD45" s="21">
        <f t="shared" si="64"/>
        <v>34.117567581737084</v>
      </c>
      <c r="BE45" s="21">
        <f t="shared" si="64"/>
        <v>34.117567581737084</v>
      </c>
      <c r="BF45" s="21">
        <f t="shared" si="64"/>
        <v>34.117567581737084</v>
      </c>
      <c r="BG45" s="21">
        <f t="shared" si="64"/>
        <v>34.117567581737084</v>
      </c>
      <c r="BH45" s="21">
        <f t="shared" si="64"/>
        <v>34.117567581737084</v>
      </c>
      <c r="BI45" s="21">
        <f t="shared" si="65"/>
        <v>34.117567581737084</v>
      </c>
      <c r="BJ45" s="21">
        <f t="shared" si="65"/>
        <v>34.117567581737084</v>
      </c>
      <c r="BK45" s="21">
        <f t="shared" si="65"/>
        <v>34.117567581737084</v>
      </c>
      <c r="BL45" s="21">
        <f t="shared" si="65"/>
        <v>34.117567581737084</v>
      </c>
      <c r="BM45" s="21">
        <f t="shared" si="65"/>
        <v>34.117567581737084</v>
      </c>
      <c r="BN45" s="21">
        <f t="shared" si="65"/>
        <v>34.117567581737084</v>
      </c>
      <c r="BO45" s="21">
        <f t="shared" si="65"/>
        <v>34.117567581737084</v>
      </c>
      <c r="BP45" s="21">
        <f t="shared" si="65"/>
        <v>34.117567581737084</v>
      </c>
      <c r="BQ45" s="21">
        <f t="shared" si="65"/>
        <v>27.826719621768579</v>
      </c>
      <c r="BR45" s="21">
        <f t="shared" si="65"/>
        <v>34.117567581737084</v>
      </c>
      <c r="BS45" s="21">
        <f t="shared" si="66"/>
        <v>34.117567581737084</v>
      </c>
      <c r="BT45" s="21">
        <f t="shared" si="66"/>
        <v>34.117567581737084</v>
      </c>
      <c r="BU45" s="21">
        <f t="shared" si="66"/>
        <v>34.117567581737084</v>
      </c>
      <c r="BV45" s="21">
        <f t="shared" si="66"/>
        <v>34.117567581737084</v>
      </c>
      <c r="BW45" s="21">
        <f t="shared" si="66"/>
        <v>34.117567581737084</v>
      </c>
      <c r="BX45" s="21">
        <f t="shared" si="66"/>
        <v>34.117567581737084</v>
      </c>
      <c r="BY45" s="21">
        <f t="shared" si="66"/>
        <v>34.117567581737084</v>
      </c>
      <c r="BZ45" s="21">
        <f t="shared" si="66"/>
        <v>27.826719621768579</v>
      </c>
      <c r="CA45" s="21">
        <f t="shared" si="66"/>
        <v>34.117567581737084</v>
      </c>
      <c r="CB45" s="21">
        <f t="shared" si="66"/>
        <v>34.117567581737084</v>
      </c>
      <c r="CC45" s="21">
        <f t="shared" si="67"/>
        <v>34.117567581737084</v>
      </c>
      <c r="CD45" s="21">
        <f t="shared" si="67"/>
        <v>34.117567581737084</v>
      </c>
      <c r="CE45" s="21">
        <f t="shared" si="67"/>
        <v>34.117567581737084</v>
      </c>
      <c r="CF45" s="21">
        <f t="shared" si="67"/>
        <v>34.117567581737084</v>
      </c>
      <c r="CG45" s="21">
        <f t="shared" si="67"/>
        <v>34.117567581737084</v>
      </c>
      <c r="CH45" s="21">
        <f t="shared" si="67"/>
        <v>34.117567581737084</v>
      </c>
      <c r="CI45" s="21">
        <f t="shared" si="67"/>
        <v>34.117567581737084</v>
      </c>
      <c r="CJ45" s="21">
        <f t="shared" si="67"/>
        <v>34.117567581737084</v>
      </c>
      <c r="CK45" s="21">
        <f t="shared" si="67"/>
        <v>34.117567581737084</v>
      </c>
      <c r="CL45" s="21">
        <f t="shared" si="67"/>
        <v>34.117567581737084</v>
      </c>
      <c r="CM45" s="21">
        <f t="shared" si="68"/>
        <v>34.117567581737084</v>
      </c>
      <c r="CN45" s="21">
        <f t="shared" si="68"/>
        <v>34.117567581737084</v>
      </c>
      <c r="CO45" s="21">
        <f t="shared" si="68"/>
        <v>34.117567581737084</v>
      </c>
      <c r="CP45" s="21">
        <f t="shared" si="68"/>
        <v>34.117567581737084</v>
      </c>
      <c r="CQ45" s="21">
        <f t="shared" si="68"/>
        <v>34.117567581737084</v>
      </c>
      <c r="CR45" s="21">
        <f t="shared" si="68"/>
        <v>34.117567581737084</v>
      </c>
      <c r="CS45" s="21">
        <f t="shared" si="68"/>
        <v>34.117567581737084</v>
      </c>
      <c r="CT45" s="21">
        <f t="shared" si="68"/>
        <v>34.117567581737084</v>
      </c>
      <c r="CU45" s="21">
        <f t="shared" si="68"/>
        <v>34.117567581737084</v>
      </c>
      <c r="CV45" s="21">
        <f t="shared" si="68"/>
        <v>34.117567581737084</v>
      </c>
      <c r="CW45" s="21">
        <f t="shared" si="69"/>
        <v>34.117567581737084</v>
      </c>
      <c r="CX45" s="21">
        <f t="shared" si="69"/>
        <v>34.117567581737084</v>
      </c>
      <c r="CY45" s="21">
        <f t="shared" si="69"/>
        <v>34.117567581737084</v>
      </c>
      <c r="CZ45" s="21">
        <f t="shared" si="69"/>
        <v>34.117567581737084</v>
      </c>
      <c r="DA45" s="21">
        <f t="shared" si="69"/>
        <v>34.117567581737084</v>
      </c>
      <c r="DB45" s="21">
        <f t="shared" si="69"/>
        <v>34.117567581737084</v>
      </c>
      <c r="DC45" s="21">
        <f t="shared" si="69"/>
        <v>34.117567581737084</v>
      </c>
      <c r="DD45" s="21">
        <f t="shared" si="69"/>
        <v>34.117567581737084</v>
      </c>
      <c r="DE45" s="21">
        <f t="shared" si="69"/>
        <v>34.117567581737084</v>
      </c>
      <c r="DF45" s="21">
        <f t="shared" si="69"/>
        <v>34.117567581737084</v>
      </c>
      <c r="DH45" s="21">
        <f t="shared" si="70"/>
        <v>34.117567581737084</v>
      </c>
      <c r="DI45" s="21">
        <f t="shared" si="70"/>
        <v>34.117567581737084</v>
      </c>
      <c r="DJ45" s="21">
        <f t="shared" si="70"/>
        <v>34.117567581737084</v>
      </c>
      <c r="DK45" s="21">
        <f t="shared" si="70"/>
        <v>34.117567581737084</v>
      </c>
      <c r="DL45" s="21">
        <f t="shared" si="70"/>
        <v>34.117567581737084</v>
      </c>
      <c r="DM45" s="21">
        <f t="shared" si="70"/>
        <v>34.117567581737084</v>
      </c>
      <c r="DN45" s="21">
        <f t="shared" si="70"/>
        <v>34.117567581737084</v>
      </c>
      <c r="DO45" s="21">
        <f t="shared" si="70"/>
        <v>34.117567581737084</v>
      </c>
      <c r="DP45" s="21">
        <f t="shared" si="70"/>
        <v>34.117567581737084</v>
      </c>
      <c r="DQ45" s="21">
        <f t="shared" si="70"/>
        <v>34.117567581737084</v>
      </c>
      <c r="DR45" s="21">
        <f t="shared" si="70"/>
        <v>34.117567581737084</v>
      </c>
      <c r="DS45" s="21">
        <f t="shared" si="70"/>
        <v>34.117567581737084</v>
      </c>
      <c r="DT45" s="21">
        <f t="shared" si="70"/>
        <v>34.117567581737084</v>
      </c>
      <c r="DU45" s="21">
        <f t="shared" si="70"/>
        <v>34.117567581737084</v>
      </c>
      <c r="DV45" s="21">
        <f t="shared" si="70"/>
        <v>34.117567581737084</v>
      </c>
      <c r="DW45" s="21">
        <f t="shared" si="70"/>
        <v>34.117567581737084</v>
      </c>
      <c r="DX45" s="21">
        <f t="shared" si="71"/>
        <v>34.117567581737084</v>
      </c>
      <c r="DY45" s="21">
        <f t="shared" si="71"/>
        <v>34.117567581737084</v>
      </c>
      <c r="DZ45" s="21">
        <f t="shared" si="71"/>
        <v>34.117567581737084</v>
      </c>
      <c r="EA45" s="21">
        <f t="shared" si="71"/>
        <v>34.117567581737084</v>
      </c>
      <c r="EB45" s="21">
        <f t="shared" si="71"/>
        <v>34.117567581737084</v>
      </c>
      <c r="EC45" s="21">
        <f t="shared" si="71"/>
        <v>34.117567581737084</v>
      </c>
      <c r="ED45" s="21">
        <f t="shared" si="72"/>
        <v>34.117567581737084</v>
      </c>
      <c r="EH45" s="21" t="str">
        <f>'[5]C.Al'!$F$148</f>
        <v>Final Shape Cast Aluminum Product: Combined</v>
      </c>
      <c r="EI45" s="69">
        <f>'[7]C.Al'!$F$151*Convert!$G$9/1000</f>
        <v>34.117567581737084</v>
      </c>
      <c r="EJ45" s="69">
        <f>'[5]C.Al'!$F$151*Convert!$G$9/1000</f>
        <v>27.826719621768579</v>
      </c>
    </row>
    <row r="46" spans="1:140" x14ac:dyDescent="0.3">
      <c r="A46" s="21" t="s">
        <v>141</v>
      </c>
      <c r="D46" s="21">
        <f t="shared" si="59"/>
        <v>40.347681835862737</v>
      </c>
      <c r="E46" s="21">
        <f t="shared" si="59"/>
        <v>40.347681835862737</v>
      </c>
      <c r="F46" s="21">
        <f t="shared" si="59"/>
        <v>40.347681835862737</v>
      </c>
      <c r="G46" s="21">
        <f t="shared" si="59"/>
        <v>40.347681835862737</v>
      </c>
      <c r="H46" s="21">
        <f t="shared" si="59"/>
        <v>40.347681835862737</v>
      </c>
      <c r="I46" s="21">
        <f t="shared" si="59"/>
        <v>40.347681835862737</v>
      </c>
      <c r="J46" s="21">
        <f t="shared" si="59"/>
        <v>40.347681835862737</v>
      </c>
      <c r="K46" s="21">
        <f t="shared" si="59"/>
        <v>40.347681835862737</v>
      </c>
      <c r="L46" s="21">
        <f t="shared" si="59"/>
        <v>40.347681835862737</v>
      </c>
      <c r="M46" s="21">
        <f t="shared" si="59"/>
        <v>40.347681835862737</v>
      </c>
      <c r="N46" s="21">
        <f t="shared" si="60"/>
        <v>40.347681835862737</v>
      </c>
      <c r="O46" s="21">
        <f t="shared" si="60"/>
        <v>40.347681835862737</v>
      </c>
      <c r="P46" s="21">
        <f t="shared" si="60"/>
        <v>40.347681835862737</v>
      </c>
      <c r="Q46" s="21">
        <f t="shared" si="60"/>
        <v>40.347681835862737</v>
      </c>
      <c r="R46" s="21">
        <f t="shared" si="60"/>
        <v>40.347681835862737</v>
      </c>
      <c r="S46" s="21">
        <f t="shared" si="60"/>
        <v>40.347681835862737</v>
      </c>
      <c r="T46" s="21">
        <f t="shared" si="60"/>
        <v>40.347681835862737</v>
      </c>
      <c r="U46" s="21">
        <f t="shared" si="60"/>
        <v>40.347681835862737</v>
      </c>
      <c r="V46" s="21">
        <f t="shared" si="60"/>
        <v>40.347681835862737</v>
      </c>
      <c r="W46" s="21">
        <f t="shared" si="60"/>
        <v>40.347681835862737</v>
      </c>
      <c r="X46" s="21">
        <f t="shared" si="60"/>
        <v>40.347681835862737</v>
      </c>
      <c r="Y46" s="21">
        <f t="shared" si="60"/>
        <v>40.347681835862737</v>
      </c>
      <c r="Z46" s="21">
        <f t="shared" si="60"/>
        <v>40.347681835862737</v>
      </c>
      <c r="AA46" s="21">
        <f t="shared" si="60"/>
        <v>40.347681835862737</v>
      </c>
      <c r="AB46" s="21">
        <f t="shared" si="61"/>
        <v>40.347681835862737</v>
      </c>
      <c r="AC46" s="21">
        <f t="shared" si="61"/>
        <v>40.347681835862737</v>
      </c>
      <c r="AD46" s="21">
        <f t="shared" si="61"/>
        <v>40.347681835862737</v>
      </c>
      <c r="AE46" s="21">
        <f t="shared" si="62"/>
        <v>40.347681835862737</v>
      </c>
      <c r="AF46" s="21">
        <f t="shared" si="62"/>
        <v>40.347681835862737</v>
      </c>
      <c r="AG46" s="21">
        <f t="shared" si="62"/>
        <v>40.347681835862737</v>
      </c>
      <c r="AH46" s="21">
        <f t="shared" si="62"/>
        <v>40.347681835862737</v>
      </c>
      <c r="AI46" s="21">
        <f t="shared" si="62"/>
        <v>40.347681835862737</v>
      </c>
      <c r="AJ46" s="21">
        <f t="shared" si="62"/>
        <v>40.347681835862737</v>
      </c>
      <c r="AK46" s="21">
        <f t="shared" si="62"/>
        <v>40.347681835862737</v>
      </c>
      <c r="AL46" s="21">
        <f t="shared" si="62"/>
        <v>40.347681835862737</v>
      </c>
      <c r="AM46" s="21">
        <f t="shared" si="62"/>
        <v>40.347681835862737</v>
      </c>
      <c r="AN46" s="21">
        <f t="shared" si="62"/>
        <v>40.347681835862737</v>
      </c>
      <c r="AO46" s="21">
        <f t="shared" si="63"/>
        <v>40.347681835862737</v>
      </c>
      <c r="AP46" s="21">
        <f t="shared" si="63"/>
        <v>40.347681835862737</v>
      </c>
      <c r="AQ46" s="21">
        <f t="shared" si="63"/>
        <v>40.347681835862737</v>
      </c>
      <c r="AR46" s="21">
        <f t="shared" si="63"/>
        <v>40.347681835862737</v>
      </c>
      <c r="AS46" s="21">
        <f t="shared" si="63"/>
        <v>40.347681835862737</v>
      </c>
      <c r="AT46" s="21">
        <f t="shared" si="63"/>
        <v>40.347681835862737</v>
      </c>
      <c r="AU46" s="21">
        <f t="shared" si="63"/>
        <v>40.347681835862737</v>
      </c>
      <c r="AV46" s="21">
        <f t="shared" si="63"/>
        <v>40.347681835862737</v>
      </c>
      <c r="AW46" s="21">
        <f t="shared" si="63"/>
        <v>40.347681835862737</v>
      </c>
      <c r="AX46" s="21">
        <f t="shared" si="63"/>
        <v>40.347681835862737</v>
      </c>
      <c r="AY46" s="21">
        <f t="shared" si="64"/>
        <v>40.347681835862737</v>
      </c>
      <c r="AZ46" s="21">
        <f t="shared" si="64"/>
        <v>40.347681835862737</v>
      </c>
      <c r="BA46" s="21">
        <f t="shared" si="64"/>
        <v>40.347681835862737</v>
      </c>
      <c r="BB46" s="21">
        <f t="shared" si="64"/>
        <v>40.347681835862737</v>
      </c>
      <c r="BC46" s="21">
        <f t="shared" si="64"/>
        <v>40.347681835862737</v>
      </c>
      <c r="BD46" s="21">
        <f t="shared" si="64"/>
        <v>40.347681835862737</v>
      </c>
      <c r="BE46" s="21">
        <f t="shared" si="64"/>
        <v>40.347681835862737</v>
      </c>
      <c r="BF46" s="21">
        <f t="shared" si="64"/>
        <v>40.347681835862737</v>
      </c>
      <c r="BG46" s="21">
        <f t="shared" si="64"/>
        <v>40.347681835862737</v>
      </c>
      <c r="BH46" s="21">
        <f t="shared" si="64"/>
        <v>40.347681835862737</v>
      </c>
      <c r="BI46" s="21">
        <f t="shared" si="65"/>
        <v>40.347681835862737</v>
      </c>
      <c r="BJ46" s="21">
        <f t="shared" si="65"/>
        <v>40.347681835862737</v>
      </c>
      <c r="BK46" s="21">
        <f t="shared" si="65"/>
        <v>40.347681835862737</v>
      </c>
      <c r="BL46" s="21">
        <f t="shared" si="65"/>
        <v>40.347681835862737</v>
      </c>
      <c r="BM46" s="21">
        <f t="shared" si="65"/>
        <v>40.347681835862737</v>
      </c>
      <c r="BN46" s="21">
        <f t="shared" si="65"/>
        <v>40.347681835862737</v>
      </c>
      <c r="BO46" s="21">
        <f t="shared" si="65"/>
        <v>40.347681835862737</v>
      </c>
      <c r="BP46" s="21">
        <f t="shared" si="65"/>
        <v>40.347681835862737</v>
      </c>
      <c r="BQ46" s="21">
        <f t="shared" si="65"/>
        <v>40.347681835862737</v>
      </c>
      <c r="BR46" s="21">
        <f t="shared" si="65"/>
        <v>40.347681835862737</v>
      </c>
      <c r="BS46" s="21">
        <f t="shared" si="66"/>
        <v>40.347681835862737</v>
      </c>
      <c r="BT46" s="21">
        <f t="shared" si="66"/>
        <v>40.347681835862737</v>
      </c>
      <c r="BU46" s="21">
        <f t="shared" si="66"/>
        <v>40.347681835862737</v>
      </c>
      <c r="BV46" s="21">
        <f t="shared" si="66"/>
        <v>40.347681835862737</v>
      </c>
      <c r="BW46" s="21">
        <f t="shared" si="66"/>
        <v>40.347681835862737</v>
      </c>
      <c r="BX46" s="21">
        <f t="shared" si="66"/>
        <v>40.347681835862737</v>
      </c>
      <c r="BY46" s="21">
        <f t="shared" si="66"/>
        <v>40.347681835862737</v>
      </c>
      <c r="BZ46" s="21">
        <f t="shared" si="66"/>
        <v>40.347681835862737</v>
      </c>
      <c r="CA46" s="21">
        <f t="shared" si="66"/>
        <v>40.347681835862737</v>
      </c>
      <c r="CB46" s="21">
        <f t="shared" si="66"/>
        <v>40.347681835862737</v>
      </c>
      <c r="CC46" s="21">
        <f t="shared" si="67"/>
        <v>40.347681835862737</v>
      </c>
      <c r="CD46" s="21">
        <f t="shared" si="67"/>
        <v>40.347681835862737</v>
      </c>
      <c r="CE46" s="21">
        <f t="shared" si="67"/>
        <v>40.347681835862737</v>
      </c>
      <c r="CF46" s="21">
        <f t="shared" si="67"/>
        <v>40.347681835862737</v>
      </c>
      <c r="CG46" s="21">
        <f t="shared" si="67"/>
        <v>40.347681835862737</v>
      </c>
      <c r="CH46" s="21">
        <f t="shared" si="67"/>
        <v>40.347681835862737</v>
      </c>
      <c r="CI46" s="21">
        <f t="shared" si="67"/>
        <v>40.347681835862737</v>
      </c>
      <c r="CJ46" s="21">
        <f t="shared" si="67"/>
        <v>40.347681835862737</v>
      </c>
      <c r="CK46" s="21">
        <f t="shared" si="67"/>
        <v>40.347681835862737</v>
      </c>
      <c r="CL46" s="21">
        <f t="shared" si="67"/>
        <v>40.347681835862737</v>
      </c>
      <c r="CM46" s="21">
        <f t="shared" si="68"/>
        <v>40.347681835862737</v>
      </c>
      <c r="CN46" s="21">
        <f t="shared" si="68"/>
        <v>40.347681835862737</v>
      </c>
      <c r="CO46" s="21">
        <f t="shared" si="68"/>
        <v>40.347681835862737</v>
      </c>
      <c r="CP46" s="21">
        <f t="shared" si="68"/>
        <v>40.347681835862737</v>
      </c>
      <c r="CQ46" s="21">
        <f t="shared" si="68"/>
        <v>40.347681835862737</v>
      </c>
      <c r="CR46" s="21">
        <f t="shared" si="68"/>
        <v>40.347681835862737</v>
      </c>
      <c r="CS46" s="21">
        <f t="shared" si="68"/>
        <v>40.347681835862737</v>
      </c>
      <c r="CT46" s="21">
        <f t="shared" si="68"/>
        <v>40.347681835862737</v>
      </c>
      <c r="CU46" s="21">
        <f t="shared" si="68"/>
        <v>40.347681835862737</v>
      </c>
      <c r="CV46" s="21">
        <f t="shared" si="68"/>
        <v>40.347681835862737</v>
      </c>
      <c r="CW46" s="21">
        <f t="shared" si="69"/>
        <v>40.347681835862737</v>
      </c>
      <c r="CX46" s="21">
        <f t="shared" si="69"/>
        <v>40.347681835862737</v>
      </c>
      <c r="CY46" s="21">
        <f t="shared" si="69"/>
        <v>40.347681835862737</v>
      </c>
      <c r="CZ46" s="21">
        <f t="shared" si="69"/>
        <v>40.347681835862737</v>
      </c>
      <c r="DA46" s="21">
        <f t="shared" si="69"/>
        <v>40.347681835862737</v>
      </c>
      <c r="DB46" s="21">
        <f t="shared" si="69"/>
        <v>40.347681835862737</v>
      </c>
      <c r="DC46" s="21">
        <f t="shared" si="69"/>
        <v>40.347681835862737</v>
      </c>
      <c r="DD46" s="21">
        <f t="shared" si="69"/>
        <v>40.347681835862737</v>
      </c>
      <c r="DE46" s="21">
        <f t="shared" si="69"/>
        <v>40.347681835862737</v>
      </c>
      <c r="DF46" s="21">
        <f t="shared" si="69"/>
        <v>40.347681835862737</v>
      </c>
      <c r="DH46" s="21">
        <f t="shared" si="70"/>
        <v>40.347681835862737</v>
      </c>
      <c r="DI46" s="21">
        <f t="shared" si="70"/>
        <v>40.347681835862737</v>
      </c>
      <c r="DJ46" s="21">
        <f t="shared" si="70"/>
        <v>40.347681835862737</v>
      </c>
      <c r="DK46" s="21">
        <f t="shared" si="70"/>
        <v>40.347681835862737</v>
      </c>
      <c r="DL46" s="21">
        <f t="shared" si="70"/>
        <v>40.347681835862737</v>
      </c>
      <c r="DM46" s="21">
        <f t="shared" si="70"/>
        <v>40.347681835862737</v>
      </c>
      <c r="DN46" s="21">
        <f t="shared" si="70"/>
        <v>40.347681835862737</v>
      </c>
      <c r="DO46" s="21">
        <f t="shared" si="70"/>
        <v>40.347681835862737</v>
      </c>
      <c r="DP46" s="21">
        <f t="shared" si="70"/>
        <v>40.347681835862737</v>
      </c>
      <c r="DQ46" s="21">
        <f t="shared" si="70"/>
        <v>40.347681835862737</v>
      </c>
      <c r="DR46" s="21">
        <f t="shared" si="70"/>
        <v>40.347681835862737</v>
      </c>
      <c r="DS46" s="21">
        <f t="shared" si="70"/>
        <v>40.347681835862737</v>
      </c>
      <c r="DT46" s="21">
        <f t="shared" si="70"/>
        <v>40.347681835862737</v>
      </c>
      <c r="DU46" s="21">
        <f t="shared" si="70"/>
        <v>40.347681835862737</v>
      </c>
      <c r="DV46" s="21">
        <f t="shared" si="70"/>
        <v>40.347681835862737</v>
      </c>
      <c r="DW46" s="21">
        <f t="shared" si="70"/>
        <v>40.347681835862737</v>
      </c>
      <c r="DX46" s="21">
        <f t="shared" si="71"/>
        <v>40.347681835862737</v>
      </c>
      <c r="DY46" s="21">
        <f t="shared" si="71"/>
        <v>40.347681835862737</v>
      </c>
      <c r="DZ46" s="21">
        <f t="shared" si="71"/>
        <v>40.347681835862737</v>
      </c>
      <c r="EA46" s="21">
        <f t="shared" si="71"/>
        <v>40.347681835862737</v>
      </c>
      <c r="EB46" s="21">
        <f t="shared" si="71"/>
        <v>40.347681835862737</v>
      </c>
      <c r="EC46" s="21">
        <f t="shared" si="71"/>
        <v>40.347681835862737</v>
      </c>
      <c r="ED46" s="21">
        <f t="shared" si="72"/>
        <v>40.347681835862737</v>
      </c>
      <c r="EH46" s="21" t="str">
        <f>[5]Copper!$K$61</f>
        <v>Final Copper Product: Combined</v>
      </c>
      <c r="EI46" s="69">
        <f>[7]Copper!$K$63*Convert!$G$9/1000</f>
        <v>40.347681835862737</v>
      </c>
      <c r="EJ46" s="69">
        <f>[5]Copper!$K$63*Convert!$G$9/1000</f>
        <v>40.347681835862737</v>
      </c>
    </row>
    <row r="47" spans="1:140" x14ac:dyDescent="0.3">
      <c r="A47" s="21" t="s">
        <v>142</v>
      </c>
      <c r="D47" s="21">
        <f t="shared" si="59"/>
        <v>20.721804139804703</v>
      </c>
      <c r="E47" s="21">
        <f t="shared" si="59"/>
        <v>20.721804139804703</v>
      </c>
      <c r="F47" s="21">
        <f t="shared" si="59"/>
        <v>20.721804139804703</v>
      </c>
      <c r="G47" s="21">
        <f t="shared" si="59"/>
        <v>20.721804139804703</v>
      </c>
      <c r="H47" s="21">
        <f t="shared" si="59"/>
        <v>20.721804139804703</v>
      </c>
      <c r="I47" s="21">
        <f t="shared" si="59"/>
        <v>20.721804139804703</v>
      </c>
      <c r="J47" s="21">
        <f t="shared" si="59"/>
        <v>20.721804139804703</v>
      </c>
      <c r="K47" s="21">
        <f t="shared" si="59"/>
        <v>20.721804139804703</v>
      </c>
      <c r="L47" s="21">
        <f t="shared" si="59"/>
        <v>20.721804139804703</v>
      </c>
      <c r="M47" s="21">
        <f t="shared" si="59"/>
        <v>20.721804139804703</v>
      </c>
      <c r="N47" s="21">
        <f t="shared" si="60"/>
        <v>20.721804139804703</v>
      </c>
      <c r="O47" s="21">
        <f t="shared" si="60"/>
        <v>20.721804139804703</v>
      </c>
      <c r="P47" s="21">
        <f t="shared" si="60"/>
        <v>20.721804139804703</v>
      </c>
      <c r="Q47" s="21">
        <f t="shared" si="60"/>
        <v>20.721804139804703</v>
      </c>
      <c r="R47" s="21">
        <f t="shared" si="60"/>
        <v>20.721804139804703</v>
      </c>
      <c r="S47" s="21">
        <f t="shared" si="60"/>
        <v>20.721804139804703</v>
      </c>
      <c r="T47" s="21">
        <f t="shared" si="60"/>
        <v>20.721804139804703</v>
      </c>
      <c r="U47" s="21">
        <f t="shared" si="60"/>
        <v>20.721804139804703</v>
      </c>
      <c r="V47" s="21">
        <f t="shared" si="60"/>
        <v>20.721804139804703</v>
      </c>
      <c r="W47" s="21">
        <f t="shared" si="60"/>
        <v>20.721804139804703</v>
      </c>
      <c r="X47" s="21">
        <f t="shared" si="60"/>
        <v>20.721804139804703</v>
      </c>
      <c r="Y47" s="21">
        <f t="shared" si="60"/>
        <v>20.721804139804703</v>
      </c>
      <c r="Z47" s="21">
        <f t="shared" si="60"/>
        <v>20.721804139804703</v>
      </c>
      <c r="AA47" s="21">
        <f t="shared" si="60"/>
        <v>20.721804139804703</v>
      </c>
      <c r="AB47" s="21">
        <f t="shared" si="61"/>
        <v>20.721804139804703</v>
      </c>
      <c r="AC47" s="21">
        <f t="shared" si="61"/>
        <v>20.721804139804703</v>
      </c>
      <c r="AD47" s="21">
        <f t="shared" si="61"/>
        <v>20.721804139804703</v>
      </c>
      <c r="AE47" s="21">
        <f t="shared" si="62"/>
        <v>20.721804139804703</v>
      </c>
      <c r="AF47" s="21">
        <f t="shared" si="62"/>
        <v>20.721804139804703</v>
      </c>
      <c r="AG47" s="21">
        <f t="shared" si="62"/>
        <v>20.721804139804703</v>
      </c>
      <c r="AH47" s="21">
        <f t="shared" si="62"/>
        <v>20.721804139804703</v>
      </c>
      <c r="AI47" s="21">
        <f t="shared" si="62"/>
        <v>20.721804139804703</v>
      </c>
      <c r="AJ47" s="21">
        <f t="shared" si="62"/>
        <v>20.721804139804703</v>
      </c>
      <c r="AK47" s="21">
        <f t="shared" si="62"/>
        <v>20.721804139804703</v>
      </c>
      <c r="AL47" s="21">
        <f t="shared" si="62"/>
        <v>20.721804139804703</v>
      </c>
      <c r="AM47" s="21">
        <f t="shared" si="62"/>
        <v>20.721804139804703</v>
      </c>
      <c r="AN47" s="21">
        <f t="shared" si="62"/>
        <v>20.721804139804703</v>
      </c>
      <c r="AO47" s="21">
        <f t="shared" si="63"/>
        <v>20.721804139804703</v>
      </c>
      <c r="AP47" s="21">
        <f t="shared" si="63"/>
        <v>20.721804139804703</v>
      </c>
      <c r="AQ47" s="21">
        <f t="shared" si="63"/>
        <v>20.721804139804703</v>
      </c>
      <c r="AR47" s="21">
        <f t="shared" si="63"/>
        <v>20.721804139804703</v>
      </c>
      <c r="AS47" s="21">
        <f t="shared" si="63"/>
        <v>20.721804139804703</v>
      </c>
      <c r="AT47" s="21">
        <f t="shared" si="63"/>
        <v>20.721804139804703</v>
      </c>
      <c r="AU47" s="21">
        <f t="shared" si="63"/>
        <v>20.721804139804703</v>
      </c>
      <c r="AV47" s="21">
        <f t="shared" si="63"/>
        <v>20.721804139804703</v>
      </c>
      <c r="AW47" s="21">
        <f t="shared" si="63"/>
        <v>20.721804139804703</v>
      </c>
      <c r="AX47" s="21">
        <f t="shared" si="63"/>
        <v>20.721804139804703</v>
      </c>
      <c r="AY47" s="21">
        <f t="shared" si="64"/>
        <v>20.721804139804703</v>
      </c>
      <c r="AZ47" s="21">
        <f t="shared" si="64"/>
        <v>20.721804139804703</v>
      </c>
      <c r="BA47" s="21">
        <f t="shared" si="64"/>
        <v>20.721804139804703</v>
      </c>
      <c r="BB47" s="21">
        <f t="shared" si="64"/>
        <v>20.721804139804703</v>
      </c>
      <c r="BC47" s="21">
        <f t="shared" si="64"/>
        <v>20.721804139804703</v>
      </c>
      <c r="BD47" s="21">
        <f t="shared" si="64"/>
        <v>20.721804139804703</v>
      </c>
      <c r="BE47" s="21">
        <f t="shared" si="64"/>
        <v>20.721804139804703</v>
      </c>
      <c r="BF47" s="21">
        <f t="shared" si="64"/>
        <v>20.721804139804703</v>
      </c>
      <c r="BG47" s="21">
        <f t="shared" si="64"/>
        <v>20.721804139804703</v>
      </c>
      <c r="BH47" s="21">
        <f t="shared" si="64"/>
        <v>20.721804139804703</v>
      </c>
      <c r="BI47" s="21">
        <f t="shared" si="65"/>
        <v>20.721804139804703</v>
      </c>
      <c r="BJ47" s="21">
        <f t="shared" si="65"/>
        <v>20.721804139804703</v>
      </c>
      <c r="BK47" s="21">
        <f t="shared" si="65"/>
        <v>20.721804139804703</v>
      </c>
      <c r="BL47" s="21">
        <f t="shared" si="65"/>
        <v>20.721804139804703</v>
      </c>
      <c r="BM47" s="21">
        <f t="shared" si="65"/>
        <v>20.721804139804703</v>
      </c>
      <c r="BN47" s="21">
        <f t="shared" si="65"/>
        <v>20.721804139804703</v>
      </c>
      <c r="BO47" s="21">
        <f t="shared" si="65"/>
        <v>20.721804139804703</v>
      </c>
      <c r="BP47" s="21">
        <f t="shared" si="65"/>
        <v>20.721804139804703</v>
      </c>
      <c r="BQ47" s="21">
        <f t="shared" si="65"/>
        <v>20.721804139804703</v>
      </c>
      <c r="BR47" s="21">
        <f t="shared" si="65"/>
        <v>20.721804139804703</v>
      </c>
      <c r="BS47" s="21">
        <f t="shared" si="66"/>
        <v>20.721804139804703</v>
      </c>
      <c r="BT47" s="21">
        <f t="shared" si="66"/>
        <v>20.721804139804703</v>
      </c>
      <c r="BU47" s="21">
        <f t="shared" si="66"/>
        <v>20.721804139804703</v>
      </c>
      <c r="BV47" s="21">
        <f t="shared" si="66"/>
        <v>20.721804139804703</v>
      </c>
      <c r="BW47" s="21">
        <f t="shared" si="66"/>
        <v>20.721804139804703</v>
      </c>
      <c r="BX47" s="21">
        <f t="shared" si="66"/>
        <v>20.721804139804703</v>
      </c>
      <c r="BY47" s="21">
        <f t="shared" si="66"/>
        <v>20.721804139804703</v>
      </c>
      <c r="BZ47" s="21">
        <f t="shared" si="66"/>
        <v>20.721804139804703</v>
      </c>
      <c r="CA47" s="21">
        <f t="shared" si="66"/>
        <v>20.721804139804703</v>
      </c>
      <c r="CB47" s="21">
        <f t="shared" si="66"/>
        <v>20.721804139804703</v>
      </c>
      <c r="CC47" s="21">
        <f t="shared" si="67"/>
        <v>20.721804139804703</v>
      </c>
      <c r="CD47" s="21">
        <f t="shared" si="67"/>
        <v>20.721804139804703</v>
      </c>
      <c r="CE47" s="21">
        <f t="shared" si="67"/>
        <v>20.721804139804703</v>
      </c>
      <c r="CF47" s="21">
        <f t="shared" si="67"/>
        <v>20.721804139804703</v>
      </c>
      <c r="CG47" s="21">
        <f t="shared" si="67"/>
        <v>20.721804139804703</v>
      </c>
      <c r="CH47" s="21">
        <f t="shared" si="67"/>
        <v>20.721804139804703</v>
      </c>
      <c r="CI47" s="21">
        <f t="shared" si="67"/>
        <v>20.721804139804703</v>
      </c>
      <c r="CJ47" s="21">
        <f t="shared" si="67"/>
        <v>20.721804139804703</v>
      </c>
      <c r="CK47" s="21">
        <f t="shared" si="67"/>
        <v>20.721804139804703</v>
      </c>
      <c r="CL47" s="21">
        <f t="shared" si="67"/>
        <v>20.721804139804703</v>
      </c>
      <c r="CM47" s="21">
        <f t="shared" si="68"/>
        <v>20.721804139804703</v>
      </c>
      <c r="CN47" s="21">
        <f t="shared" si="68"/>
        <v>20.721804139804703</v>
      </c>
      <c r="CO47" s="21">
        <f t="shared" si="68"/>
        <v>20.721804139804703</v>
      </c>
      <c r="CP47" s="21">
        <f t="shared" si="68"/>
        <v>20.721804139804703</v>
      </c>
      <c r="CQ47" s="21">
        <f t="shared" si="68"/>
        <v>20.721804139804703</v>
      </c>
      <c r="CR47" s="21">
        <f t="shared" si="68"/>
        <v>20.721804139804703</v>
      </c>
      <c r="CS47" s="21">
        <f t="shared" si="68"/>
        <v>20.721804139804703</v>
      </c>
      <c r="CT47" s="21">
        <f t="shared" si="68"/>
        <v>20.721804139804703</v>
      </c>
      <c r="CU47" s="21">
        <f t="shared" si="68"/>
        <v>20.721804139804703</v>
      </c>
      <c r="CV47" s="21">
        <f t="shared" si="68"/>
        <v>20.721804139804703</v>
      </c>
      <c r="CW47" s="21">
        <f t="shared" si="69"/>
        <v>20.721804139804703</v>
      </c>
      <c r="CX47" s="21">
        <f t="shared" si="69"/>
        <v>20.721804139804703</v>
      </c>
      <c r="CY47" s="21">
        <f t="shared" si="69"/>
        <v>20.721804139804703</v>
      </c>
      <c r="CZ47" s="21">
        <f t="shared" si="69"/>
        <v>20.721804139804703</v>
      </c>
      <c r="DA47" s="21">
        <f t="shared" si="69"/>
        <v>20.721804139804703</v>
      </c>
      <c r="DB47" s="21">
        <f t="shared" si="69"/>
        <v>20.721804139804703</v>
      </c>
      <c r="DC47" s="21">
        <f t="shared" si="69"/>
        <v>20.721804139804703</v>
      </c>
      <c r="DD47" s="21">
        <f t="shared" si="69"/>
        <v>20.721804139804703</v>
      </c>
      <c r="DE47" s="21">
        <f t="shared" si="69"/>
        <v>20.721804139804703</v>
      </c>
      <c r="DF47" s="21">
        <f t="shared" si="69"/>
        <v>20.721804139804703</v>
      </c>
      <c r="DH47" s="21">
        <f t="shared" si="70"/>
        <v>20.721804139804703</v>
      </c>
      <c r="DI47" s="21">
        <f t="shared" si="70"/>
        <v>20.721804139804703</v>
      </c>
      <c r="DJ47" s="21">
        <f t="shared" si="70"/>
        <v>20.721804139804703</v>
      </c>
      <c r="DK47" s="21">
        <f t="shared" si="70"/>
        <v>20.721804139804703</v>
      </c>
      <c r="DL47" s="21">
        <f t="shared" si="70"/>
        <v>20.721804139804703</v>
      </c>
      <c r="DM47" s="21">
        <f t="shared" si="70"/>
        <v>20.721804139804703</v>
      </c>
      <c r="DN47" s="21">
        <f t="shared" si="70"/>
        <v>20.721804139804703</v>
      </c>
      <c r="DO47" s="21">
        <f t="shared" si="70"/>
        <v>20.721804139804703</v>
      </c>
      <c r="DP47" s="21">
        <f t="shared" si="70"/>
        <v>20.721804139804703</v>
      </c>
      <c r="DQ47" s="21">
        <f t="shared" si="70"/>
        <v>20.721804139804703</v>
      </c>
      <c r="DR47" s="21">
        <f t="shared" si="70"/>
        <v>20.721804139804703</v>
      </c>
      <c r="DS47" s="21">
        <f t="shared" si="70"/>
        <v>20.721804139804703</v>
      </c>
      <c r="DT47" s="21">
        <f t="shared" si="70"/>
        <v>20.721804139804703</v>
      </c>
      <c r="DU47" s="21">
        <f t="shared" si="70"/>
        <v>20.721804139804703</v>
      </c>
      <c r="DV47" s="21">
        <f t="shared" si="70"/>
        <v>20.721804139804703</v>
      </c>
      <c r="DW47" s="21">
        <f t="shared" si="70"/>
        <v>20.721804139804703</v>
      </c>
      <c r="DX47" s="21">
        <f t="shared" si="71"/>
        <v>20.721804139804703</v>
      </c>
      <c r="DY47" s="21">
        <f t="shared" si="71"/>
        <v>20.721804139804703</v>
      </c>
      <c r="DZ47" s="21">
        <f t="shared" si="71"/>
        <v>20.721804139804703</v>
      </c>
      <c r="EA47" s="21">
        <f t="shared" si="71"/>
        <v>20.721804139804703</v>
      </c>
      <c r="EB47" s="21">
        <f t="shared" si="71"/>
        <v>20.721804139804703</v>
      </c>
      <c r="EC47" s="21">
        <f t="shared" si="71"/>
        <v>20.721804139804703</v>
      </c>
      <c r="ED47" s="21">
        <f t="shared" si="72"/>
        <v>20.721804139804703</v>
      </c>
      <c r="EH47" s="21" t="str">
        <f>[5]Glass!$J$69</f>
        <v>Final Automotive Glass Product</v>
      </c>
      <c r="EI47" s="69">
        <f>[7]Glass!$J$71*Convert!$G$9/1000</f>
        <v>20.721804139804703</v>
      </c>
      <c r="EJ47" s="69">
        <f>[5]Glass!$J$71*Convert!$G$9/1000</f>
        <v>20.721804139804703</v>
      </c>
    </row>
    <row r="48" spans="1:140" x14ac:dyDescent="0.3">
      <c r="A48" s="21" t="s">
        <v>120</v>
      </c>
      <c r="D48" s="21">
        <f t="shared" si="59"/>
        <v>89.137104389133725</v>
      </c>
      <c r="E48" s="21">
        <f t="shared" si="59"/>
        <v>89.137104389133725</v>
      </c>
      <c r="F48" s="21">
        <f t="shared" si="59"/>
        <v>89.137104389133725</v>
      </c>
      <c r="G48" s="21">
        <f t="shared" si="59"/>
        <v>89.137104389133725</v>
      </c>
      <c r="H48" s="21">
        <f t="shared" si="59"/>
        <v>89.137104389133725</v>
      </c>
      <c r="I48" s="21">
        <f t="shared" si="59"/>
        <v>89.137104389133725</v>
      </c>
      <c r="J48" s="21">
        <f t="shared" si="59"/>
        <v>89.137104389133725</v>
      </c>
      <c r="K48" s="21">
        <f t="shared" si="59"/>
        <v>89.137104389133725</v>
      </c>
      <c r="L48" s="21">
        <f t="shared" si="59"/>
        <v>89.137104389133725</v>
      </c>
      <c r="M48" s="21">
        <f t="shared" si="59"/>
        <v>89.137104389133725</v>
      </c>
      <c r="N48" s="21">
        <f t="shared" si="60"/>
        <v>89.137104389133725</v>
      </c>
      <c r="O48" s="21">
        <f t="shared" si="60"/>
        <v>89.137104389133725</v>
      </c>
      <c r="P48" s="21">
        <f t="shared" si="60"/>
        <v>89.137104389133725</v>
      </c>
      <c r="Q48" s="21">
        <f t="shared" si="60"/>
        <v>89.137104389133725</v>
      </c>
      <c r="R48" s="21">
        <f t="shared" si="60"/>
        <v>89.137104389133725</v>
      </c>
      <c r="S48" s="21">
        <f t="shared" si="60"/>
        <v>89.137104389133725</v>
      </c>
      <c r="T48" s="21">
        <f t="shared" si="60"/>
        <v>89.137104389133725</v>
      </c>
      <c r="U48" s="21">
        <f t="shared" si="60"/>
        <v>89.137104389133725</v>
      </c>
      <c r="V48" s="21">
        <f t="shared" si="60"/>
        <v>89.137104389133725</v>
      </c>
      <c r="W48" s="21">
        <f t="shared" si="60"/>
        <v>89.137104389133725</v>
      </c>
      <c r="X48" s="21">
        <f t="shared" si="60"/>
        <v>89.137104389133725</v>
      </c>
      <c r="Y48" s="21">
        <f t="shared" si="60"/>
        <v>89.137104389133725</v>
      </c>
      <c r="Z48" s="21">
        <f t="shared" si="60"/>
        <v>89.137104389133725</v>
      </c>
      <c r="AA48" s="21">
        <f t="shared" si="60"/>
        <v>89.137104389133725</v>
      </c>
      <c r="AB48" s="21">
        <f t="shared" si="61"/>
        <v>89.137104389133725</v>
      </c>
      <c r="AC48" s="21">
        <f t="shared" si="61"/>
        <v>89.137104389133725</v>
      </c>
      <c r="AD48" s="21">
        <f t="shared" si="61"/>
        <v>89.137104389133725</v>
      </c>
      <c r="AE48" s="21">
        <f t="shared" si="62"/>
        <v>89.137104389133725</v>
      </c>
      <c r="AF48" s="21">
        <f t="shared" si="62"/>
        <v>89.137104389133725</v>
      </c>
      <c r="AG48" s="21">
        <f t="shared" si="62"/>
        <v>89.137104389133725</v>
      </c>
      <c r="AH48" s="21">
        <f t="shared" si="62"/>
        <v>89.137104389133725</v>
      </c>
      <c r="AI48" s="21">
        <f t="shared" si="62"/>
        <v>89.137104389133725</v>
      </c>
      <c r="AJ48" s="21">
        <f t="shared" si="62"/>
        <v>89.137104389133725</v>
      </c>
      <c r="AK48" s="21">
        <f t="shared" si="62"/>
        <v>89.137104389133725</v>
      </c>
      <c r="AL48" s="21">
        <f t="shared" si="62"/>
        <v>89.137104389133725</v>
      </c>
      <c r="AM48" s="21">
        <f t="shared" si="62"/>
        <v>89.137104389133725</v>
      </c>
      <c r="AN48" s="21">
        <f t="shared" si="62"/>
        <v>89.137104389133725</v>
      </c>
      <c r="AO48" s="21">
        <f t="shared" si="63"/>
        <v>89.137104389133725</v>
      </c>
      <c r="AP48" s="21">
        <f t="shared" si="63"/>
        <v>89.137104389133725</v>
      </c>
      <c r="AQ48" s="21">
        <f t="shared" si="63"/>
        <v>89.137104389133725</v>
      </c>
      <c r="AR48" s="21">
        <f t="shared" si="63"/>
        <v>89.137104389133725</v>
      </c>
      <c r="AS48" s="21">
        <f t="shared" si="63"/>
        <v>89.137104389133725</v>
      </c>
      <c r="AT48" s="21">
        <f t="shared" si="63"/>
        <v>89.137104389133725</v>
      </c>
      <c r="AU48" s="21">
        <f t="shared" si="63"/>
        <v>89.137104389133725</v>
      </c>
      <c r="AV48" s="21">
        <f t="shared" si="63"/>
        <v>89.137104389133725</v>
      </c>
      <c r="AW48" s="21">
        <f t="shared" si="63"/>
        <v>89.137104389133725</v>
      </c>
      <c r="AX48" s="21">
        <f t="shared" si="63"/>
        <v>89.137104389133725</v>
      </c>
      <c r="AY48" s="21">
        <f t="shared" si="64"/>
        <v>89.137104389133725</v>
      </c>
      <c r="AZ48" s="21">
        <f t="shared" si="64"/>
        <v>89.137104389133725</v>
      </c>
      <c r="BA48" s="21">
        <f t="shared" si="64"/>
        <v>89.137104389133725</v>
      </c>
      <c r="BB48" s="21">
        <f t="shared" si="64"/>
        <v>89.137104389133725</v>
      </c>
      <c r="BC48" s="21">
        <f t="shared" si="64"/>
        <v>89.137104389133725</v>
      </c>
      <c r="BD48" s="21">
        <f t="shared" si="64"/>
        <v>89.137104389133725</v>
      </c>
      <c r="BE48" s="21">
        <f t="shared" si="64"/>
        <v>89.137104389133725</v>
      </c>
      <c r="BF48" s="21">
        <f t="shared" si="64"/>
        <v>89.137104389133725</v>
      </c>
      <c r="BG48" s="21">
        <f t="shared" si="64"/>
        <v>89.137104389133725</v>
      </c>
      <c r="BH48" s="21">
        <f t="shared" si="64"/>
        <v>89.137104389133725</v>
      </c>
      <c r="BI48" s="21">
        <f t="shared" si="65"/>
        <v>89.137104389133725</v>
      </c>
      <c r="BJ48" s="21">
        <f t="shared" si="65"/>
        <v>89.137104389133725</v>
      </c>
      <c r="BK48" s="21">
        <f t="shared" si="65"/>
        <v>89.137104389133725</v>
      </c>
      <c r="BL48" s="21">
        <f t="shared" si="65"/>
        <v>89.137104389133725</v>
      </c>
      <c r="BM48" s="21">
        <f t="shared" si="65"/>
        <v>89.137104389133725</v>
      </c>
      <c r="BN48" s="21">
        <f t="shared" si="65"/>
        <v>89.137104389133725</v>
      </c>
      <c r="BO48" s="21">
        <f t="shared" si="65"/>
        <v>89.137104389133725</v>
      </c>
      <c r="BP48" s="21">
        <f t="shared" si="65"/>
        <v>89.137104389133725</v>
      </c>
      <c r="BQ48" s="21">
        <f t="shared" si="65"/>
        <v>89.137104389133725</v>
      </c>
      <c r="BR48" s="21">
        <f t="shared" si="65"/>
        <v>89.137104389133725</v>
      </c>
      <c r="BS48" s="21">
        <f t="shared" si="66"/>
        <v>89.137104389133725</v>
      </c>
      <c r="BT48" s="21">
        <f t="shared" si="66"/>
        <v>89.137104389133725</v>
      </c>
      <c r="BU48" s="21">
        <f t="shared" si="66"/>
        <v>89.137104389133725</v>
      </c>
      <c r="BV48" s="21">
        <f t="shared" si="66"/>
        <v>89.137104389133725</v>
      </c>
      <c r="BW48" s="21">
        <f t="shared" si="66"/>
        <v>89.137104389133725</v>
      </c>
      <c r="BX48" s="21">
        <f t="shared" si="66"/>
        <v>89.137104389133725</v>
      </c>
      <c r="BY48" s="21">
        <f t="shared" si="66"/>
        <v>89.137104389133725</v>
      </c>
      <c r="BZ48" s="21">
        <f t="shared" si="66"/>
        <v>89.137104389133725</v>
      </c>
      <c r="CA48" s="21">
        <f t="shared" si="66"/>
        <v>89.137104389133725</v>
      </c>
      <c r="CB48" s="21">
        <f t="shared" si="66"/>
        <v>89.137104389133725</v>
      </c>
      <c r="CC48" s="21">
        <f t="shared" si="67"/>
        <v>89.137104389133725</v>
      </c>
      <c r="CD48" s="21">
        <f t="shared" si="67"/>
        <v>89.137104389133725</v>
      </c>
      <c r="CE48" s="21">
        <f t="shared" si="67"/>
        <v>89.137104389133725</v>
      </c>
      <c r="CF48" s="21">
        <f t="shared" si="67"/>
        <v>89.137104389133725</v>
      </c>
      <c r="CG48" s="21">
        <f t="shared" si="67"/>
        <v>89.137104389133725</v>
      </c>
      <c r="CH48" s="21">
        <f t="shared" si="67"/>
        <v>89.137104389133725</v>
      </c>
      <c r="CI48" s="21">
        <f t="shared" si="67"/>
        <v>89.137104389133725</v>
      </c>
      <c r="CJ48" s="21">
        <f t="shared" si="67"/>
        <v>89.137104389133725</v>
      </c>
      <c r="CK48" s="21">
        <f t="shared" si="67"/>
        <v>89.137104389133725</v>
      </c>
      <c r="CL48" s="21">
        <f t="shared" si="67"/>
        <v>89.137104389133725</v>
      </c>
      <c r="CM48" s="21">
        <f t="shared" si="68"/>
        <v>89.137104389133725</v>
      </c>
      <c r="CN48" s="21">
        <f t="shared" si="68"/>
        <v>89.137104389133725</v>
      </c>
      <c r="CO48" s="21">
        <f t="shared" si="68"/>
        <v>89.137104389133725</v>
      </c>
      <c r="CP48" s="21">
        <f t="shared" si="68"/>
        <v>89.137104389133725</v>
      </c>
      <c r="CQ48" s="21">
        <f t="shared" si="68"/>
        <v>89.137104389133725</v>
      </c>
      <c r="CR48" s="21">
        <f t="shared" si="68"/>
        <v>89.137104389133725</v>
      </c>
      <c r="CS48" s="21">
        <f t="shared" si="68"/>
        <v>89.137104389133725</v>
      </c>
      <c r="CT48" s="21">
        <f t="shared" si="68"/>
        <v>89.137104389133725</v>
      </c>
      <c r="CU48" s="21">
        <f t="shared" si="68"/>
        <v>89.137104389133725</v>
      </c>
      <c r="CV48" s="21">
        <f t="shared" si="68"/>
        <v>89.137104389133725</v>
      </c>
      <c r="CW48" s="21">
        <f t="shared" si="69"/>
        <v>89.137104389133725</v>
      </c>
      <c r="CX48" s="21">
        <f t="shared" si="69"/>
        <v>89.137104389133725</v>
      </c>
      <c r="CY48" s="21">
        <f t="shared" si="69"/>
        <v>89.137104389133725</v>
      </c>
      <c r="CZ48" s="21">
        <f t="shared" si="69"/>
        <v>89.137104389133725</v>
      </c>
      <c r="DA48" s="21">
        <f t="shared" si="69"/>
        <v>89.137104389133725</v>
      </c>
      <c r="DB48" s="21">
        <f t="shared" si="69"/>
        <v>89.137104389133725</v>
      </c>
      <c r="DC48" s="21">
        <f t="shared" si="69"/>
        <v>89.137104389133725</v>
      </c>
      <c r="DD48" s="21">
        <f t="shared" si="69"/>
        <v>89.137104389133725</v>
      </c>
      <c r="DE48" s="21">
        <f t="shared" si="69"/>
        <v>89.137104389133725</v>
      </c>
      <c r="DF48" s="21">
        <f t="shared" si="69"/>
        <v>89.137104389133725</v>
      </c>
      <c r="DH48" s="21">
        <f t="shared" si="70"/>
        <v>89.137104389133725</v>
      </c>
      <c r="DI48" s="21">
        <f t="shared" si="70"/>
        <v>89.137104389133725</v>
      </c>
      <c r="DJ48" s="21">
        <f t="shared" si="70"/>
        <v>89.137104389133725</v>
      </c>
      <c r="DK48" s="21">
        <f t="shared" si="70"/>
        <v>89.137104389133725</v>
      </c>
      <c r="DL48" s="21">
        <f t="shared" si="70"/>
        <v>89.137104389133725</v>
      </c>
      <c r="DM48" s="21">
        <f t="shared" si="70"/>
        <v>89.137104389133725</v>
      </c>
      <c r="DN48" s="21">
        <f t="shared" si="70"/>
        <v>89.137104389133725</v>
      </c>
      <c r="DO48" s="21">
        <f t="shared" si="70"/>
        <v>89.137104389133725</v>
      </c>
      <c r="DP48" s="21">
        <f t="shared" si="70"/>
        <v>89.137104389133725</v>
      </c>
      <c r="DQ48" s="21">
        <f t="shared" si="70"/>
        <v>89.137104389133725</v>
      </c>
      <c r="DR48" s="21">
        <f t="shared" si="70"/>
        <v>89.137104389133725</v>
      </c>
      <c r="DS48" s="21">
        <f t="shared" si="70"/>
        <v>89.137104389133725</v>
      </c>
      <c r="DT48" s="21">
        <f t="shared" si="70"/>
        <v>89.137104389133725</v>
      </c>
      <c r="DU48" s="21">
        <f t="shared" si="70"/>
        <v>89.137104389133725</v>
      </c>
      <c r="DV48" s="21">
        <f t="shared" si="70"/>
        <v>89.137104389133725</v>
      </c>
      <c r="DW48" s="21">
        <f t="shared" si="70"/>
        <v>89.137104389133725</v>
      </c>
      <c r="DX48" s="21">
        <f t="shared" si="71"/>
        <v>89.137104389133725</v>
      </c>
      <c r="DY48" s="21">
        <f t="shared" si="71"/>
        <v>89.137104389133725</v>
      </c>
      <c r="DZ48" s="21">
        <f t="shared" si="71"/>
        <v>89.137104389133725</v>
      </c>
      <c r="EA48" s="21">
        <f t="shared" si="71"/>
        <v>89.137104389133725</v>
      </c>
      <c r="EB48" s="21">
        <f t="shared" si="71"/>
        <v>89.137104389133725</v>
      </c>
      <c r="EC48" s="21">
        <f t="shared" si="71"/>
        <v>89.137104389133725</v>
      </c>
      <c r="ED48" s="21">
        <f t="shared" si="72"/>
        <v>89.137104389133725</v>
      </c>
      <c r="EH48" s="21" t="str">
        <f>[5]Plastic!$V$43&amp;" Resin"</f>
        <v>Polycarbonate (PC) Resin</v>
      </c>
      <c r="EI48" s="69">
        <f>[7]Plastic!$L$97*Convert!$G$9/1000</f>
        <v>89.137104389133725</v>
      </c>
      <c r="EJ48" s="69">
        <f>[5]Plastic!$L$97*Convert!$G$9/1000</f>
        <v>89.137104389133725</v>
      </c>
    </row>
    <row r="49" spans="1:143" x14ac:dyDescent="0.3">
      <c r="A49" s="21" t="s">
        <v>121</v>
      </c>
      <c r="D49" s="21">
        <f t="shared" si="59"/>
        <v>539.65352290816304</v>
      </c>
      <c r="E49" s="21">
        <f t="shared" si="59"/>
        <v>539.65352290816304</v>
      </c>
      <c r="F49" s="21">
        <f t="shared" si="59"/>
        <v>539.65352290816304</v>
      </c>
      <c r="G49" s="21">
        <f t="shared" si="59"/>
        <v>539.65352290816304</v>
      </c>
      <c r="H49" s="21">
        <f t="shared" si="59"/>
        <v>539.65352290816304</v>
      </c>
      <c r="I49" s="21">
        <f t="shared" si="59"/>
        <v>539.65352290816304</v>
      </c>
      <c r="J49" s="21">
        <f t="shared" si="59"/>
        <v>539.65352290816304</v>
      </c>
      <c r="K49" s="21">
        <f t="shared" si="59"/>
        <v>539.65352290816304</v>
      </c>
      <c r="L49" s="21">
        <f t="shared" si="59"/>
        <v>539.65352290816304</v>
      </c>
      <c r="M49" s="21">
        <f t="shared" si="59"/>
        <v>539.65352290816304</v>
      </c>
      <c r="N49" s="21">
        <f t="shared" si="60"/>
        <v>539.65352290816304</v>
      </c>
      <c r="O49" s="21">
        <f t="shared" si="60"/>
        <v>539.65352290816304</v>
      </c>
      <c r="P49" s="21">
        <f t="shared" si="60"/>
        <v>539.65352290816304</v>
      </c>
      <c r="Q49" s="21">
        <f t="shared" si="60"/>
        <v>539.65352290816304</v>
      </c>
      <c r="R49" s="21">
        <f t="shared" si="60"/>
        <v>539.65352290816304</v>
      </c>
      <c r="S49" s="21">
        <f t="shared" si="60"/>
        <v>539.65352290816304</v>
      </c>
      <c r="T49" s="21">
        <f t="shared" si="60"/>
        <v>539.65352290816304</v>
      </c>
      <c r="U49" s="21">
        <f t="shared" si="60"/>
        <v>539.65352290816304</v>
      </c>
      <c r="V49" s="21">
        <f t="shared" si="60"/>
        <v>539.65352290816304</v>
      </c>
      <c r="W49" s="21">
        <f t="shared" si="60"/>
        <v>539.65352290816304</v>
      </c>
      <c r="X49" s="21">
        <f t="shared" si="60"/>
        <v>539.65352290816304</v>
      </c>
      <c r="Y49" s="21">
        <f t="shared" si="60"/>
        <v>539.65352290816304</v>
      </c>
      <c r="Z49" s="21">
        <f t="shared" si="60"/>
        <v>539.65352290816304</v>
      </c>
      <c r="AA49" s="21">
        <f t="shared" si="60"/>
        <v>539.65352290816304</v>
      </c>
      <c r="AB49" s="21">
        <f t="shared" si="61"/>
        <v>539.65352290816304</v>
      </c>
      <c r="AC49" s="21">
        <f t="shared" si="61"/>
        <v>539.65352290816304</v>
      </c>
      <c r="AD49" s="21">
        <f t="shared" si="61"/>
        <v>539.65352290816304</v>
      </c>
      <c r="AE49" s="21">
        <f t="shared" si="62"/>
        <v>539.65352290816304</v>
      </c>
      <c r="AF49" s="21">
        <f t="shared" si="62"/>
        <v>539.65352290816304</v>
      </c>
      <c r="AG49" s="21">
        <f t="shared" si="62"/>
        <v>539.65352290816304</v>
      </c>
      <c r="AH49" s="21">
        <f t="shared" si="62"/>
        <v>539.65352290816304</v>
      </c>
      <c r="AI49" s="21">
        <f t="shared" si="62"/>
        <v>539.65352290816304</v>
      </c>
      <c r="AJ49" s="21">
        <f t="shared" si="62"/>
        <v>539.65352290816304</v>
      </c>
      <c r="AK49" s="21">
        <f t="shared" si="62"/>
        <v>539.65352290816304</v>
      </c>
      <c r="AL49" s="21">
        <f t="shared" si="62"/>
        <v>539.65352290816304</v>
      </c>
      <c r="AM49" s="21">
        <f t="shared" si="62"/>
        <v>539.65352290816304</v>
      </c>
      <c r="AN49" s="21">
        <f t="shared" si="62"/>
        <v>539.65352290816304</v>
      </c>
      <c r="AO49" s="21">
        <f t="shared" si="63"/>
        <v>539.65352290816304</v>
      </c>
      <c r="AP49" s="21">
        <f t="shared" si="63"/>
        <v>539.65352290816304</v>
      </c>
      <c r="AQ49" s="21">
        <f t="shared" si="63"/>
        <v>539.65352290816304</v>
      </c>
      <c r="AR49" s="21">
        <f t="shared" si="63"/>
        <v>539.65352290816304</v>
      </c>
      <c r="AS49" s="21">
        <f t="shared" si="63"/>
        <v>539.65352290816304</v>
      </c>
      <c r="AT49" s="21">
        <f t="shared" si="63"/>
        <v>539.65352290816304</v>
      </c>
      <c r="AU49" s="21">
        <f t="shared" si="63"/>
        <v>539.65352290816304</v>
      </c>
      <c r="AV49" s="21">
        <f t="shared" si="63"/>
        <v>539.65352290816304</v>
      </c>
      <c r="AW49" s="21">
        <f t="shared" si="63"/>
        <v>539.65352290816304</v>
      </c>
      <c r="AX49" s="21">
        <f t="shared" si="63"/>
        <v>539.65352290816304</v>
      </c>
      <c r="AY49" s="21">
        <f t="shared" si="64"/>
        <v>539.65352290816304</v>
      </c>
      <c r="AZ49" s="21">
        <f t="shared" si="64"/>
        <v>539.65352290816304</v>
      </c>
      <c r="BA49" s="21">
        <f t="shared" si="64"/>
        <v>539.65352290816304</v>
      </c>
      <c r="BB49" s="21">
        <f t="shared" si="64"/>
        <v>539.65352290816304</v>
      </c>
      <c r="BC49" s="21">
        <f t="shared" si="64"/>
        <v>539.65352290816304</v>
      </c>
      <c r="BD49" s="21">
        <f t="shared" si="64"/>
        <v>539.65352290816304</v>
      </c>
      <c r="BE49" s="21">
        <f t="shared" si="64"/>
        <v>539.65352290816304</v>
      </c>
      <c r="BF49" s="21">
        <f t="shared" si="64"/>
        <v>539.65352290816304</v>
      </c>
      <c r="BG49" s="21">
        <f t="shared" si="64"/>
        <v>539.65352290816304</v>
      </c>
      <c r="BH49" s="21">
        <f t="shared" si="64"/>
        <v>539.65352290816304</v>
      </c>
      <c r="BI49" s="21">
        <f t="shared" si="65"/>
        <v>539.65352290816304</v>
      </c>
      <c r="BJ49" s="21">
        <f t="shared" si="65"/>
        <v>539.65352290816304</v>
      </c>
      <c r="BK49" s="21">
        <f t="shared" si="65"/>
        <v>539.65352290816304</v>
      </c>
      <c r="BL49" s="21">
        <f t="shared" si="65"/>
        <v>539.65352290816304</v>
      </c>
      <c r="BM49" s="21">
        <f t="shared" si="65"/>
        <v>539.65352290816304</v>
      </c>
      <c r="BN49" s="21">
        <f t="shared" si="65"/>
        <v>539.65352290816304</v>
      </c>
      <c r="BO49" s="21">
        <f t="shared" si="65"/>
        <v>539.65352290816304</v>
      </c>
      <c r="BP49" s="21">
        <f t="shared" si="65"/>
        <v>539.65352290816304</v>
      </c>
      <c r="BQ49" s="21">
        <f t="shared" si="65"/>
        <v>539.65352290816304</v>
      </c>
      <c r="BR49" s="21">
        <f t="shared" si="65"/>
        <v>539.65352290816304</v>
      </c>
      <c r="BS49" s="21">
        <f t="shared" si="66"/>
        <v>539.65352290816304</v>
      </c>
      <c r="BT49" s="21">
        <f t="shared" si="66"/>
        <v>539.65352290816304</v>
      </c>
      <c r="BU49" s="21">
        <f t="shared" si="66"/>
        <v>539.65352290816304</v>
      </c>
      <c r="BV49" s="21">
        <f t="shared" si="66"/>
        <v>539.65352290816304</v>
      </c>
      <c r="BW49" s="21">
        <f t="shared" si="66"/>
        <v>539.65352290816304</v>
      </c>
      <c r="BX49" s="21">
        <f t="shared" si="66"/>
        <v>539.65352290816304</v>
      </c>
      <c r="BY49" s="21">
        <f t="shared" si="66"/>
        <v>539.65352290816304</v>
      </c>
      <c r="BZ49" s="21">
        <f t="shared" si="66"/>
        <v>539.65352290816304</v>
      </c>
      <c r="CA49" s="21">
        <f t="shared" si="66"/>
        <v>539.65352290816304</v>
      </c>
      <c r="CB49" s="21">
        <f t="shared" si="66"/>
        <v>539.65352290816304</v>
      </c>
      <c r="CC49" s="21">
        <f t="shared" si="67"/>
        <v>539.65352290816304</v>
      </c>
      <c r="CD49" s="21">
        <f t="shared" si="67"/>
        <v>539.65352290816304</v>
      </c>
      <c r="CE49" s="21">
        <f t="shared" si="67"/>
        <v>539.65352290816304</v>
      </c>
      <c r="CF49" s="21">
        <f t="shared" si="67"/>
        <v>539.65352290816304</v>
      </c>
      <c r="CG49" s="21">
        <f t="shared" si="67"/>
        <v>539.65352290816304</v>
      </c>
      <c r="CH49" s="21">
        <f t="shared" si="67"/>
        <v>539.65352290816304</v>
      </c>
      <c r="CI49" s="21">
        <f t="shared" si="67"/>
        <v>539.65352290816304</v>
      </c>
      <c r="CJ49" s="21">
        <f t="shared" si="67"/>
        <v>539.65352290816304</v>
      </c>
      <c r="CK49" s="21">
        <f t="shared" si="67"/>
        <v>539.65352290816304</v>
      </c>
      <c r="CL49" s="21">
        <f t="shared" si="67"/>
        <v>539.65352290816304</v>
      </c>
      <c r="CM49" s="21">
        <f t="shared" si="68"/>
        <v>539.65352290816304</v>
      </c>
      <c r="CN49" s="21">
        <f t="shared" si="68"/>
        <v>539.65352290816304</v>
      </c>
      <c r="CO49" s="21">
        <f t="shared" si="68"/>
        <v>539.65352290816304</v>
      </c>
      <c r="CP49" s="21">
        <f t="shared" si="68"/>
        <v>539.65352290816304</v>
      </c>
      <c r="CQ49" s="21">
        <f t="shared" si="68"/>
        <v>539.65352290816304</v>
      </c>
      <c r="CR49" s="21">
        <f t="shared" si="68"/>
        <v>539.65352290816304</v>
      </c>
      <c r="CS49" s="21">
        <f t="shared" si="68"/>
        <v>539.65352290816304</v>
      </c>
      <c r="CT49" s="21">
        <f t="shared" si="68"/>
        <v>539.65352290816304</v>
      </c>
      <c r="CU49" s="21">
        <f t="shared" si="68"/>
        <v>539.65352290816304</v>
      </c>
      <c r="CV49" s="21">
        <f t="shared" si="68"/>
        <v>539.65352290816304</v>
      </c>
      <c r="CW49" s="21">
        <f t="shared" si="69"/>
        <v>539.65352290816304</v>
      </c>
      <c r="CX49" s="21">
        <f t="shared" si="69"/>
        <v>539.65352290816304</v>
      </c>
      <c r="CY49" s="21">
        <f t="shared" si="69"/>
        <v>539.65352290816304</v>
      </c>
      <c r="CZ49" s="21">
        <f t="shared" si="69"/>
        <v>539.65352290816304</v>
      </c>
      <c r="DA49" s="21">
        <f t="shared" si="69"/>
        <v>539.65352290816304</v>
      </c>
      <c r="DB49" s="21">
        <f t="shared" si="69"/>
        <v>539.65352290816304</v>
      </c>
      <c r="DC49" s="21">
        <f t="shared" si="69"/>
        <v>539.65352290816304</v>
      </c>
      <c r="DD49" s="21">
        <f t="shared" si="69"/>
        <v>539.65352290816304</v>
      </c>
      <c r="DE49" s="21">
        <f t="shared" si="69"/>
        <v>539.65352290816304</v>
      </c>
      <c r="DF49" s="21">
        <f t="shared" si="69"/>
        <v>539.65352290816304</v>
      </c>
      <c r="DH49" s="21">
        <f t="shared" si="70"/>
        <v>539.65352290816304</v>
      </c>
      <c r="DI49" s="21">
        <f t="shared" si="70"/>
        <v>539.65352290816304</v>
      </c>
      <c r="DJ49" s="21">
        <f t="shared" si="70"/>
        <v>539.65352290816304</v>
      </c>
      <c r="DK49" s="21">
        <f t="shared" si="70"/>
        <v>539.65352290816304</v>
      </c>
      <c r="DL49" s="21">
        <f t="shared" si="70"/>
        <v>539.65352290816304</v>
      </c>
      <c r="DM49" s="21">
        <f t="shared" si="70"/>
        <v>539.65352290816304</v>
      </c>
      <c r="DN49" s="21">
        <f t="shared" si="70"/>
        <v>539.65352290816304</v>
      </c>
      <c r="DO49" s="21">
        <f t="shared" si="70"/>
        <v>539.65352290816304</v>
      </c>
      <c r="DP49" s="21">
        <f t="shared" si="70"/>
        <v>539.65352290816304</v>
      </c>
      <c r="DQ49" s="21">
        <f t="shared" si="70"/>
        <v>539.65352290816304</v>
      </c>
      <c r="DR49" s="21">
        <f t="shared" si="70"/>
        <v>539.65352290816304</v>
      </c>
      <c r="DS49" s="21">
        <f t="shared" si="70"/>
        <v>539.65352290816304</v>
      </c>
      <c r="DT49" s="21">
        <f t="shared" si="70"/>
        <v>539.65352290816304</v>
      </c>
      <c r="DU49" s="21">
        <f t="shared" si="70"/>
        <v>539.65352290816304</v>
      </c>
      <c r="DV49" s="21">
        <f t="shared" si="70"/>
        <v>539.65352290816304</v>
      </c>
      <c r="DW49" s="21">
        <f t="shared" si="70"/>
        <v>539.65352290816304</v>
      </c>
      <c r="DX49" s="21">
        <f t="shared" si="71"/>
        <v>539.65352290816304</v>
      </c>
      <c r="DY49" s="21">
        <f t="shared" si="71"/>
        <v>539.65352290816304</v>
      </c>
      <c r="DZ49" s="21">
        <f t="shared" si="71"/>
        <v>539.65352290816304</v>
      </c>
      <c r="EA49" s="21">
        <f t="shared" si="71"/>
        <v>539.65352290816304</v>
      </c>
      <c r="EB49" s="21">
        <f t="shared" si="71"/>
        <v>539.65352290816304</v>
      </c>
      <c r="EC49" s="21">
        <f t="shared" si="71"/>
        <v>539.65352290816304</v>
      </c>
      <c r="ED49" s="21">
        <f t="shared" si="72"/>
        <v>539.65352290816304</v>
      </c>
      <c r="EH49" s="21" t="str">
        <f>[5]Plastic!$T$95</f>
        <v>Carbon Fiber</v>
      </c>
      <c r="EI49" s="69">
        <f>[7]Plastic!$T$97*Convert!$G$9/1000</f>
        <v>539.65352290816304</v>
      </c>
      <c r="EJ49" s="69">
        <f>[5]Plastic!$T$97*Convert!$G$9/1000</f>
        <v>539.65352290816304</v>
      </c>
    </row>
    <row r="50" spans="1:143" x14ac:dyDescent="0.3">
      <c r="A50" s="21" t="s">
        <v>143</v>
      </c>
      <c r="D50" s="21">
        <f t="shared" si="59"/>
        <v>49.941730643512514</v>
      </c>
      <c r="E50" s="21">
        <f t="shared" si="59"/>
        <v>49.941730643512514</v>
      </c>
      <c r="F50" s="21">
        <f t="shared" si="59"/>
        <v>49.941730643512514</v>
      </c>
      <c r="G50" s="21">
        <f t="shared" si="59"/>
        <v>49.941730643512514</v>
      </c>
      <c r="H50" s="21">
        <f t="shared" si="59"/>
        <v>49.941730643512514</v>
      </c>
      <c r="I50" s="21">
        <f t="shared" si="59"/>
        <v>49.941730643512514</v>
      </c>
      <c r="J50" s="21">
        <f t="shared" si="59"/>
        <v>49.941730643512514</v>
      </c>
      <c r="K50" s="21">
        <f t="shared" si="59"/>
        <v>49.941730643512514</v>
      </c>
      <c r="L50" s="21">
        <f t="shared" si="59"/>
        <v>49.941730643512514</v>
      </c>
      <c r="M50" s="21">
        <f t="shared" si="59"/>
        <v>49.941730643512514</v>
      </c>
      <c r="N50" s="21">
        <f t="shared" si="60"/>
        <v>49.941730643512514</v>
      </c>
      <c r="O50" s="21">
        <f t="shared" si="60"/>
        <v>49.941730643512514</v>
      </c>
      <c r="P50" s="21">
        <f t="shared" si="60"/>
        <v>49.941730643512514</v>
      </c>
      <c r="Q50" s="21">
        <f t="shared" si="60"/>
        <v>49.941730643512514</v>
      </c>
      <c r="R50" s="21">
        <f t="shared" si="60"/>
        <v>49.941730643512514</v>
      </c>
      <c r="S50" s="21">
        <f t="shared" si="60"/>
        <v>49.941730643512514</v>
      </c>
      <c r="T50" s="21">
        <f t="shared" si="60"/>
        <v>49.941730643512514</v>
      </c>
      <c r="U50" s="21">
        <f t="shared" si="60"/>
        <v>49.941730643512514</v>
      </c>
      <c r="V50" s="21">
        <f t="shared" si="60"/>
        <v>49.941730643512514</v>
      </c>
      <c r="W50" s="21">
        <f t="shared" si="60"/>
        <v>49.941730643512514</v>
      </c>
      <c r="X50" s="21">
        <f t="shared" si="60"/>
        <v>49.941730643512514</v>
      </c>
      <c r="Y50" s="21">
        <f t="shared" si="60"/>
        <v>49.941730643512514</v>
      </c>
      <c r="Z50" s="21">
        <f t="shared" si="60"/>
        <v>49.941730643512514</v>
      </c>
      <c r="AA50" s="21">
        <f t="shared" si="60"/>
        <v>49.941730643512514</v>
      </c>
      <c r="AB50" s="21">
        <f t="shared" si="61"/>
        <v>49.941730643512514</v>
      </c>
      <c r="AC50" s="21">
        <f t="shared" si="61"/>
        <v>49.941730643512514</v>
      </c>
      <c r="AD50" s="21">
        <f t="shared" si="61"/>
        <v>49.941730643512514</v>
      </c>
      <c r="AE50" s="21">
        <f t="shared" si="62"/>
        <v>49.941730643512514</v>
      </c>
      <c r="AF50" s="21">
        <f t="shared" si="62"/>
        <v>49.941730643512514</v>
      </c>
      <c r="AG50" s="21">
        <f t="shared" si="62"/>
        <v>49.941730643512514</v>
      </c>
      <c r="AH50" s="21">
        <f t="shared" si="62"/>
        <v>49.941730643512514</v>
      </c>
      <c r="AI50" s="21">
        <f t="shared" si="62"/>
        <v>49.941730643512514</v>
      </c>
      <c r="AJ50" s="21">
        <f t="shared" si="62"/>
        <v>49.941730643512514</v>
      </c>
      <c r="AK50" s="21">
        <f t="shared" si="62"/>
        <v>49.941730643512514</v>
      </c>
      <c r="AL50" s="21">
        <f t="shared" si="62"/>
        <v>49.941730643512514</v>
      </c>
      <c r="AM50" s="21">
        <f t="shared" si="62"/>
        <v>49.941730643512514</v>
      </c>
      <c r="AN50" s="21">
        <f t="shared" si="62"/>
        <v>49.941730643512514</v>
      </c>
      <c r="AO50" s="21">
        <f t="shared" si="63"/>
        <v>49.941730643512514</v>
      </c>
      <c r="AP50" s="21">
        <f t="shared" si="63"/>
        <v>49.941730643512514</v>
      </c>
      <c r="AQ50" s="21">
        <f t="shared" si="63"/>
        <v>49.941730643512514</v>
      </c>
      <c r="AR50" s="21">
        <f t="shared" si="63"/>
        <v>49.941730643512514</v>
      </c>
      <c r="AS50" s="21">
        <f t="shared" si="63"/>
        <v>49.941730643512514</v>
      </c>
      <c r="AT50" s="21">
        <f t="shared" si="63"/>
        <v>49.941730643512514</v>
      </c>
      <c r="AU50" s="21">
        <f t="shared" si="63"/>
        <v>49.941730643512514</v>
      </c>
      <c r="AV50" s="21">
        <f t="shared" si="63"/>
        <v>49.941730643512514</v>
      </c>
      <c r="AW50" s="21">
        <f t="shared" si="63"/>
        <v>49.941730643512514</v>
      </c>
      <c r="AX50" s="21">
        <f t="shared" si="63"/>
        <v>49.941730643512514</v>
      </c>
      <c r="AY50" s="21">
        <f t="shared" si="64"/>
        <v>49.941730643512514</v>
      </c>
      <c r="AZ50" s="21">
        <f t="shared" si="64"/>
        <v>49.941730643512514</v>
      </c>
      <c r="BA50" s="21">
        <f t="shared" si="64"/>
        <v>49.941730643512514</v>
      </c>
      <c r="BB50" s="21">
        <f t="shared" si="64"/>
        <v>49.941730643512514</v>
      </c>
      <c r="BC50" s="21">
        <f t="shared" si="64"/>
        <v>49.941730643512514</v>
      </c>
      <c r="BD50" s="21">
        <f t="shared" si="64"/>
        <v>49.941730643512514</v>
      </c>
      <c r="BE50" s="21">
        <f t="shared" si="64"/>
        <v>49.941730643512514</v>
      </c>
      <c r="BF50" s="21">
        <f t="shared" si="64"/>
        <v>49.941730643512514</v>
      </c>
      <c r="BG50" s="21">
        <f t="shared" si="64"/>
        <v>49.941730643512514</v>
      </c>
      <c r="BH50" s="21">
        <f t="shared" si="64"/>
        <v>49.941730643512514</v>
      </c>
      <c r="BI50" s="21">
        <f t="shared" si="65"/>
        <v>49.941730643512514</v>
      </c>
      <c r="BJ50" s="21">
        <f t="shared" si="65"/>
        <v>49.941730643512514</v>
      </c>
      <c r="BK50" s="21">
        <f t="shared" si="65"/>
        <v>49.941730643512514</v>
      </c>
      <c r="BL50" s="21">
        <f t="shared" si="65"/>
        <v>49.941730643512514</v>
      </c>
      <c r="BM50" s="21">
        <f t="shared" si="65"/>
        <v>49.941730643512514</v>
      </c>
      <c r="BN50" s="21">
        <f t="shared" si="65"/>
        <v>49.941730643512514</v>
      </c>
      <c r="BO50" s="21">
        <f t="shared" si="65"/>
        <v>49.941730643512514</v>
      </c>
      <c r="BP50" s="21">
        <f t="shared" si="65"/>
        <v>49.941730643512514</v>
      </c>
      <c r="BQ50" s="21">
        <f t="shared" si="65"/>
        <v>49.941730643512514</v>
      </c>
      <c r="BR50" s="21">
        <f t="shared" si="65"/>
        <v>49.941730643512514</v>
      </c>
      <c r="BS50" s="21">
        <f t="shared" si="66"/>
        <v>49.941730643512514</v>
      </c>
      <c r="BT50" s="21">
        <f t="shared" si="66"/>
        <v>49.941730643512514</v>
      </c>
      <c r="BU50" s="21">
        <f t="shared" si="66"/>
        <v>49.941730643512514</v>
      </c>
      <c r="BV50" s="21">
        <f t="shared" si="66"/>
        <v>49.941730643512514</v>
      </c>
      <c r="BW50" s="21">
        <f t="shared" si="66"/>
        <v>49.941730643512514</v>
      </c>
      <c r="BX50" s="21">
        <f t="shared" si="66"/>
        <v>49.941730643512514</v>
      </c>
      <c r="BY50" s="21">
        <f t="shared" si="66"/>
        <v>49.941730643512514</v>
      </c>
      <c r="BZ50" s="21">
        <f t="shared" si="66"/>
        <v>49.941730643512514</v>
      </c>
      <c r="CA50" s="21">
        <f t="shared" si="66"/>
        <v>49.941730643512514</v>
      </c>
      <c r="CB50" s="21">
        <f t="shared" si="66"/>
        <v>49.941730643512514</v>
      </c>
      <c r="CC50" s="21">
        <f t="shared" si="67"/>
        <v>49.941730643512514</v>
      </c>
      <c r="CD50" s="21">
        <f t="shared" si="67"/>
        <v>49.941730643512514</v>
      </c>
      <c r="CE50" s="21">
        <f t="shared" si="67"/>
        <v>49.941730643512514</v>
      </c>
      <c r="CF50" s="21">
        <f t="shared" si="67"/>
        <v>49.941730643512514</v>
      </c>
      <c r="CG50" s="21">
        <f t="shared" si="67"/>
        <v>49.941730643512514</v>
      </c>
      <c r="CH50" s="21">
        <f t="shared" si="67"/>
        <v>49.941730643512514</v>
      </c>
      <c r="CI50" s="21">
        <f t="shared" si="67"/>
        <v>49.941730643512514</v>
      </c>
      <c r="CJ50" s="21">
        <f t="shared" si="67"/>
        <v>49.941730643512514</v>
      </c>
      <c r="CK50" s="21">
        <f t="shared" si="67"/>
        <v>49.941730643512514</v>
      </c>
      <c r="CL50" s="21">
        <f t="shared" si="67"/>
        <v>49.941730643512514</v>
      </c>
      <c r="CM50" s="21">
        <f t="shared" si="68"/>
        <v>49.941730643512514</v>
      </c>
      <c r="CN50" s="21">
        <f t="shared" si="68"/>
        <v>49.941730643512514</v>
      </c>
      <c r="CO50" s="21">
        <f t="shared" si="68"/>
        <v>49.941730643512514</v>
      </c>
      <c r="CP50" s="21">
        <f t="shared" si="68"/>
        <v>49.941730643512514</v>
      </c>
      <c r="CQ50" s="21">
        <f t="shared" si="68"/>
        <v>49.941730643512514</v>
      </c>
      <c r="CR50" s="21">
        <f t="shared" si="68"/>
        <v>49.941730643512514</v>
      </c>
      <c r="CS50" s="21">
        <f t="shared" si="68"/>
        <v>49.941730643512514</v>
      </c>
      <c r="CT50" s="21">
        <f t="shared" si="68"/>
        <v>49.941730643512514</v>
      </c>
      <c r="CU50" s="21">
        <f t="shared" si="68"/>
        <v>49.941730643512514</v>
      </c>
      <c r="CV50" s="21">
        <f t="shared" si="68"/>
        <v>49.941730643512514</v>
      </c>
      <c r="CW50" s="21">
        <f t="shared" si="69"/>
        <v>49.941730643512514</v>
      </c>
      <c r="CX50" s="21">
        <f t="shared" si="69"/>
        <v>49.941730643512514</v>
      </c>
      <c r="CY50" s="21">
        <f t="shared" si="69"/>
        <v>49.941730643512514</v>
      </c>
      <c r="CZ50" s="21">
        <f t="shared" si="69"/>
        <v>49.941730643512514</v>
      </c>
      <c r="DA50" s="21">
        <f t="shared" si="69"/>
        <v>49.941730643512514</v>
      </c>
      <c r="DB50" s="21">
        <f t="shared" si="69"/>
        <v>49.941730643512514</v>
      </c>
      <c r="DC50" s="21">
        <f t="shared" si="69"/>
        <v>49.941730643512514</v>
      </c>
      <c r="DD50" s="21">
        <f t="shared" si="69"/>
        <v>49.941730643512514</v>
      </c>
      <c r="DE50" s="21">
        <f t="shared" si="69"/>
        <v>49.941730643512514</v>
      </c>
      <c r="DF50" s="21">
        <f t="shared" si="69"/>
        <v>49.941730643512514</v>
      </c>
      <c r="DH50" s="21">
        <f t="shared" si="70"/>
        <v>49.941730643512514</v>
      </c>
      <c r="DI50" s="21">
        <f t="shared" si="70"/>
        <v>49.941730643512514</v>
      </c>
      <c r="DJ50" s="21">
        <f t="shared" si="70"/>
        <v>49.941730643512514</v>
      </c>
      <c r="DK50" s="21">
        <f t="shared" si="70"/>
        <v>49.941730643512514</v>
      </c>
      <c r="DL50" s="21">
        <f t="shared" si="70"/>
        <v>49.941730643512514</v>
      </c>
      <c r="DM50" s="21">
        <f t="shared" si="70"/>
        <v>49.941730643512514</v>
      </c>
      <c r="DN50" s="21">
        <f t="shared" si="70"/>
        <v>49.941730643512514</v>
      </c>
      <c r="DO50" s="21">
        <f t="shared" si="70"/>
        <v>49.941730643512514</v>
      </c>
      <c r="DP50" s="21">
        <f t="shared" si="70"/>
        <v>49.941730643512514</v>
      </c>
      <c r="DQ50" s="21">
        <f t="shared" si="70"/>
        <v>49.941730643512514</v>
      </c>
      <c r="DR50" s="21">
        <f t="shared" si="70"/>
        <v>49.941730643512514</v>
      </c>
      <c r="DS50" s="21">
        <f t="shared" si="70"/>
        <v>49.941730643512514</v>
      </c>
      <c r="DT50" s="21">
        <f t="shared" si="70"/>
        <v>49.941730643512514</v>
      </c>
      <c r="DU50" s="21">
        <f t="shared" si="70"/>
        <v>49.941730643512514</v>
      </c>
      <c r="DV50" s="21">
        <f t="shared" si="70"/>
        <v>49.941730643512514</v>
      </c>
      <c r="DW50" s="21">
        <f t="shared" si="70"/>
        <v>49.941730643512514</v>
      </c>
      <c r="DX50" s="21">
        <f t="shared" si="71"/>
        <v>49.941730643512514</v>
      </c>
      <c r="DY50" s="21">
        <f t="shared" si="71"/>
        <v>49.941730643512514</v>
      </c>
      <c r="DZ50" s="21">
        <f t="shared" si="71"/>
        <v>49.941730643512514</v>
      </c>
      <c r="EA50" s="21">
        <f t="shared" si="71"/>
        <v>49.941730643512514</v>
      </c>
      <c r="EB50" s="21">
        <f t="shared" si="71"/>
        <v>49.941730643512514</v>
      </c>
      <c r="EC50" s="21">
        <f t="shared" si="71"/>
        <v>49.941730643512514</v>
      </c>
      <c r="ED50" s="21">
        <f t="shared" si="72"/>
        <v>49.941730643512514</v>
      </c>
      <c r="EH50" s="21" t="str">
        <f>[5]Rubber!$I$63</f>
        <v>Final Average Rubber Product: Combined</v>
      </c>
      <c r="EI50" s="69">
        <f>[7]Rubber!$I$65*Convert!$G$9/1000</f>
        <v>49.941730643512514</v>
      </c>
      <c r="EJ50" s="69">
        <f>[5]Rubber!$I$65*Convert!$G$9/1000</f>
        <v>49.941730643512514</v>
      </c>
    </row>
    <row r="51" spans="1:143" x14ac:dyDescent="0.3">
      <c r="A51" s="21" t="s">
        <v>144</v>
      </c>
      <c r="D51" s="21">
        <f t="shared" si="59"/>
        <v>120</v>
      </c>
      <c r="E51" s="21">
        <f t="shared" si="59"/>
        <v>120</v>
      </c>
      <c r="F51" s="21">
        <f t="shared" si="59"/>
        <v>140</v>
      </c>
      <c r="G51" s="21">
        <f t="shared" si="59"/>
        <v>120</v>
      </c>
      <c r="H51" s="21">
        <f t="shared" si="59"/>
        <v>120</v>
      </c>
      <c r="I51" s="21">
        <f t="shared" si="59"/>
        <v>120</v>
      </c>
      <c r="J51" s="21">
        <f t="shared" si="59"/>
        <v>120</v>
      </c>
      <c r="K51" s="21">
        <f t="shared" si="59"/>
        <v>120</v>
      </c>
      <c r="L51" s="21">
        <f t="shared" si="59"/>
        <v>120</v>
      </c>
      <c r="M51" s="21">
        <f t="shared" si="59"/>
        <v>120</v>
      </c>
      <c r="N51" s="21">
        <f t="shared" si="60"/>
        <v>120</v>
      </c>
      <c r="O51" s="21">
        <f t="shared" si="60"/>
        <v>120</v>
      </c>
      <c r="P51" s="21">
        <f t="shared" si="60"/>
        <v>120</v>
      </c>
      <c r="Q51" s="21">
        <f t="shared" si="60"/>
        <v>120</v>
      </c>
      <c r="R51" s="21">
        <f t="shared" si="60"/>
        <v>120</v>
      </c>
      <c r="S51" s="21">
        <f t="shared" si="60"/>
        <v>120</v>
      </c>
      <c r="T51" s="21">
        <f t="shared" si="60"/>
        <v>140</v>
      </c>
      <c r="U51" s="21">
        <f t="shared" si="60"/>
        <v>120</v>
      </c>
      <c r="V51" s="21">
        <f t="shared" si="60"/>
        <v>120</v>
      </c>
      <c r="W51" s="21">
        <f t="shared" si="60"/>
        <v>120</v>
      </c>
      <c r="X51" s="21">
        <f t="shared" si="60"/>
        <v>140</v>
      </c>
      <c r="Y51" s="21">
        <f t="shared" si="60"/>
        <v>120</v>
      </c>
      <c r="Z51" s="21">
        <f t="shared" si="60"/>
        <v>120</v>
      </c>
      <c r="AA51" s="21">
        <f t="shared" si="60"/>
        <v>120</v>
      </c>
      <c r="AB51" s="21">
        <f t="shared" si="61"/>
        <v>140</v>
      </c>
      <c r="AC51" s="21">
        <f t="shared" si="61"/>
        <v>120</v>
      </c>
      <c r="AD51" s="21">
        <f t="shared" si="61"/>
        <v>120</v>
      </c>
      <c r="AE51" s="21">
        <f t="shared" si="62"/>
        <v>120</v>
      </c>
      <c r="AF51" s="21">
        <f t="shared" si="62"/>
        <v>120</v>
      </c>
      <c r="AG51" s="21">
        <f t="shared" si="62"/>
        <v>120</v>
      </c>
      <c r="AH51" s="21">
        <f t="shared" si="62"/>
        <v>120</v>
      </c>
      <c r="AI51" s="21">
        <f t="shared" si="62"/>
        <v>120</v>
      </c>
      <c r="AJ51" s="21">
        <f t="shared" si="62"/>
        <v>120</v>
      </c>
      <c r="AK51" s="21">
        <f t="shared" si="62"/>
        <v>120</v>
      </c>
      <c r="AL51" s="21">
        <f t="shared" si="62"/>
        <v>120</v>
      </c>
      <c r="AM51" s="21">
        <f t="shared" si="62"/>
        <v>120</v>
      </c>
      <c r="AN51" s="21">
        <f t="shared" si="62"/>
        <v>120</v>
      </c>
      <c r="AO51" s="21">
        <f t="shared" si="63"/>
        <v>120</v>
      </c>
      <c r="AP51" s="21">
        <f t="shared" si="63"/>
        <v>120</v>
      </c>
      <c r="AQ51" s="21">
        <f t="shared" si="63"/>
        <v>120</v>
      </c>
      <c r="AR51" s="21">
        <f t="shared" si="63"/>
        <v>120</v>
      </c>
      <c r="AS51" s="21">
        <f t="shared" si="63"/>
        <v>120</v>
      </c>
      <c r="AT51" s="21">
        <f t="shared" si="63"/>
        <v>120</v>
      </c>
      <c r="AU51" s="21">
        <f t="shared" si="63"/>
        <v>140</v>
      </c>
      <c r="AV51" s="21">
        <f t="shared" si="63"/>
        <v>120</v>
      </c>
      <c r="AW51" s="21">
        <f t="shared" si="63"/>
        <v>120</v>
      </c>
      <c r="AX51" s="21">
        <f t="shared" si="63"/>
        <v>120</v>
      </c>
      <c r="AY51" s="21">
        <f t="shared" si="64"/>
        <v>120</v>
      </c>
      <c r="AZ51" s="21">
        <f t="shared" si="64"/>
        <v>120</v>
      </c>
      <c r="BA51" s="21">
        <f t="shared" si="64"/>
        <v>120</v>
      </c>
      <c r="BB51" s="21">
        <f t="shared" si="64"/>
        <v>120</v>
      </c>
      <c r="BC51" s="21">
        <f t="shared" si="64"/>
        <v>120</v>
      </c>
      <c r="BD51" s="21">
        <f t="shared" si="64"/>
        <v>120</v>
      </c>
      <c r="BE51" s="21">
        <f t="shared" si="64"/>
        <v>120</v>
      </c>
      <c r="BF51" s="21">
        <f t="shared" si="64"/>
        <v>120</v>
      </c>
      <c r="BG51" s="21">
        <f t="shared" si="64"/>
        <v>120</v>
      </c>
      <c r="BH51" s="21">
        <f t="shared" si="64"/>
        <v>120</v>
      </c>
      <c r="BI51" s="21">
        <f t="shared" si="65"/>
        <v>120</v>
      </c>
      <c r="BJ51" s="21">
        <f t="shared" si="65"/>
        <v>120</v>
      </c>
      <c r="BK51" s="21">
        <f t="shared" si="65"/>
        <v>120</v>
      </c>
      <c r="BL51" s="21">
        <f t="shared" si="65"/>
        <v>120</v>
      </c>
      <c r="BM51" s="21">
        <f t="shared" si="65"/>
        <v>120</v>
      </c>
      <c r="BN51" s="21">
        <f t="shared" si="65"/>
        <v>120</v>
      </c>
      <c r="BO51" s="21">
        <f t="shared" si="65"/>
        <v>120</v>
      </c>
      <c r="BP51" s="21">
        <f t="shared" si="65"/>
        <v>120</v>
      </c>
      <c r="BQ51" s="21">
        <f t="shared" si="65"/>
        <v>140</v>
      </c>
      <c r="BR51" s="21">
        <f t="shared" si="65"/>
        <v>120</v>
      </c>
      <c r="BS51" s="21">
        <f t="shared" si="66"/>
        <v>120</v>
      </c>
      <c r="BT51" s="21">
        <f t="shared" si="66"/>
        <v>120</v>
      </c>
      <c r="BU51" s="21">
        <f t="shared" si="66"/>
        <v>120</v>
      </c>
      <c r="BV51" s="21">
        <f t="shared" si="66"/>
        <v>120</v>
      </c>
      <c r="BW51" s="21">
        <f t="shared" si="66"/>
        <v>120</v>
      </c>
      <c r="BX51" s="21">
        <f t="shared" si="66"/>
        <v>120</v>
      </c>
      <c r="BY51" s="21">
        <f t="shared" si="66"/>
        <v>120</v>
      </c>
      <c r="BZ51" s="21">
        <f t="shared" si="66"/>
        <v>140</v>
      </c>
      <c r="CA51" s="21">
        <f t="shared" si="66"/>
        <v>120</v>
      </c>
      <c r="CB51" s="21">
        <f t="shared" si="66"/>
        <v>120</v>
      </c>
      <c r="CC51" s="21">
        <f t="shared" si="67"/>
        <v>120</v>
      </c>
      <c r="CD51" s="21">
        <f t="shared" si="67"/>
        <v>120</v>
      </c>
      <c r="CE51" s="21">
        <f t="shared" si="67"/>
        <v>120</v>
      </c>
      <c r="CF51" s="21">
        <f t="shared" si="67"/>
        <v>120</v>
      </c>
      <c r="CG51" s="21">
        <f t="shared" si="67"/>
        <v>120</v>
      </c>
      <c r="CH51" s="21">
        <f t="shared" si="67"/>
        <v>120</v>
      </c>
      <c r="CI51" s="21">
        <f t="shared" si="67"/>
        <v>120</v>
      </c>
      <c r="CJ51" s="21">
        <f t="shared" si="67"/>
        <v>120</v>
      </c>
      <c r="CK51" s="21">
        <f t="shared" si="67"/>
        <v>120</v>
      </c>
      <c r="CL51" s="21">
        <f t="shared" si="67"/>
        <v>120</v>
      </c>
      <c r="CM51" s="21">
        <f t="shared" si="68"/>
        <v>120</v>
      </c>
      <c r="CN51" s="21">
        <f t="shared" si="68"/>
        <v>120</v>
      </c>
      <c r="CO51" s="21">
        <f t="shared" si="68"/>
        <v>120</v>
      </c>
      <c r="CP51" s="21">
        <f t="shared" si="68"/>
        <v>120</v>
      </c>
      <c r="CQ51" s="21">
        <f t="shared" si="68"/>
        <v>120</v>
      </c>
      <c r="CR51" s="21">
        <f t="shared" si="68"/>
        <v>120</v>
      </c>
      <c r="CS51" s="21">
        <f t="shared" si="68"/>
        <v>120</v>
      </c>
      <c r="CT51" s="21">
        <f t="shared" si="68"/>
        <v>120</v>
      </c>
      <c r="CU51" s="21">
        <f t="shared" si="68"/>
        <v>120</v>
      </c>
      <c r="CV51" s="21">
        <f t="shared" si="68"/>
        <v>120</v>
      </c>
      <c r="CW51" s="21">
        <f t="shared" si="69"/>
        <v>120</v>
      </c>
      <c r="CX51" s="21">
        <f t="shared" si="69"/>
        <v>120</v>
      </c>
      <c r="CY51" s="21">
        <f t="shared" si="69"/>
        <v>120</v>
      </c>
      <c r="CZ51" s="21">
        <f t="shared" si="69"/>
        <v>120</v>
      </c>
      <c r="DA51" s="21">
        <f t="shared" si="69"/>
        <v>120</v>
      </c>
      <c r="DB51" s="21">
        <f t="shared" si="69"/>
        <v>120</v>
      </c>
      <c r="DC51" s="21">
        <f t="shared" si="69"/>
        <v>120</v>
      </c>
      <c r="DD51" s="21">
        <f t="shared" si="69"/>
        <v>120</v>
      </c>
      <c r="DE51" s="21">
        <f t="shared" si="69"/>
        <v>120</v>
      </c>
      <c r="DF51" s="21">
        <f t="shared" si="69"/>
        <v>120</v>
      </c>
      <c r="DH51" s="21">
        <f t="shared" si="70"/>
        <v>120</v>
      </c>
      <c r="DI51" s="21">
        <f t="shared" si="70"/>
        <v>120</v>
      </c>
      <c r="DJ51" s="21">
        <f t="shared" si="70"/>
        <v>120</v>
      </c>
      <c r="DK51" s="21">
        <f t="shared" si="70"/>
        <v>120</v>
      </c>
      <c r="DL51" s="21">
        <f t="shared" si="70"/>
        <v>120</v>
      </c>
      <c r="DM51" s="21">
        <f t="shared" si="70"/>
        <v>120</v>
      </c>
      <c r="DN51" s="21">
        <f t="shared" si="70"/>
        <v>120</v>
      </c>
      <c r="DO51" s="21">
        <f t="shared" si="70"/>
        <v>120</v>
      </c>
      <c r="DP51" s="21">
        <f t="shared" si="70"/>
        <v>120</v>
      </c>
      <c r="DQ51" s="21">
        <f t="shared" si="70"/>
        <v>120</v>
      </c>
      <c r="DR51" s="21">
        <f t="shared" si="70"/>
        <v>120</v>
      </c>
      <c r="DS51" s="21">
        <f t="shared" si="70"/>
        <v>120</v>
      </c>
      <c r="DT51" s="21">
        <f t="shared" si="70"/>
        <v>120</v>
      </c>
      <c r="DU51" s="21">
        <f t="shared" si="70"/>
        <v>120</v>
      </c>
      <c r="DV51" s="21">
        <f t="shared" si="70"/>
        <v>120</v>
      </c>
      <c r="DW51" s="21">
        <f t="shared" si="70"/>
        <v>120</v>
      </c>
      <c r="DX51" s="21">
        <f t="shared" si="71"/>
        <v>120</v>
      </c>
      <c r="DY51" s="21">
        <f t="shared" si="71"/>
        <v>120</v>
      </c>
      <c r="DZ51" s="21">
        <f t="shared" si="71"/>
        <v>120</v>
      </c>
      <c r="EA51" s="21">
        <f t="shared" si="71"/>
        <v>120</v>
      </c>
      <c r="EB51" s="21">
        <f t="shared" si="71"/>
        <v>120</v>
      </c>
      <c r="EC51" s="21">
        <f t="shared" si="71"/>
        <v>120</v>
      </c>
      <c r="ED51" s="21">
        <f t="shared" si="72"/>
        <v>120</v>
      </c>
      <c r="EH51" s="295" t="s">
        <v>914</v>
      </c>
      <c r="EI51" s="294">
        <f>ROUND(AVERAGE(EI38:EI50)/AVERAGE(EI86:EI98)*EI99,-1)</f>
        <v>120</v>
      </c>
      <c r="EJ51" s="294">
        <f>ROUND(AVERAGE(EJ38:EJ50)/AVERAGE(EJ86:EJ98)*EJ99,-1)</f>
        <v>140</v>
      </c>
    </row>
    <row r="53" spans="1:143" x14ac:dyDescent="0.3">
      <c r="A53" s="21" t="s">
        <v>223</v>
      </c>
      <c r="B53" s="21" t="s">
        <v>126</v>
      </c>
      <c r="EH53" s="21" t="str">
        <f>A53&amp;" (default values from GREET2 account for changes in the power generation mix only)"</f>
        <v>Energy intensity of vehicle assembly and disposal (default values from GREET2 account for changes in the power generation mix only)</v>
      </c>
      <c r="EJ53" s="21" t="str">
        <f>B53</f>
        <v>[MJ/kg]</v>
      </c>
    </row>
    <row r="54" spans="1:143" x14ac:dyDescent="0.3">
      <c r="A54" s="21" t="str">
        <f>A$5</f>
        <v>Vehicle production region</v>
      </c>
      <c r="D54" s="21" t="str">
        <f>D$5</f>
        <v>With Al smelting mostly form coal</v>
      </c>
      <c r="E54" s="21" t="str">
        <f t="shared" ref="E54:ED54" si="73">E$5</f>
        <v>With Al smelting mostly form coal</v>
      </c>
      <c r="F54" s="21" t="str">
        <f t="shared" si="73"/>
        <v>Default</v>
      </c>
      <c r="G54" s="21" t="str">
        <f t="shared" si="73"/>
        <v>With Al smelting mostly form coal</v>
      </c>
      <c r="H54" s="21" t="str">
        <f t="shared" si="73"/>
        <v>With Al smelting mostly form coal</v>
      </c>
      <c r="I54" s="21" t="str">
        <f t="shared" si="73"/>
        <v>With Al smelting mostly form coal</v>
      </c>
      <c r="J54" s="21" t="str">
        <f t="shared" si="73"/>
        <v>With Al smelting mostly form coal</v>
      </c>
      <c r="K54" s="21" t="str">
        <f t="shared" si="73"/>
        <v>With Al smelting mostly form coal</v>
      </c>
      <c r="L54" s="21" t="str">
        <f t="shared" si="73"/>
        <v>With Al smelting mostly form coal</v>
      </c>
      <c r="M54" s="21" t="str">
        <f t="shared" si="73"/>
        <v>With Al smelting mostly form coal</v>
      </c>
      <c r="N54" s="21" t="str">
        <f t="shared" si="73"/>
        <v>With Al smelting mostly form coal</v>
      </c>
      <c r="O54" s="21" t="str">
        <f t="shared" si="73"/>
        <v>With Al smelting mostly form coal</v>
      </c>
      <c r="P54" s="21" t="str">
        <f t="shared" si="73"/>
        <v>With Al smelting mostly form coal</v>
      </c>
      <c r="Q54" s="21" t="str">
        <f t="shared" si="73"/>
        <v>With Al smelting mostly form coal</v>
      </c>
      <c r="R54" s="21" t="str">
        <f t="shared" si="73"/>
        <v>With Al smelting mostly form coal</v>
      </c>
      <c r="S54" s="21" t="str">
        <f t="shared" si="73"/>
        <v>With Al smelting mostly form coal</v>
      </c>
      <c r="T54" s="21" t="str">
        <f t="shared" si="73"/>
        <v>Default</v>
      </c>
      <c r="U54" s="21" t="str">
        <f t="shared" si="73"/>
        <v>With Al smelting mostly form coal</v>
      </c>
      <c r="V54" s="21" t="str">
        <f t="shared" si="73"/>
        <v>With Al smelting mostly form coal</v>
      </c>
      <c r="W54" s="21" t="str">
        <f t="shared" si="73"/>
        <v>With Al smelting mostly form coal</v>
      </c>
      <c r="X54" s="21" t="str">
        <f>X$5</f>
        <v>Default</v>
      </c>
      <c r="Y54" s="21" t="str">
        <f>Y$5</f>
        <v>With Al smelting mostly form coal</v>
      </c>
      <c r="Z54" s="21" t="str">
        <f>Z$5</f>
        <v>With Al smelting mostly form coal</v>
      </c>
      <c r="AA54" s="21" t="str">
        <f>AA$5</f>
        <v>With Al smelting mostly form coal</v>
      </c>
      <c r="AB54" s="21" t="str">
        <f t="shared" ref="AB54:AD54" si="74">AB$5</f>
        <v>Default</v>
      </c>
      <c r="AC54" s="21" t="str">
        <f t="shared" si="74"/>
        <v>With Al smelting mostly form coal</v>
      </c>
      <c r="AD54" s="21" t="str">
        <f t="shared" si="74"/>
        <v>With Al smelting mostly form coal</v>
      </c>
      <c r="AE54" s="21" t="str">
        <f t="shared" si="73"/>
        <v>With Al smelting mostly form coal</v>
      </c>
      <c r="AF54" s="21" t="str">
        <f t="shared" si="73"/>
        <v>With Al smelting mostly form coal</v>
      </c>
      <c r="AG54" s="21" t="str">
        <f t="shared" si="73"/>
        <v>With Al smelting mostly form coal</v>
      </c>
      <c r="AH54" s="21" t="str">
        <f t="shared" si="73"/>
        <v>With Al smelting mostly form coal</v>
      </c>
      <c r="AI54" s="21" t="str">
        <f t="shared" si="73"/>
        <v>With Al smelting mostly form coal</v>
      </c>
      <c r="AJ54" s="21" t="str">
        <f t="shared" si="73"/>
        <v>With Al smelting mostly form coal</v>
      </c>
      <c r="AK54" s="21" t="str">
        <f t="shared" si="73"/>
        <v>With Al smelting mostly form coal</v>
      </c>
      <c r="AL54" s="21" t="str">
        <f t="shared" si="73"/>
        <v>With Al smelting mostly form coal</v>
      </c>
      <c r="AM54" s="21" t="str">
        <f t="shared" si="73"/>
        <v>With Al smelting mostly form coal</v>
      </c>
      <c r="AN54" s="21" t="str">
        <f t="shared" si="73"/>
        <v>With Al smelting mostly form coal</v>
      </c>
      <c r="AO54" s="21" t="str">
        <f t="shared" si="73"/>
        <v>With Al smelting mostly form coal</v>
      </c>
      <c r="AP54" s="21" t="str">
        <f t="shared" si="73"/>
        <v>With Al smelting mostly form coal</v>
      </c>
      <c r="AQ54" s="21" t="str">
        <f t="shared" si="73"/>
        <v>With Al smelting mostly form coal</v>
      </c>
      <c r="AR54" s="21" t="str">
        <f t="shared" si="73"/>
        <v>With Al smelting mostly form coal</v>
      </c>
      <c r="AS54" s="21" t="str">
        <f t="shared" si="73"/>
        <v>With Al smelting mostly form coal</v>
      </c>
      <c r="AT54" s="21" t="str">
        <f t="shared" si="73"/>
        <v>With Al smelting mostly form coal</v>
      </c>
      <c r="AU54" s="21" t="str">
        <f t="shared" si="73"/>
        <v>Default</v>
      </c>
      <c r="AV54" s="21" t="str">
        <f t="shared" si="73"/>
        <v>With Al smelting mostly form coal</v>
      </c>
      <c r="AW54" s="21" t="str">
        <f t="shared" si="73"/>
        <v>With Al smelting mostly form coal</v>
      </c>
      <c r="AX54" s="21" t="str">
        <f t="shared" si="73"/>
        <v>With Al smelting mostly form coal</v>
      </c>
      <c r="AY54" s="21" t="str">
        <f t="shared" si="73"/>
        <v>With Al smelting mostly form coal</v>
      </c>
      <c r="AZ54" s="21" t="str">
        <f t="shared" si="73"/>
        <v>With Al smelting mostly form coal</v>
      </c>
      <c r="BA54" s="21" t="str">
        <f t="shared" si="73"/>
        <v>With Al smelting mostly form coal</v>
      </c>
      <c r="BB54" s="21" t="str">
        <f t="shared" si="73"/>
        <v>With Al smelting mostly form coal</v>
      </c>
      <c r="BC54" s="21" t="str">
        <f t="shared" si="73"/>
        <v>With Al smelting mostly form coal</v>
      </c>
      <c r="BD54" s="21" t="str">
        <f t="shared" si="73"/>
        <v>With Al smelting mostly form coal</v>
      </c>
      <c r="BE54" s="21" t="str">
        <f t="shared" si="73"/>
        <v>With Al smelting mostly form coal</v>
      </c>
      <c r="BF54" s="21" t="str">
        <f t="shared" si="73"/>
        <v>With Al smelting mostly form coal</v>
      </c>
      <c r="BG54" s="21" t="str">
        <f t="shared" si="73"/>
        <v>With Al smelting mostly form coal</v>
      </c>
      <c r="BH54" s="21" t="str">
        <f t="shared" si="73"/>
        <v>With Al smelting mostly form coal</v>
      </c>
      <c r="BI54" s="21" t="str">
        <f t="shared" si="73"/>
        <v>With Al smelting mostly form coal</v>
      </c>
      <c r="BJ54" s="21" t="str">
        <f t="shared" si="73"/>
        <v>With Al smelting mostly form coal</v>
      </c>
      <c r="BK54" s="21" t="str">
        <f t="shared" si="73"/>
        <v>With Al smelting mostly form coal</v>
      </c>
      <c r="BL54" s="21" t="str">
        <f t="shared" si="73"/>
        <v>With Al smelting mostly form coal</v>
      </c>
      <c r="BM54" s="21" t="str">
        <f t="shared" si="73"/>
        <v>With Al smelting mostly form coal</v>
      </c>
      <c r="BN54" s="21" t="str">
        <f t="shared" si="73"/>
        <v>With Al smelting mostly form coal</v>
      </c>
      <c r="BO54" s="21" t="str">
        <f t="shared" si="73"/>
        <v>With Al smelting mostly form coal</v>
      </c>
      <c r="BP54" s="21" t="str">
        <f t="shared" si="73"/>
        <v>With Al smelting mostly form coal</v>
      </c>
      <c r="BQ54" s="21" t="str">
        <f t="shared" si="73"/>
        <v>Default</v>
      </c>
      <c r="BR54" s="21" t="str">
        <f t="shared" si="73"/>
        <v>With Al smelting mostly form coal</v>
      </c>
      <c r="BS54" s="21" t="str">
        <f t="shared" si="73"/>
        <v>With Al smelting mostly form coal</v>
      </c>
      <c r="BT54" s="21" t="str">
        <f t="shared" si="73"/>
        <v>With Al smelting mostly form coal</v>
      </c>
      <c r="BU54" s="21" t="str">
        <f t="shared" ref="BU54:CC54" si="75">BU$5</f>
        <v>With Al smelting mostly form coal</v>
      </c>
      <c r="BV54" s="21" t="str">
        <f t="shared" si="75"/>
        <v>With Al smelting mostly form coal</v>
      </c>
      <c r="BW54" s="21" t="str">
        <f t="shared" si="75"/>
        <v>With Al smelting mostly form coal</v>
      </c>
      <c r="BX54" s="21" t="str">
        <f t="shared" si="75"/>
        <v>With Al smelting mostly form coal</v>
      </c>
      <c r="BY54" s="21" t="str">
        <f t="shared" si="75"/>
        <v>With Al smelting mostly form coal</v>
      </c>
      <c r="BZ54" s="21" t="str">
        <f t="shared" si="75"/>
        <v>Default</v>
      </c>
      <c r="CA54" s="21" t="str">
        <f t="shared" si="75"/>
        <v>With Al smelting mostly form coal</v>
      </c>
      <c r="CB54" s="21" t="str">
        <f t="shared" si="75"/>
        <v>With Al smelting mostly form coal</v>
      </c>
      <c r="CC54" s="21" t="str">
        <f t="shared" si="75"/>
        <v>With Al smelting mostly form coal</v>
      </c>
      <c r="CD54" s="21" t="str">
        <f t="shared" si="73"/>
        <v>With Al smelting mostly form coal</v>
      </c>
      <c r="CE54" s="21" t="str">
        <f t="shared" si="73"/>
        <v>With Al smelting mostly form coal</v>
      </c>
      <c r="CF54" s="21" t="str">
        <f t="shared" si="73"/>
        <v>With Al smelting mostly form coal</v>
      </c>
      <c r="CG54" s="21" t="str">
        <f t="shared" si="73"/>
        <v>With Al smelting mostly form coal</v>
      </c>
      <c r="CH54" s="21" t="str">
        <f t="shared" si="73"/>
        <v>With Al smelting mostly form coal</v>
      </c>
      <c r="CI54" s="21" t="str">
        <f t="shared" si="73"/>
        <v>With Al smelting mostly form coal</v>
      </c>
      <c r="CJ54" s="21" t="str">
        <f t="shared" si="73"/>
        <v>With Al smelting mostly form coal</v>
      </c>
      <c r="CK54" s="21" t="str">
        <f t="shared" si="73"/>
        <v>With Al smelting mostly form coal</v>
      </c>
      <c r="CL54" s="21" t="str">
        <f t="shared" si="73"/>
        <v>With Al smelting mostly form coal</v>
      </c>
      <c r="CM54" s="21" t="str">
        <f t="shared" si="73"/>
        <v>With Al smelting mostly form coal</v>
      </c>
      <c r="CN54" s="21" t="str">
        <f t="shared" si="73"/>
        <v>With Al smelting mostly form coal</v>
      </c>
      <c r="CO54" s="21" t="str">
        <f t="shared" si="73"/>
        <v>With Al smelting mostly form coal</v>
      </c>
      <c r="CP54" s="21" t="str">
        <f t="shared" si="73"/>
        <v>With Al smelting mostly form coal</v>
      </c>
      <c r="CQ54" s="21" t="str">
        <f t="shared" si="73"/>
        <v>With Al smelting mostly form coal</v>
      </c>
      <c r="CR54" s="21" t="str">
        <f t="shared" si="73"/>
        <v>With Al smelting mostly form coal</v>
      </c>
      <c r="CS54" s="21" t="str">
        <f t="shared" si="73"/>
        <v>With Al smelting mostly form coal</v>
      </c>
      <c r="CT54" s="21" t="str">
        <f t="shared" si="73"/>
        <v>With Al smelting mostly form coal</v>
      </c>
      <c r="CU54" s="21" t="str">
        <f t="shared" si="73"/>
        <v>With Al smelting mostly form coal</v>
      </c>
      <c r="CV54" s="21" t="str">
        <f t="shared" si="73"/>
        <v>With Al smelting mostly form coal</v>
      </c>
      <c r="CW54" s="21" t="str">
        <f t="shared" si="73"/>
        <v>With Al smelting mostly form coal</v>
      </c>
      <c r="CX54" s="21" t="str">
        <f t="shared" si="73"/>
        <v>With Al smelting mostly form coal</v>
      </c>
      <c r="CY54" s="21" t="str">
        <f t="shared" si="73"/>
        <v>With Al smelting mostly form coal</v>
      </c>
      <c r="CZ54" s="21" t="str">
        <f t="shared" si="73"/>
        <v>With Al smelting mostly form coal</v>
      </c>
      <c r="DA54" s="21" t="str">
        <f t="shared" si="73"/>
        <v>With Al smelting mostly form coal</v>
      </c>
      <c r="DB54" s="21" t="str">
        <f t="shared" si="73"/>
        <v>With Al smelting mostly form coal</v>
      </c>
      <c r="DC54" s="21" t="str">
        <f t="shared" si="73"/>
        <v>With Al smelting mostly form coal</v>
      </c>
      <c r="DD54" s="21" t="str">
        <f t="shared" si="73"/>
        <v>With Al smelting mostly form coal</v>
      </c>
      <c r="DE54" s="21" t="str">
        <f t="shared" si="73"/>
        <v>With Al smelting mostly form coal</v>
      </c>
      <c r="DF54" s="21" t="str">
        <f t="shared" si="73"/>
        <v>With Al smelting mostly form coal</v>
      </c>
      <c r="DH54" s="21" t="str">
        <f t="shared" si="73"/>
        <v>With Al smelting mostly form coal</v>
      </c>
      <c r="DI54" s="21" t="str">
        <f t="shared" si="73"/>
        <v>With Al smelting mostly form coal</v>
      </c>
      <c r="DJ54" s="21" t="str">
        <f t="shared" si="73"/>
        <v>With Al smelting mostly form coal</v>
      </c>
      <c r="DK54" s="21" t="str">
        <f t="shared" si="73"/>
        <v>With Al smelting mostly form coal</v>
      </c>
      <c r="DL54" s="21" t="str">
        <f t="shared" si="73"/>
        <v>With Al smelting mostly form coal</v>
      </c>
      <c r="DM54" s="21" t="str">
        <f t="shared" si="73"/>
        <v>With Al smelting mostly form coal</v>
      </c>
      <c r="DN54" s="21" t="str">
        <f t="shared" si="73"/>
        <v>With Al smelting mostly form coal</v>
      </c>
      <c r="DO54" s="21" t="str">
        <f t="shared" si="73"/>
        <v>With Al smelting mostly form coal</v>
      </c>
      <c r="DP54" s="21" t="str">
        <f t="shared" si="73"/>
        <v>With Al smelting mostly form coal</v>
      </c>
      <c r="DQ54" s="21" t="str">
        <f t="shared" si="73"/>
        <v>With Al smelting mostly form coal</v>
      </c>
      <c r="DR54" s="21" t="str">
        <f t="shared" si="73"/>
        <v>With Al smelting mostly form coal</v>
      </c>
      <c r="DS54" s="21" t="str">
        <f t="shared" si="73"/>
        <v>With Al smelting mostly form coal</v>
      </c>
      <c r="DT54" s="21" t="str">
        <f t="shared" si="73"/>
        <v>With Al smelting mostly form coal</v>
      </c>
      <c r="DU54" s="21" t="str">
        <f t="shared" si="73"/>
        <v>With Al smelting mostly form coal</v>
      </c>
      <c r="DV54" s="21" t="str">
        <f t="shared" si="73"/>
        <v>With Al smelting mostly form coal</v>
      </c>
      <c r="DW54" s="21" t="str">
        <f t="shared" si="73"/>
        <v>With Al smelting mostly form coal</v>
      </c>
      <c r="DX54" s="21" t="str">
        <f t="shared" si="73"/>
        <v>With Al smelting mostly form coal</v>
      </c>
      <c r="DY54" s="21" t="str">
        <f t="shared" si="73"/>
        <v>With Al smelting mostly form coal</v>
      </c>
      <c r="DZ54" s="21" t="str">
        <f t="shared" si="73"/>
        <v>With Al smelting mostly form coal</v>
      </c>
      <c r="EA54" s="21" t="str">
        <f t="shared" si="73"/>
        <v>With Al smelting mostly form coal</v>
      </c>
      <c r="EB54" s="21" t="str">
        <f t="shared" si="73"/>
        <v>With Al smelting mostly form coal</v>
      </c>
      <c r="EC54" s="21" t="str">
        <f t="shared" si="73"/>
        <v>With Al smelting mostly form coal</v>
      </c>
      <c r="ED54" s="21" t="str">
        <f t="shared" si="73"/>
        <v>With Al smelting mostly form coal</v>
      </c>
      <c r="EH54" s="21" t="str">
        <f>EH37</f>
        <v>Region</v>
      </c>
      <c r="EI54" s="21" t="s">
        <v>951</v>
      </c>
      <c r="EJ54" s="21" t="s">
        <v>950</v>
      </c>
    </row>
    <row r="55" spans="1:143" x14ac:dyDescent="0.3">
      <c r="A55" s="21" t="s">
        <v>132</v>
      </c>
      <c r="D55" s="21">
        <f t="shared" ref="D55:M56" si="76">HLOOKUP(D$54,$EI$54:$EJ$56,ROW($EH55)-ROW($EH$54)+1,FALSE)</f>
        <v>8.2246258419126317</v>
      </c>
      <c r="E55" s="21">
        <f t="shared" si="76"/>
        <v>8.2246258419126317</v>
      </c>
      <c r="F55" s="21">
        <f t="shared" si="76"/>
        <v>8.2246258419126317</v>
      </c>
      <c r="G55" s="21">
        <f t="shared" si="76"/>
        <v>8.2246258419126317</v>
      </c>
      <c r="H55" s="21">
        <f t="shared" si="76"/>
        <v>8.2246258419126317</v>
      </c>
      <c r="I55" s="21">
        <f t="shared" si="76"/>
        <v>8.2246258419126317</v>
      </c>
      <c r="J55" s="21">
        <f t="shared" si="76"/>
        <v>8.2246258419126317</v>
      </c>
      <c r="K55" s="21">
        <f t="shared" si="76"/>
        <v>8.2246258419126317</v>
      </c>
      <c r="L55" s="21">
        <f t="shared" si="76"/>
        <v>8.2246258419126317</v>
      </c>
      <c r="M55" s="21">
        <f t="shared" si="76"/>
        <v>8.2246258419126317</v>
      </c>
      <c r="N55" s="21">
        <f t="shared" ref="N55:AA56" si="77">HLOOKUP(N$54,$EI$54:$EJ$56,ROW($EH55)-ROW($EH$54)+1,FALSE)</f>
        <v>8.2246258419126317</v>
      </c>
      <c r="O55" s="21">
        <f t="shared" si="77"/>
        <v>8.2246258419126317</v>
      </c>
      <c r="P55" s="21">
        <f t="shared" si="77"/>
        <v>8.2246258419126317</v>
      </c>
      <c r="Q55" s="21">
        <f t="shared" si="77"/>
        <v>8.2246258419126317</v>
      </c>
      <c r="R55" s="21">
        <f t="shared" si="77"/>
        <v>8.2246258419126317</v>
      </c>
      <c r="S55" s="21">
        <f t="shared" si="77"/>
        <v>8.2246258419126317</v>
      </c>
      <c r="T55" s="21">
        <f t="shared" si="77"/>
        <v>8.2246258419126317</v>
      </c>
      <c r="U55" s="21">
        <f t="shared" si="77"/>
        <v>8.2246258419126317</v>
      </c>
      <c r="V55" s="21">
        <f t="shared" si="77"/>
        <v>8.2246258419126317</v>
      </c>
      <c r="W55" s="21">
        <f t="shared" si="77"/>
        <v>8.2246258419126317</v>
      </c>
      <c r="X55" s="21">
        <f t="shared" si="77"/>
        <v>8.2246258419126317</v>
      </c>
      <c r="Y55" s="21">
        <f t="shared" si="77"/>
        <v>8.2246258419126317</v>
      </c>
      <c r="Z55" s="21">
        <f t="shared" si="77"/>
        <v>8.2246258419126317</v>
      </c>
      <c r="AA55" s="21">
        <f t="shared" si="77"/>
        <v>8.2246258419126317</v>
      </c>
      <c r="AB55" s="21">
        <f t="shared" ref="AB55:AD56" si="78">HLOOKUP(AB$54,$EI$54:$EJ$56,ROW($EH55)-ROW($EH$54)+1,FALSE)</f>
        <v>8.2246258419126317</v>
      </c>
      <c r="AC55" s="21">
        <f t="shared" si="78"/>
        <v>8.2246258419126317</v>
      </c>
      <c r="AD55" s="21">
        <f t="shared" si="78"/>
        <v>8.2246258419126317</v>
      </c>
      <c r="AE55" s="21">
        <f t="shared" ref="AE55:AN56" si="79">HLOOKUP(AE$54,$EI$54:$EJ$56,ROW($EH55)-ROW($EH$54)+1,FALSE)</f>
        <v>8.2246258419126317</v>
      </c>
      <c r="AF55" s="21">
        <f t="shared" si="79"/>
        <v>8.2246258419126317</v>
      </c>
      <c r="AG55" s="21">
        <f t="shared" si="79"/>
        <v>8.2246258419126317</v>
      </c>
      <c r="AH55" s="21">
        <f t="shared" si="79"/>
        <v>8.2246258419126317</v>
      </c>
      <c r="AI55" s="21">
        <f t="shared" si="79"/>
        <v>8.2246258419126317</v>
      </c>
      <c r="AJ55" s="21">
        <f t="shared" si="79"/>
        <v>8.2246258419126317</v>
      </c>
      <c r="AK55" s="21">
        <f t="shared" si="79"/>
        <v>8.2246258419126317</v>
      </c>
      <c r="AL55" s="21">
        <f t="shared" si="79"/>
        <v>8.2246258419126317</v>
      </c>
      <c r="AM55" s="21">
        <f t="shared" si="79"/>
        <v>8.2246258419126317</v>
      </c>
      <c r="AN55" s="21">
        <f t="shared" si="79"/>
        <v>8.2246258419126317</v>
      </c>
      <c r="AO55" s="21">
        <f t="shared" ref="AO55:AX56" si="80">HLOOKUP(AO$54,$EI$54:$EJ$56,ROW($EH55)-ROW($EH$54)+1,FALSE)</f>
        <v>8.2246258419126317</v>
      </c>
      <c r="AP55" s="21">
        <f t="shared" si="80"/>
        <v>8.2246258419126317</v>
      </c>
      <c r="AQ55" s="21">
        <f t="shared" si="80"/>
        <v>8.2246258419126317</v>
      </c>
      <c r="AR55" s="21">
        <f t="shared" si="80"/>
        <v>8.2246258419126317</v>
      </c>
      <c r="AS55" s="21">
        <f t="shared" si="80"/>
        <v>8.2246258419126317</v>
      </c>
      <c r="AT55" s="21">
        <f t="shared" si="80"/>
        <v>8.2246258419126317</v>
      </c>
      <c r="AU55" s="21">
        <f t="shared" si="80"/>
        <v>8.2246258419126317</v>
      </c>
      <c r="AV55" s="21">
        <f t="shared" si="80"/>
        <v>8.2246258419126317</v>
      </c>
      <c r="AW55" s="21">
        <f t="shared" si="80"/>
        <v>8.2246258419126317</v>
      </c>
      <c r="AX55" s="21">
        <f t="shared" si="80"/>
        <v>8.2246258419126317</v>
      </c>
      <c r="AY55" s="21">
        <f t="shared" ref="AY55:BH56" si="81">HLOOKUP(AY$54,$EI$54:$EJ$56,ROW($EH55)-ROW($EH$54)+1,FALSE)</f>
        <v>8.2246258419126317</v>
      </c>
      <c r="AZ55" s="21">
        <f t="shared" si="81"/>
        <v>8.2246258419126317</v>
      </c>
      <c r="BA55" s="21">
        <f t="shared" si="81"/>
        <v>8.2246258419126317</v>
      </c>
      <c r="BB55" s="21">
        <f t="shared" si="81"/>
        <v>8.2246258419126317</v>
      </c>
      <c r="BC55" s="21">
        <f t="shared" si="81"/>
        <v>8.2246258419126317</v>
      </c>
      <c r="BD55" s="21">
        <f t="shared" si="81"/>
        <v>8.2246258419126317</v>
      </c>
      <c r="BE55" s="21">
        <f t="shared" si="81"/>
        <v>8.2246258419126317</v>
      </c>
      <c r="BF55" s="21">
        <f t="shared" si="81"/>
        <v>8.2246258419126317</v>
      </c>
      <c r="BG55" s="21">
        <f t="shared" si="81"/>
        <v>8.2246258419126317</v>
      </c>
      <c r="BH55" s="21">
        <f t="shared" si="81"/>
        <v>8.2246258419126317</v>
      </c>
      <c r="BI55" s="21">
        <f t="shared" ref="BI55:BR56" si="82">HLOOKUP(BI$54,$EI$54:$EJ$56,ROW($EH55)-ROW($EH$54)+1,FALSE)</f>
        <v>8.2246258419126317</v>
      </c>
      <c r="BJ55" s="21">
        <f t="shared" si="82"/>
        <v>8.2246258419126317</v>
      </c>
      <c r="BK55" s="21">
        <f t="shared" si="82"/>
        <v>8.2246258419126317</v>
      </c>
      <c r="BL55" s="21">
        <f t="shared" si="82"/>
        <v>8.2246258419126317</v>
      </c>
      <c r="BM55" s="21">
        <f t="shared" si="82"/>
        <v>8.2246258419126317</v>
      </c>
      <c r="BN55" s="21">
        <f t="shared" si="82"/>
        <v>8.2246258419126317</v>
      </c>
      <c r="BO55" s="21">
        <f t="shared" si="82"/>
        <v>8.2246258419126317</v>
      </c>
      <c r="BP55" s="21">
        <f t="shared" si="82"/>
        <v>8.2246258419126317</v>
      </c>
      <c r="BQ55" s="21">
        <f t="shared" si="82"/>
        <v>8.2246258419126317</v>
      </c>
      <c r="BR55" s="21">
        <f t="shared" si="82"/>
        <v>8.2246258419126317</v>
      </c>
      <c r="BS55" s="21">
        <f t="shared" ref="BS55:CB56" si="83">HLOOKUP(BS$54,$EI$54:$EJ$56,ROW($EH55)-ROW($EH$54)+1,FALSE)</f>
        <v>8.2246258419126317</v>
      </c>
      <c r="BT55" s="21">
        <f t="shared" si="83"/>
        <v>8.2246258419126317</v>
      </c>
      <c r="BU55" s="21">
        <f t="shared" si="83"/>
        <v>8.2246258419126317</v>
      </c>
      <c r="BV55" s="21">
        <f t="shared" si="83"/>
        <v>8.2246258419126317</v>
      </c>
      <c r="BW55" s="21">
        <f t="shared" si="83"/>
        <v>8.2246258419126317</v>
      </c>
      <c r="BX55" s="21">
        <f t="shared" si="83"/>
        <v>8.2246258419126317</v>
      </c>
      <c r="BY55" s="21">
        <f t="shared" si="83"/>
        <v>8.2246258419126317</v>
      </c>
      <c r="BZ55" s="21">
        <f t="shared" si="83"/>
        <v>8.2246258419126317</v>
      </c>
      <c r="CA55" s="21">
        <f t="shared" si="83"/>
        <v>8.2246258419126317</v>
      </c>
      <c r="CB55" s="21">
        <f t="shared" si="83"/>
        <v>8.2246258419126317</v>
      </c>
      <c r="CC55" s="21">
        <f t="shared" ref="CC55:CL56" si="84">HLOOKUP(CC$54,$EI$54:$EJ$56,ROW($EH55)-ROW($EH$54)+1,FALSE)</f>
        <v>8.2246258419126317</v>
      </c>
      <c r="CD55" s="21">
        <f t="shared" si="84"/>
        <v>8.2246258419126317</v>
      </c>
      <c r="CE55" s="21">
        <f t="shared" si="84"/>
        <v>8.2246258419126317</v>
      </c>
      <c r="CF55" s="21">
        <f t="shared" si="84"/>
        <v>8.2246258419126317</v>
      </c>
      <c r="CG55" s="21">
        <f t="shared" si="84"/>
        <v>8.2246258419126317</v>
      </c>
      <c r="CH55" s="21">
        <f t="shared" si="84"/>
        <v>8.2246258419126317</v>
      </c>
      <c r="CI55" s="21">
        <f t="shared" si="84"/>
        <v>8.2246258419126317</v>
      </c>
      <c r="CJ55" s="21">
        <f t="shared" si="84"/>
        <v>8.2246258419126317</v>
      </c>
      <c r="CK55" s="21">
        <f t="shared" si="84"/>
        <v>8.2246258419126317</v>
      </c>
      <c r="CL55" s="21">
        <f t="shared" si="84"/>
        <v>8.2246258419126317</v>
      </c>
      <c r="CM55" s="21">
        <f t="shared" ref="CM55:CV56" si="85">HLOOKUP(CM$54,$EI$54:$EJ$56,ROW($EH55)-ROW($EH$54)+1,FALSE)</f>
        <v>8.2246258419126317</v>
      </c>
      <c r="CN55" s="21">
        <f t="shared" si="85"/>
        <v>8.2246258419126317</v>
      </c>
      <c r="CO55" s="21">
        <f t="shared" si="85"/>
        <v>8.2246258419126317</v>
      </c>
      <c r="CP55" s="21">
        <f t="shared" si="85"/>
        <v>8.2246258419126317</v>
      </c>
      <c r="CQ55" s="21">
        <f t="shared" si="85"/>
        <v>8.2246258419126317</v>
      </c>
      <c r="CR55" s="21">
        <f t="shared" si="85"/>
        <v>8.2246258419126317</v>
      </c>
      <c r="CS55" s="21">
        <f t="shared" si="85"/>
        <v>8.2246258419126317</v>
      </c>
      <c r="CT55" s="21">
        <f t="shared" si="85"/>
        <v>8.2246258419126317</v>
      </c>
      <c r="CU55" s="21">
        <f t="shared" si="85"/>
        <v>8.2246258419126317</v>
      </c>
      <c r="CV55" s="21">
        <f t="shared" si="85"/>
        <v>8.2246258419126317</v>
      </c>
      <c r="CW55" s="21">
        <f t="shared" ref="CW55:DF56" si="86">HLOOKUP(CW$54,$EI$54:$EJ$56,ROW($EH55)-ROW($EH$54)+1,FALSE)</f>
        <v>8.2246258419126317</v>
      </c>
      <c r="CX55" s="21">
        <f t="shared" si="86"/>
        <v>8.2246258419126317</v>
      </c>
      <c r="CY55" s="21">
        <f t="shared" si="86"/>
        <v>8.2246258419126317</v>
      </c>
      <c r="CZ55" s="21">
        <f t="shared" si="86"/>
        <v>8.2246258419126317</v>
      </c>
      <c r="DA55" s="21">
        <f t="shared" si="86"/>
        <v>8.2246258419126317</v>
      </c>
      <c r="DB55" s="21">
        <f t="shared" si="86"/>
        <v>8.2246258419126317</v>
      </c>
      <c r="DC55" s="21">
        <f t="shared" si="86"/>
        <v>8.2246258419126317</v>
      </c>
      <c r="DD55" s="21">
        <f t="shared" si="86"/>
        <v>8.2246258419126317</v>
      </c>
      <c r="DE55" s="21">
        <f t="shared" si="86"/>
        <v>8.2246258419126317</v>
      </c>
      <c r="DF55" s="21">
        <f t="shared" si="86"/>
        <v>8.2246258419126317</v>
      </c>
      <c r="DH55" s="21">
        <f t="shared" ref="DH55:DW56" si="87">HLOOKUP(DH$54,$EI$54:$EJ$56,ROW($EH55)-ROW($EH$54)+1,FALSE)</f>
        <v>8.2246258419126317</v>
      </c>
      <c r="DI55" s="21">
        <f t="shared" si="87"/>
        <v>8.2246258419126317</v>
      </c>
      <c r="DJ55" s="21">
        <f t="shared" si="87"/>
        <v>8.2246258419126317</v>
      </c>
      <c r="DK55" s="21">
        <f t="shared" si="87"/>
        <v>8.2246258419126317</v>
      </c>
      <c r="DL55" s="21">
        <f t="shared" si="87"/>
        <v>8.2246258419126317</v>
      </c>
      <c r="DM55" s="21">
        <f t="shared" si="87"/>
        <v>8.2246258419126317</v>
      </c>
      <c r="DN55" s="21">
        <f t="shared" si="87"/>
        <v>8.2246258419126317</v>
      </c>
      <c r="DO55" s="21">
        <f t="shared" si="87"/>
        <v>8.2246258419126317</v>
      </c>
      <c r="DP55" s="21">
        <f t="shared" si="87"/>
        <v>8.2246258419126317</v>
      </c>
      <c r="DQ55" s="21">
        <f t="shared" si="87"/>
        <v>8.2246258419126317</v>
      </c>
      <c r="DR55" s="21">
        <f t="shared" si="87"/>
        <v>8.2246258419126317</v>
      </c>
      <c r="DS55" s="21">
        <f t="shared" si="87"/>
        <v>8.2246258419126317</v>
      </c>
      <c r="DT55" s="21">
        <f t="shared" si="87"/>
        <v>8.2246258419126317</v>
      </c>
      <c r="DU55" s="21">
        <f t="shared" si="87"/>
        <v>8.2246258419126317</v>
      </c>
      <c r="DV55" s="21">
        <f t="shared" si="87"/>
        <v>8.2246258419126317</v>
      </c>
      <c r="DW55" s="21">
        <f t="shared" si="87"/>
        <v>8.2246258419126317</v>
      </c>
      <c r="DX55" s="21">
        <f t="shared" ref="DX55:EC56" si="88">HLOOKUP(DX$54,$EI$54:$EJ$56,ROW($EH55)-ROW($EH$54)+1,FALSE)</f>
        <v>8.2246258419126317</v>
      </c>
      <c r="DY55" s="21">
        <f t="shared" si="88"/>
        <v>8.2246258419126317</v>
      </c>
      <c r="DZ55" s="21">
        <f t="shared" si="88"/>
        <v>8.2246258419126317</v>
      </c>
      <c r="EA55" s="21">
        <f t="shared" si="88"/>
        <v>8.2246258419126317</v>
      </c>
      <c r="EB55" s="21">
        <f t="shared" si="88"/>
        <v>8.2246258419126317</v>
      </c>
      <c r="EC55" s="21">
        <f t="shared" si="88"/>
        <v>8.2246258419126317</v>
      </c>
      <c r="ED55" s="21">
        <f>HLOOKUP(ED$54,$EI$54:$EJ$56,ROW($EH55)-ROW($EH$54)+1,FALSE)</f>
        <v>8.2246258419126317</v>
      </c>
      <c r="EF55" s="21" t="s">
        <v>82</v>
      </c>
      <c r="EH55" s="21" t="s">
        <v>224</v>
      </c>
      <c r="EI55" s="73">
        <f>SUM([7]Vehi_ADR!$B$106:$H$106)*Convert!$G$9/
([7]Vehi_Inputs!$C$18*Convert!$G$10)</f>
        <v>8.2246258419126317</v>
      </c>
      <c r="EJ55" s="73">
        <f>SUM([5]Vehi_ADR!$B$106:$H$106)*Convert!$G$9/([5]Vehi_Inputs!$C$18*Convert!$G$10)</f>
        <v>8.2246258419126317</v>
      </c>
      <c r="EM55" s="499"/>
    </row>
    <row r="56" spans="1:143" x14ac:dyDescent="0.3">
      <c r="A56" s="21" t="s">
        <v>133</v>
      </c>
      <c r="D56" s="21">
        <f t="shared" si="76"/>
        <v>2.2657566368050039</v>
      </c>
      <c r="E56" s="21">
        <f t="shared" si="76"/>
        <v>2.2657566368050039</v>
      </c>
      <c r="F56" s="21">
        <f t="shared" si="76"/>
        <v>2.2657566368050039</v>
      </c>
      <c r="G56" s="21">
        <f t="shared" si="76"/>
        <v>2.2657566368050039</v>
      </c>
      <c r="H56" s="21">
        <f t="shared" si="76"/>
        <v>2.2657566368050039</v>
      </c>
      <c r="I56" s="21">
        <f t="shared" si="76"/>
        <v>2.2657566368050039</v>
      </c>
      <c r="J56" s="21">
        <f t="shared" si="76"/>
        <v>2.2657566368050039</v>
      </c>
      <c r="K56" s="21">
        <f t="shared" si="76"/>
        <v>2.2657566368050039</v>
      </c>
      <c r="L56" s="21">
        <f t="shared" si="76"/>
        <v>2.2657566368050039</v>
      </c>
      <c r="M56" s="21">
        <f t="shared" si="76"/>
        <v>2.2657566368050039</v>
      </c>
      <c r="N56" s="21">
        <f t="shared" si="77"/>
        <v>2.2657566368050039</v>
      </c>
      <c r="O56" s="21">
        <f t="shared" si="77"/>
        <v>2.2657566368050039</v>
      </c>
      <c r="P56" s="21">
        <f t="shared" si="77"/>
        <v>2.2657566368050039</v>
      </c>
      <c r="Q56" s="21">
        <f t="shared" si="77"/>
        <v>2.2657566368050039</v>
      </c>
      <c r="R56" s="21">
        <f t="shared" si="77"/>
        <v>2.2657566368050039</v>
      </c>
      <c r="S56" s="21">
        <f t="shared" si="77"/>
        <v>2.2657566368050039</v>
      </c>
      <c r="T56" s="21">
        <f t="shared" si="77"/>
        <v>2.2657566368050039</v>
      </c>
      <c r="U56" s="21">
        <f t="shared" si="77"/>
        <v>2.2657566368050039</v>
      </c>
      <c r="V56" s="21">
        <f t="shared" si="77"/>
        <v>2.2657566368050039</v>
      </c>
      <c r="W56" s="21">
        <f t="shared" si="77"/>
        <v>2.2657566368050039</v>
      </c>
      <c r="X56" s="21">
        <f t="shared" si="77"/>
        <v>2.2657566368050039</v>
      </c>
      <c r="Y56" s="21">
        <f t="shared" si="77"/>
        <v>2.2657566368050039</v>
      </c>
      <c r="Z56" s="21">
        <f t="shared" si="77"/>
        <v>2.2657566368050039</v>
      </c>
      <c r="AA56" s="21">
        <f t="shared" si="77"/>
        <v>2.2657566368050039</v>
      </c>
      <c r="AB56" s="21">
        <f t="shared" si="78"/>
        <v>2.2657566368050039</v>
      </c>
      <c r="AC56" s="21">
        <f t="shared" si="78"/>
        <v>2.2657566368050039</v>
      </c>
      <c r="AD56" s="21">
        <f t="shared" si="78"/>
        <v>2.2657566368050039</v>
      </c>
      <c r="AE56" s="21">
        <f t="shared" si="79"/>
        <v>2.2657566368050039</v>
      </c>
      <c r="AF56" s="21">
        <f t="shared" si="79"/>
        <v>2.2657566368050039</v>
      </c>
      <c r="AG56" s="21">
        <f t="shared" si="79"/>
        <v>2.2657566368050039</v>
      </c>
      <c r="AH56" s="21">
        <f t="shared" si="79"/>
        <v>2.2657566368050039</v>
      </c>
      <c r="AI56" s="21">
        <f t="shared" si="79"/>
        <v>2.2657566368050039</v>
      </c>
      <c r="AJ56" s="21">
        <f t="shared" si="79"/>
        <v>2.2657566368050039</v>
      </c>
      <c r="AK56" s="21">
        <f t="shared" si="79"/>
        <v>2.2657566368050039</v>
      </c>
      <c r="AL56" s="21">
        <f t="shared" si="79"/>
        <v>2.2657566368050039</v>
      </c>
      <c r="AM56" s="21">
        <f t="shared" si="79"/>
        <v>2.2657566368050039</v>
      </c>
      <c r="AN56" s="21">
        <f t="shared" si="79"/>
        <v>2.2657566368050039</v>
      </c>
      <c r="AO56" s="21">
        <f t="shared" si="80"/>
        <v>2.2657566368050039</v>
      </c>
      <c r="AP56" s="21">
        <f t="shared" si="80"/>
        <v>2.2657566368050039</v>
      </c>
      <c r="AQ56" s="21">
        <f t="shared" si="80"/>
        <v>2.2657566368050039</v>
      </c>
      <c r="AR56" s="21">
        <f t="shared" si="80"/>
        <v>2.2657566368050039</v>
      </c>
      <c r="AS56" s="21">
        <f t="shared" si="80"/>
        <v>2.2657566368050039</v>
      </c>
      <c r="AT56" s="21">
        <f t="shared" si="80"/>
        <v>2.2657566368050039</v>
      </c>
      <c r="AU56" s="21">
        <f t="shared" si="80"/>
        <v>2.2657566368050039</v>
      </c>
      <c r="AV56" s="21">
        <f t="shared" si="80"/>
        <v>2.2657566368050039</v>
      </c>
      <c r="AW56" s="21">
        <f t="shared" si="80"/>
        <v>2.2657566368050039</v>
      </c>
      <c r="AX56" s="21">
        <f t="shared" si="80"/>
        <v>2.2657566368050039</v>
      </c>
      <c r="AY56" s="21">
        <f t="shared" si="81"/>
        <v>2.2657566368050039</v>
      </c>
      <c r="AZ56" s="21">
        <f t="shared" si="81"/>
        <v>2.2657566368050039</v>
      </c>
      <c r="BA56" s="21">
        <f t="shared" si="81"/>
        <v>2.2657566368050039</v>
      </c>
      <c r="BB56" s="21">
        <f t="shared" si="81"/>
        <v>2.2657566368050039</v>
      </c>
      <c r="BC56" s="21">
        <f t="shared" si="81"/>
        <v>2.2657566368050039</v>
      </c>
      <c r="BD56" s="21">
        <f t="shared" si="81"/>
        <v>2.2657566368050039</v>
      </c>
      <c r="BE56" s="21">
        <f t="shared" si="81"/>
        <v>2.2657566368050039</v>
      </c>
      <c r="BF56" s="21">
        <f t="shared" si="81"/>
        <v>2.2657566368050039</v>
      </c>
      <c r="BG56" s="21">
        <f t="shared" si="81"/>
        <v>2.2657566368050039</v>
      </c>
      <c r="BH56" s="21">
        <f t="shared" si="81"/>
        <v>2.2657566368050039</v>
      </c>
      <c r="BI56" s="21">
        <f t="shared" si="82"/>
        <v>2.2657566368050039</v>
      </c>
      <c r="BJ56" s="21">
        <f t="shared" si="82"/>
        <v>2.2657566368050039</v>
      </c>
      <c r="BK56" s="21">
        <f t="shared" si="82"/>
        <v>2.2657566368050039</v>
      </c>
      <c r="BL56" s="21">
        <f t="shared" si="82"/>
        <v>2.2657566368050039</v>
      </c>
      <c r="BM56" s="21">
        <f t="shared" si="82"/>
        <v>2.2657566368050039</v>
      </c>
      <c r="BN56" s="21">
        <f t="shared" si="82"/>
        <v>2.2657566368050039</v>
      </c>
      <c r="BO56" s="21">
        <f t="shared" si="82"/>
        <v>2.2657566368050039</v>
      </c>
      <c r="BP56" s="21">
        <f t="shared" si="82"/>
        <v>2.2657566368050039</v>
      </c>
      <c r="BQ56" s="21">
        <f t="shared" si="82"/>
        <v>2.2657566368050039</v>
      </c>
      <c r="BR56" s="21">
        <f t="shared" si="82"/>
        <v>2.2657566368050039</v>
      </c>
      <c r="BS56" s="21">
        <f t="shared" si="83"/>
        <v>2.2657566368050039</v>
      </c>
      <c r="BT56" s="21">
        <f t="shared" si="83"/>
        <v>2.2657566368050039</v>
      </c>
      <c r="BU56" s="21">
        <f t="shared" si="83"/>
        <v>2.2657566368050039</v>
      </c>
      <c r="BV56" s="21">
        <f t="shared" si="83"/>
        <v>2.2657566368050039</v>
      </c>
      <c r="BW56" s="21">
        <f t="shared" si="83"/>
        <v>2.2657566368050039</v>
      </c>
      <c r="BX56" s="21">
        <f t="shared" si="83"/>
        <v>2.2657566368050039</v>
      </c>
      <c r="BY56" s="21">
        <f t="shared" si="83"/>
        <v>2.2657566368050039</v>
      </c>
      <c r="BZ56" s="21">
        <f t="shared" si="83"/>
        <v>2.2657566368050039</v>
      </c>
      <c r="CA56" s="21">
        <f t="shared" si="83"/>
        <v>2.2657566368050039</v>
      </c>
      <c r="CB56" s="21">
        <f t="shared" si="83"/>
        <v>2.2657566368050039</v>
      </c>
      <c r="CC56" s="21">
        <f t="shared" si="84"/>
        <v>2.2657566368050039</v>
      </c>
      <c r="CD56" s="21">
        <f t="shared" si="84"/>
        <v>2.2657566368050039</v>
      </c>
      <c r="CE56" s="21">
        <f t="shared" si="84"/>
        <v>2.2657566368050039</v>
      </c>
      <c r="CF56" s="21">
        <f t="shared" si="84"/>
        <v>2.2657566368050039</v>
      </c>
      <c r="CG56" s="21">
        <f t="shared" si="84"/>
        <v>2.2657566368050039</v>
      </c>
      <c r="CH56" s="21">
        <f t="shared" si="84"/>
        <v>2.2657566368050039</v>
      </c>
      <c r="CI56" s="21">
        <f t="shared" si="84"/>
        <v>2.2657566368050039</v>
      </c>
      <c r="CJ56" s="21">
        <f t="shared" si="84"/>
        <v>2.2657566368050039</v>
      </c>
      <c r="CK56" s="21">
        <f t="shared" si="84"/>
        <v>2.2657566368050039</v>
      </c>
      <c r="CL56" s="21">
        <f t="shared" si="84"/>
        <v>2.2657566368050039</v>
      </c>
      <c r="CM56" s="21">
        <f t="shared" si="85"/>
        <v>2.2657566368050039</v>
      </c>
      <c r="CN56" s="21">
        <f t="shared" si="85"/>
        <v>2.2657566368050039</v>
      </c>
      <c r="CO56" s="21">
        <f t="shared" si="85"/>
        <v>2.2657566368050039</v>
      </c>
      <c r="CP56" s="21">
        <f t="shared" si="85"/>
        <v>2.2657566368050039</v>
      </c>
      <c r="CQ56" s="21">
        <f t="shared" si="85"/>
        <v>2.2657566368050039</v>
      </c>
      <c r="CR56" s="21">
        <f t="shared" si="85"/>
        <v>2.2657566368050039</v>
      </c>
      <c r="CS56" s="21">
        <f t="shared" si="85"/>
        <v>2.2657566368050039</v>
      </c>
      <c r="CT56" s="21">
        <f t="shared" si="85"/>
        <v>2.2657566368050039</v>
      </c>
      <c r="CU56" s="21">
        <f t="shared" si="85"/>
        <v>2.2657566368050039</v>
      </c>
      <c r="CV56" s="21">
        <f t="shared" si="85"/>
        <v>2.2657566368050039</v>
      </c>
      <c r="CW56" s="21">
        <f t="shared" si="86"/>
        <v>2.2657566368050039</v>
      </c>
      <c r="CX56" s="21">
        <f t="shared" si="86"/>
        <v>2.2657566368050039</v>
      </c>
      <c r="CY56" s="21">
        <f t="shared" si="86"/>
        <v>2.2657566368050039</v>
      </c>
      <c r="CZ56" s="21">
        <f t="shared" si="86"/>
        <v>2.2657566368050039</v>
      </c>
      <c r="DA56" s="21">
        <f t="shared" si="86"/>
        <v>2.2657566368050039</v>
      </c>
      <c r="DB56" s="21">
        <f t="shared" si="86"/>
        <v>2.2657566368050039</v>
      </c>
      <c r="DC56" s="21">
        <f t="shared" si="86"/>
        <v>2.2657566368050039</v>
      </c>
      <c r="DD56" s="21">
        <f t="shared" si="86"/>
        <v>2.2657566368050039</v>
      </c>
      <c r="DE56" s="21">
        <f t="shared" si="86"/>
        <v>2.2657566368050039</v>
      </c>
      <c r="DF56" s="21">
        <f t="shared" si="86"/>
        <v>2.2657566368050039</v>
      </c>
      <c r="DH56" s="21">
        <f t="shared" si="87"/>
        <v>2.2657566368050039</v>
      </c>
      <c r="DI56" s="21">
        <f t="shared" si="87"/>
        <v>2.2657566368050039</v>
      </c>
      <c r="DJ56" s="21">
        <f t="shared" si="87"/>
        <v>2.2657566368050039</v>
      </c>
      <c r="DK56" s="21">
        <f t="shared" si="87"/>
        <v>2.2657566368050039</v>
      </c>
      <c r="DL56" s="21">
        <f t="shared" si="87"/>
        <v>2.2657566368050039</v>
      </c>
      <c r="DM56" s="21">
        <f t="shared" si="87"/>
        <v>2.2657566368050039</v>
      </c>
      <c r="DN56" s="21">
        <f t="shared" si="87"/>
        <v>2.2657566368050039</v>
      </c>
      <c r="DO56" s="21">
        <f t="shared" si="87"/>
        <v>2.2657566368050039</v>
      </c>
      <c r="DP56" s="21">
        <f t="shared" si="87"/>
        <v>2.2657566368050039</v>
      </c>
      <c r="DQ56" s="21">
        <f t="shared" si="87"/>
        <v>2.2657566368050039</v>
      </c>
      <c r="DR56" s="21">
        <f t="shared" si="87"/>
        <v>2.2657566368050039</v>
      </c>
      <c r="DS56" s="21">
        <f t="shared" si="87"/>
        <v>2.2657566368050039</v>
      </c>
      <c r="DT56" s="21">
        <f t="shared" si="87"/>
        <v>2.2657566368050039</v>
      </c>
      <c r="DU56" s="21">
        <f t="shared" si="87"/>
        <v>2.2657566368050039</v>
      </c>
      <c r="DV56" s="21">
        <f t="shared" si="87"/>
        <v>2.2657566368050039</v>
      </c>
      <c r="DW56" s="21">
        <f t="shared" si="87"/>
        <v>2.2657566368050039</v>
      </c>
      <c r="DX56" s="21">
        <f t="shared" si="88"/>
        <v>2.2657566368050039</v>
      </c>
      <c r="DY56" s="21">
        <f t="shared" si="88"/>
        <v>2.2657566368050039</v>
      </c>
      <c r="DZ56" s="21">
        <f t="shared" si="88"/>
        <v>2.2657566368050039</v>
      </c>
      <c r="EA56" s="21">
        <f t="shared" si="88"/>
        <v>2.2657566368050039</v>
      </c>
      <c r="EB56" s="21">
        <f t="shared" si="88"/>
        <v>2.2657566368050039</v>
      </c>
      <c r="EC56" s="21">
        <f t="shared" si="88"/>
        <v>2.2657566368050039</v>
      </c>
      <c r="ED56" s="21">
        <f>HLOOKUP(ED$54,$EI$54:$EJ$56,ROW($EH56)-ROW($EH$54)+1,FALSE)</f>
        <v>2.2657566368050039</v>
      </c>
      <c r="EF56" s="62" t="s">
        <v>148</v>
      </c>
      <c r="EH56" s="21" t="s">
        <v>224</v>
      </c>
      <c r="EI56" s="73">
        <f>[7]Vehi_ADR!$I$106*Convert!$G$9/([7]Vehi_Inputs!$C$18*Convert!$G$10)</f>
        <v>2.2657566368050039</v>
      </c>
      <c r="EJ56" s="73">
        <f>[5]Vehi_ADR!$I$106*Convert!$G$9/([5]Vehi_Inputs!$C$18*Convert!$G$10)</f>
        <v>2.2657566368050039</v>
      </c>
    </row>
    <row r="58" spans="1:143" x14ac:dyDescent="0.3">
      <c r="A58" s="21" t="s">
        <v>129</v>
      </c>
      <c r="B58" s="21" t="s">
        <v>130</v>
      </c>
      <c r="BT58" s="21">
        <f>[5]Battery_Sum!$C$22</f>
        <v>26.914588235294119</v>
      </c>
      <c r="EH58" s="21" t="str">
        <f>A58&amp;" (default values from GREET2 account for changes in the power generation mix only)"</f>
        <v>Energy intensity of battery manufacturing (default values from GREET2 account for changes in the power generation mix only)</v>
      </c>
      <c r="EJ58" s="21" t="str">
        <f>B58</f>
        <v>[MJ/kWh of battery capacity]</v>
      </c>
    </row>
    <row r="59" spans="1:143" x14ac:dyDescent="0.3">
      <c r="A59" s="21" t="str">
        <f>A$5</f>
        <v>Vehicle production region</v>
      </c>
      <c r="D59" s="21" t="str">
        <f>D5</f>
        <v>With Al smelting mostly form coal</v>
      </c>
      <c r="E59" s="21" t="str">
        <f t="shared" ref="E59:P59" si="89">E5</f>
        <v>With Al smelting mostly form coal</v>
      </c>
      <c r="F59" s="21" t="str">
        <f t="shared" si="89"/>
        <v>Default</v>
      </c>
      <c r="G59" s="21" t="str">
        <f t="shared" si="89"/>
        <v>With Al smelting mostly form coal</v>
      </c>
      <c r="H59" s="21" t="str">
        <f t="shared" si="89"/>
        <v>With Al smelting mostly form coal</v>
      </c>
      <c r="I59" s="21" t="str">
        <f t="shared" ref="I59" si="90">I5</f>
        <v>With Al smelting mostly form coal</v>
      </c>
      <c r="J59" s="21" t="str">
        <f t="shared" si="89"/>
        <v>With Al smelting mostly form coal</v>
      </c>
      <c r="K59" s="21" t="str">
        <f t="shared" si="89"/>
        <v>With Al smelting mostly form coal</v>
      </c>
      <c r="L59" s="21" t="str">
        <f t="shared" si="89"/>
        <v>With Al smelting mostly form coal</v>
      </c>
      <c r="M59" s="21" t="str">
        <f t="shared" si="89"/>
        <v>With Al smelting mostly form coal</v>
      </c>
      <c r="N59" s="21" t="str">
        <f t="shared" si="89"/>
        <v>With Al smelting mostly form coal</v>
      </c>
      <c r="O59" s="21" t="str">
        <f t="shared" si="89"/>
        <v>With Al smelting mostly form coal</v>
      </c>
      <c r="P59" s="21" t="str">
        <f t="shared" si="89"/>
        <v>With Al smelting mostly form coal</v>
      </c>
      <c r="Q59" s="21" t="str">
        <f t="shared" ref="Q59:V59" si="91">Q5</f>
        <v>With Al smelting mostly form coal</v>
      </c>
      <c r="R59" s="21" t="str">
        <f t="shared" si="91"/>
        <v>With Al smelting mostly form coal</v>
      </c>
      <c r="S59" s="21" t="str">
        <f t="shared" si="91"/>
        <v>With Al smelting mostly form coal</v>
      </c>
      <c r="T59" s="21" t="str">
        <f t="shared" si="91"/>
        <v>Default</v>
      </c>
      <c r="U59" s="21" t="str">
        <f t="shared" si="91"/>
        <v>With Al smelting mostly form coal</v>
      </c>
      <c r="V59" s="21" t="str">
        <f t="shared" si="91"/>
        <v>With Al smelting mostly form coal</v>
      </c>
      <c r="W59" s="21" t="str">
        <f t="shared" ref="W59:BT59" si="92">W5</f>
        <v>With Al smelting mostly form coal</v>
      </c>
      <c r="X59" s="21" t="str">
        <f t="shared" ref="X59:Y59" si="93">X5</f>
        <v>Default</v>
      </c>
      <c r="Y59" s="21" t="str">
        <f t="shared" si="93"/>
        <v>With Al smelting mostly form coal</v>
      </c>
      <c r="Z59" s="21" t="str">
        <f t="shared" si="92"/>
        <v>With Al smelting mostly form coal</v>
      </c>
      <c r="AA59" s="21" t="str">
        <f t="shared" ref="AA59" si="94">AA5</f>
        <v>With Al smelting mostly form coal</v>
      </c>
      <c r="AB59" s="21" t="str">
        <f t="shared" ref="AB59:AC59" si="95">AB5</f>
        <v>Default</v>
      </c>
      <c r="AC59" s="21" t="str">
        <f t="shared" si="95"/>
        <v>With Al smelting mostly form coal</v>
      </c>
      <c r="AD59" s="21" t="str">
        <f t="shared" ref="AD59" si="96">AD5</f>
        <v>With Al smelting mostly form coal</v>
      </c>
      <c r="AE59" s="21" t="str">
        <f t="shared" ref="AE59" si="97">AE5</f>
        <v>With Al smelting mostly form coal</v>
      </c>
      <c r="AF59" s="21" t="str">
        <f t="shared" si="92"/>
        <v>With Al smelting mostly form coal</v>
      </c>
      <c r="AG59" s="21" t="str">
        <f t="shared" si="92"/>
        <v>With Al smelting mostly form coal</v>
      </c>
      <c r="AH59" s="21" t="str">
        <f t="shared" si="92"/>
        <v>With Al smelting mostly form coal</v>
      </c>
      <c r="AI59" s="21" t="str">
        <f t="shared" si="92"/>
        <v>With Al smelting mostly form coal</v>
      </c>
      <c r="AJ59" s="21" t="str">
        <f t="shared" si="92"/>
        <v>With Al smelting mostly form coal</v>
      </c>
      <c r="AK59" s="21" t="str">
        <f t="shared" si="92"/>
        <v>With Al smelting mostly form coal</v>
      </c>
      <c r="AL59" s="21" t="str">
        <f t="shared" si="92"/>
        <v>With Al smelting mostly form coal</v>
      </c>
      <c r="AM59" s="21" t="str">
        <f t="shared" si="92"/>
        <v>With Al smelting mostly form coal</v>
      </c>
      <c r="AN59" s="21" t="str">
        <f t="shared" si="92"/>
        <v>With Al smelting mostly form coal</v>
      </c>
      <c r="AO59" s="21" t="str">
        <f t="shared" si="92"/>
        <v>With Al smelting mostly form coal</v>
      </c>
      <c r="AP59" s="21" t="str">
        <f t="shared" si="92"/>
        <v>With Al smelting mostly form coal</v>
      </c>
      <c r="AQ59" s="21" t="str">
        <f t="shared" si="92"/>
        <v>With Al smelting mostly form coal</v>
      </c>
      <c r="AR59" s="21" t="str">
        <f t="shared" si="92"/>
        <v>With Al smelting mostly form coal</v>
      </c>
      <c r="AS59" s="21" t="str">
        <f t="shared" si="92"/>
        <v>With Al smelting mostly form coal</v>
      </c>
      <c r="AT59" s="21" t="str">
        <f t="shared" si="92"/>
        <v>With Al smelting mostly form coal</v>
      </c>
      <c r="AU59" s="21" t="str">
        <f t="shared" si="92"/>
        <v>Default</v>
      </c>
      <c r="AV59" s="21" t="str">
        <f t="shared" si="92"/>
        <v>With Al smelting mostly form coal</v>
      </c>
      <c r="AW59" s="21" t="str">
        <f t="shared" si="92"/>
        <v>With Al smelting mostly form coal</v>
      </c>
      <c r="AX59" s="21" t="str">
        <f t="shared" si="92"/>
        <v>With Al smelting mostly form coal</v>
      </c>
      <c r="AY59" s="21" t="str">
        <f t="shared" si="92"/>
        <v>With Al smelting mostly form coal</v>
      </c>
      <c r="AZ59" s="21" t="str">
        <f t="shared" si="92"/>
        <v>With Al smelting mostly form coal</v>
      </c>
      <c r="BA59" s="21" t="str">
        <f t="shared" si="92"/>
        <v>With Al smelting mostly form coal</v>
      </c>
      <c r="BB59" s="21" t="str">
        <f t="shared" si="92"/>
        <v>With Al smelting mostly form coal</v>
      </c>
      <c r="BC59" s="21" t="str">
        <f t="shared" si="92"/>
        <v>With Al smelting mostly form coal</v>
      </c>
      <c r="BD59" s="21" t="str">
        <f t="shared" si="92"/>
        <v>With Al smelting mostly form coal</v>
      </c>
      <c r="BE59" s="21" t="str">
        <f t="shared" si="92"/>
        <v>With Al smelting mostly form coal</v>
      </c>
      <c r="BF59" s="21" t="str">
        <f t="shared" si="92"/>
        <v>With Al smelting mostly form coal</v>
      </c>
      <c r="BG59" s="21" t="str">
        <f t="shared" si="92"/>
        <v>With Al smelting mostly form coal</v>
      </c>
      <c r="BH59" s="21" t="str">
        <f t="shared" si="92"/>
        <v>With Al smelting mostly form coal</v>
      </c>
      <c r="BI59" s="21" t="str">
        <f t="shared" si="92"/>
        <v>With Al smelting mostly form coal</v>
      </c>
      <c r="BJ59" s="21" t="str">
        <f t="shared" si="92"/>
        <v>With Al smelting mostly form coal</v>
      </c>
      <c r="BK59" s="21" t="str">
        <f t="shared" si="92"/>
        <v>With Al smelting mostly form coal</v>
      </c>
      <c r="BL59" s="21" t="str">
        <f t="shared" si="92"/>
        <v>With Al smelting mostly form coal</v>
      </c>
      <c r="BM59" s="21" t="str">
        <f t="shared" si="92"/>
        <v>With Al smelting mostly form coal</v>
      </c>
      <c r="BN59" s="21" t="str">
        <f t="shared" si="92"/>
        <v>With Al smelting mostly form coal</v>
      </c>
      <c r="BO59" s="21" t="str">
        <f t="shared" si="92"/>
        <v>With Al smelting mostly form coal</v>
      </c>
      <c r="BP59" s="21" t="str">
        <f t="shared" si="92"/>
        <v>With Al smelting mostly form coal</v>
      </c>
      <c r="BQ59" s="21" t="str">
        <f t="shared" si="92"/>
        <v>Default</v>
      </c>
      <c r="BR59" s="21" t="str">
        <f t="shared" si="92"/>
        <v>With Al smelting mostly form coal</v>
      </c>
      <c r="BS59" s="21" t="str">
        <f t="shared" si="92"/>
        <v>With Al smelting mostly form coal</v>
      </c>
      <c r="BT59" s="21" t="str">
        <f t="shared" si="92"/>
        <v>With Al smelting mostly form coal</v>
      </c>
      <c r="BU59" s="21" t="str">
        <f t="shared" ref="BU59:CC59" si="98">BU5</f>
        <v>With Al smelting mostly form coal</v>
      </c>
      <c r="BV59" s="21" t="str">
        <f t="shared" si="98"/>
        <v>With Al smelting mostly form coal</v>
      </c>
      <c r="BW59" s="21" t="str">
        <f t="shared" si="98"/>
        <v>With Al smelting mostly form coal</v>
      </c>
      <c r="BX59" s="21" t="str">
        <f t="shared" si="98"/>
        <v>With Al smelting mostly form coal</v>
      </c>
      <c r="BY59" s="21" t="str">
        <f t="shared" si="98"/>
        <v>With Al smelting mostly form coal</v>
      </c>
      <c r="BZ59" s="21" t="str">
        <f t="shared" si="98"/>
        <v>Default</v>
      </c>
      <c r="CA59" s="21" t="str">
        <f t="shared" si="98"/>
        <v>With Al smelting mostly form coal</v>
      </c>
      <c r="CB59" s="21" t="str">
        <f t="shared" si="98"/>
        <v>With Al smelting mostly form coal</v>
      </c>
      <c r="CC59" s="21" t="str">
        <f t="shared" si="98"/>
        <v>With Al smelting mostly form coal</v>
      </c>
      <c r="CD59" s="21" t="str">
        <f t="shared" ref="CD59:DF59" si="99">CD5</f>
        <v>With Al smelting mostly form coal</v>
      </c>
      <c r="CE59" s="21" t="str">
        <f t="shared" si="99"/>
        <v>With Al smelting mostly form coal</v>
      </c>
      <c r="CF59" s="21" t="str">
        <f t="shared" si="99"/>
        <v>With Al smelting mostly form coal</v>
      </c>
      <c r="CG59" s="21" t="str">
        <f t="shared" si="99"/>
        <v>With Al smelting mostly form coal</v>
      </c>
      <c r="CH59" s="21" t="str">
        <f t="shared" si="99"/>
        <v>With Al smelting mostly form coal</v>
      </c>
      <c r="CI59" s="21" t="str">
        <f t="shared" si="99"/>
        <v>With Al smelting mostly form coal</v>
      </c>
      <c r="CJ59" s="21" t="str">
        <f t="shared" si="99"/>
        <v>With Al smelting mostly form coal</v>
      </c>
      <c r="CK59" s="21" t="str">
        <f t="shared" si="99"/>
        <v>With Al smelting mostly form coal</v>
      </c>
      <c r="CL59" s="21" t="str">
        <f t="shared" si="99"/>
        <v>With Al smelting mostly form coal</v>
      </c>
      <c r="CM59" s="21" t="str">
        <f t="shared" si="99"/>
        <v>With Al smelting mostly form coal</v>
      </c>
      <c r="CN59" s="21" t="str">
        <f t="shared" si="99"/>
        <v>With Al smelting mostly form coal</v>
      </c>
      <c r="CO59" s="21" t="str">
        <f t="shared" si="99"/>
        <v>With Al smelting mostly form coal</v>
      </c>
      <c r="CP59" s="21" t="str">
        <f t="shared" si="99"/>
        <v>With Al smelting mostly form coal</v>
      </c>
      <c r="CQ59" s="21" t="str">
        <f t="shared" si="99"/>
        <v>With Al smelting mostly form coal</v>
      </c>
      <c r="CR59" s="21" t="str">
        <f t="shared" si="99"/>
        <v>With Al smelting mostly form coal</v>
      </c>
      <c r="CS59" s="21" t="str">
        <f t="shared" si="99"/>
        <v>With Al smelting mostly form coal</v>
      </c>
      <c r="CT59" s="21" t="str">
        <f t="shared" si="99"/>
        <v>With Al smelting mostly form coal</v>
      </c>
      <c r="CU59" s="21" t="str">
        <f t="shared" si="99"/>
        <v>With Al smelting mostly form coal</v>
      </c>
      <c r="CV59" s="21" t="str">
        <f t="shared" si="99"/>
        <v>With Al smelting mostly form coal</v>
      </c>
      <c r="CW59" s="21" t="str">
        <f t="shared" si="99"/>
        <v>With Al smelting mostly form coal</v>
      </c>
      <c r="CX59" s="21" t="str">
        <f t="shared" si="99"/>
        <v>With Al smelting mostly form coal</v>
      </c>
      <c r="CY59" s="21" t="str">
        <f t="shared" si="99"/>
        <v>With Al smelting mostly form coal</v>
      </c>
      <c r="CZ59" s="21" t="str">
        <f t="shared" si="99"/>
        <v>With Al smelting mostly form coal</v>
      </c>
      <c r="DA59" s="21" t="str">
        <f t="shared" si="99"/>
        <v>With Al smelting mostly form coal</v>
      </c>
      <c r="DB59" s="21" t="str">
        <f t="shared" si="99"/>
        <v>With Al smelting mostly form coal</v>
      </c>
      <c r="DC59" s="21" t="str">
        <f t="shared" si="99"/>
        <v>With Al smelting mostly form coal</v>
      </c>
      <c r="DD59" s="21" t="str">
        <f t="shared" si="99"/>
        <v>With Al smelting mostly form coal</v>
      </c>
      <c r="DE59" s="21" t="str">
        <f t="shared" si="99"/>
        <v>With Al smelting mostly form coal</v>
      </c>
      <c r="DF59" s="21" t="str">
        <f t="shared" si="99"/>
        <v>With Al smelting mostly form coal</v>
      </c>
      <c r="DH59" s="21" t="str">
        <f>DH5</f>
        <v>With Al smelting mostly form coal</v>
      </c>
      <c r="DI59" s="21" t="str">
        <f>DI5</f>
        <v>With Al smelting mostly form coal</v>
      </c>
      <c r="DJ59" s="21" t="str">
        <f>DJ5</f>
        <v>With Al smelting mostly form coal</v>
      </c>
      <c r="DK59" s="21" t="str">
        <f t="shared" ref="DK59:DP59" si="100">DK5</f>
        <v>With Al smelting mostly form coal</v>
      </c>
      <c r="DL59" s="21" t="str">
        <f t="shared" si="100"/>
        <v>With Al smelting mostly form coal</v>
      </c>
      <c r="DM59" s="21" t="str">
        <f>DM5</f>
        <v>With Al smelting mostly form coal</v>
      </c>
      <c r="DN59" s="21" t="str">
        <f t="shared" si="100"/>
        <v>With Al smelting mostly form coal</v>
      </c>
      <c r="DO59" s="21" t="str">
        <f t="shared" si="100"/>
        <v>With Al smelting mostly form coal</v>
      </c>
      <c r="DP59" s="21" t="str">
        <f t="shared" si="100"/>
        <v>With Al smelting mostly form coal</v>
      </c>
      <c r="DQ59" s="21" t="str">
        <f t="shared" ref="DQ59:DW59" si="101">DQ5</f>
        <v>With Al smelting mostly form coal</v>
      </c>
      <c r="DR59" s="21" t="str">
        <f t="shared" si="101"/>
        <v>With Al smelting mostly form coal</v>
      </c>
      <c r="DS59" s="21" t="str">
        <f t="shared" si="101"/>
        <v>With Al smelting mostly form coal</v>
      </c>
      <c r="DT59" s="21" t="str">
        <f t="shared" si="101"/>
        <v>With Al smelting mostly form coal</v>
      </c>
      <c r="DU59" s="21" t="str">
        <f t="shared" si="101"/>
        <v>With Al smelting mostly form coal</v>
      </c>
      <c r="DV59" s="21" t="str">
        <f t="shared" si="101"/>
        <v>With Al smelting mostly form coal</v>
      </c>
      <c r="DW59" s="21" t="str">
        <f t="shared" si="101"/>
        <v>With Al smelting mostly form coal</v>
      </c>
      <c r="DX59" s="21" t="str">
        <f t="shared" ref="DX59:EC59" si="102">DX5</f>
        <v>With Al smelting mostly form coal</v>
      </c>
      <c r="DY59" s="21" t="str">
        <f t="shared" si="102"/>
        <v>With Al smelting mostly form coal</v>
      </c>
      <c r="DZ59" s="21" t="str">
        <f t="shared" si="102"/>
        <v>With Al smelting mostly form coal</v>
      </c>
      <c r="EA59" s="21" t="str">
        <f t="shared" si="102"/>
        <v>With Al smelting mostly form coal</v>
      </c>
      <c r="EB59" s="21" t="str">
        <f t="shared" si="102"/>
        <v>With Al smelting mostly form coal</v>
      </c>
      <c r="EC59" s="21" t="str">
        <f t="shared" si="102"/>
        <v>With Al smelting mostly form coal</v>
      </c>
      <c r="ED59" s="21" t="str">
        <f>ED5</f>
        <v>With Al smelting mostly form coal</v>
      </c>
      <c r="EH59" s="21" t="s">
        <v>915</v>
      </c>
      <c r="EI59" s="21" t="s">
        <v>951</v>
      </c>
      <c r="EJ59" s="21" t="s">
        <v>950</v>
      </c>
    </row>
    <row r="60" spans="1:143" x14ac:dyDescent="0.3">
      <c r="A60" s="21" t="str">
        <f>A26</f>
        <v>Battery technology (Li-ion)</v>
      </c>
      <c r="D60" s="21" t="str">
        <f>IF(D26=0,"",D26)</f>
        <v>NMC111</v>
      </c>
      <c r="E60" s="21" t="str">
        <f t="shared" ref="E60:P60" si="103">IF(E26=0,"",E26)</f>
        <v>NMC111</v>
      </c>
      <c r="F60" s="21" t="str">
        <f t="shared" si="103"/>
        <v>NMC111</v>
      </c>
      <c r="G60" s="21" t="str">
        <f t="shared" si="103"/>
        <v>NMC111</v>
      </c>
      <c r="H60" s="21" t="str">
        <f t="shared" si="103"/>
        <v>NMC111</v>
      </c>
      <c r="I60" s="21" t="str">
        <f t="shared" ref="I60" si="104">IF(I26=0,"",I26)</f>
        <v>NMC111</v>
      </c>
      <c r="J60" s="21" t="str">
        <f t="shared" si="103"/>
        <v>NMC111</v>
      </c>
      <c r="K60" s="21" t="str">
        <f t="shared" si="103"/>
        <v>NMC111</v>
      </c>
      <c r="L60" s="21" t="str">
        <f t="shared" si="103"/>
        <v>NMC111</v>
      </c>
      <c r="M60" s="21" t="str">
        <f t="shared" si="103"/>
        <v>NMC111</v>
      </c>
      <c r="N60" s="21" t="str">
        <f t="shared" si="103"/>
        <v>NMC111</v>
      </c>
      <c r="O60" s="21" t="str">
        <f t="shared" si="103"/>
        <v>NMC111</v>
      </c>
      <c r="P60" s="21" t="str">
        <f t="shared" si="103"/>
        <v>NMC111</v>
      </c>
      <c r="Q60" s="21" t="str">
        <f t="shared" ref="Q60:V60" si="105">IF(Q26=0,"",Q26)</f>
        <v>NMC111</v>
      </c>
      <c r="R60" s="21" t="str">
        <f t="shared" si="105"/>
        <v>NMC111</v>
      </c>
      <c r="S60" s="21" t="str">
        <f t="shared" si="105"/>
        <v>NMC111</v>
      </c>
      <c r="T60" s="21" t="str">
        <f t="shared" si="105"/>
        <v>NMC111</v>
      </c>
      <c r="U60" s="21" t="str">
        <f t="shared" si="105"/>
        <v>NMC111</v>
      </c>
      <c r="V60" s="21" t="str">
        <f t="shared" si="105"/>
        <v>NMC111</v>
      </c>
      <c r="W60" s="21" t="str">
        <f t="shared" ref="W60:BT60" si="106">IF(W26=0,"",W26)</f>
        <v>NMC111</v>
      </c>
      <c r="X60" s="21" t="str">
        <f t="shared" ref="X60:Y60" si="107">IF(X26=0,"",X26)</f>
        <v>NMC111</v>
      </c>
      <c r="Y60" s="21" t="str">
        <f t="shared" si="107"/>
        <v>NMC111</v>
      </c>
      <c r="Z60" s="21" t="str">
        <f t="shared" si="106"/>
        <v>NMC111</v>
      </c>
      <c r="AA60" s="21" t="str">
        <f t="shared" ref="AA60" si="108">IF(AA26=0,"",AA26)</f>
        <v>NMC111</v>
      </c>
      <c r="AB60" s="21" t="str">
        <f t="shared" ref="AB60:AC60" si="109">IF(AB26=0,"",AB26)</f>
        <v>NMC111</v>
      </c>
      <c r="AC60" s="21" t="str">
        <f t="shared" si="109"/>
        <v>NMC111</v>
      </c>
      <c r="AD60" s="21" t="str">
        <f t="shared" ref="AD60" si="110">IF(AD26=0,"",AD26)</f>
        <v>NMC111</v>
      </c>
      <c r="AE60" s="21" t="str">
        <f t="shared" ref="AE60" si="111">IF(AE26=0,"",AE26)</f>
        <v>NMC111</v>
      </c>
      <c r="AF60" s="21" t="str">
        <f t="shared" si="106"/>
        <v>NMC111</v>
      </c>
      <c r="AG60" s="21" t="str">
        <f t="shared" si="106"/>
        <v/>
      </c>
      <c r="AH60" s="21" t="str">
        <f t="shared" si="106"/>
        <v>NMC111</v>
      </c>
      <c r="AI60" s="21" t="str">
        <f t="shared" si="106"/>
        <v/>
      </c>
      <c r="AJ60" s="21" t="str">
        <f t="shared" si="106"/>
        <v>NMC111</v>
      </c>
      <c r="AK60" s="21" t="str">
        <f t="shared" si="106"/>
        <v/>
      </c>
      <c r="AL60" s="21" t="str">
        <f t="shared" si="106"/>
        <v>NMC111</v>
      </c>
      <c r="AM60" s="21" t="str">
        <f t="shared" si="106"/>
        <v/>
      </c>
      <c r="AN60" s="21" t="str">
        <f t="shared" si="106"/>
        <v>NMC111</v>
      </c>
      <c r="AO60" s="21" t="str">
        <f t="shared" si="106"/>
        <v/>
      </c>
      <c r="AP60" s="21" t="str">
        <f t="shared" si="106"/>
        <v>NMC111</v>
      </c>
      <c r="AQ60" s="21" t="str">
        <f t="shared" si="106"/>
        <v>NMC111</v>
      </c>
      <c r="AR60" s="21" t="str">
        <f t="shared" si="106"/>
        <v>NMC111</v>
      </c>
      <c r="AS60" s="21" t="str">
        <f t="shared" si="106"/>
        <v>NMC111</v>
      </c>
      <c r="AT60" s="21" t="str">
        <f t="shared" si="106"/>
        <v>NMC111</v>
      </c>
      <c r="AU60" s="21" t="str">
        <f t="shared" si="106"/>
        <v>NMC111</v>
      </c>
      <c r="AV60" s="21" t="str">
        <f t="shared" si="106"/>
        <v>NMC111</v>
      </c>
      <c r="AW60" s="21" t="str">
        <f t="shared" si="106"/>
        <v>NMC111</v>
      </c>
      <c r="AX60" s="21" t="str">
        <f t="shared" si="106"/>
        <v>NMC111</v>
      </c>
      <c r="AY60" s="21" t="str">
        <f t="shared" si="106"/>
        <v>NMC111</v>
      </c>
      <c r="AZ60" s="21" t="str">
        <f t="shared" si="106"/>
        <v>NMC111</v>
      </c>
      <c r="BA60" s="21" t="str">
        <f t="shared" si="106"/>
        <v>NMC111</v>
      </c>
      <c r="BB60" s="21" t="str">
        <f t="shared" si="106"/>
        <v>NMC111</v>
      </c>
      <c r="BC60" s="21" t="str">
        <f t="shared" si="106"/>
        <v/>
      </c>
      <c r="BD60" s="21" t="str">
        <f t="shared" si="106"/>
        <v/>
      </c>
      <c r="BE60" s="21" t="str">
        <f t="shared" si="106"/>
        <v/>
      </c>
      <c r="BF60" s="21" t="str">
        <f t="shared" si="106"/>
        <v/>
      </c>
      <c r="BG60" s="21" t="str">
        <f t="shared" si="106"/>
        <v/>
      </c>
      <c r="BH60" s="21" t="str">
        <f t="shared" si="106"/>
        <v/>
      </c>
      <c r="BI60" s="21" t="str">
        <f t="shared" si="106"/>
        <v/>
      </c>
      <c r="BJ60" s="21" t="str">
        <f t="shared" si="106"/>
        <v>NMC111</v>
      </c>
      <c r="BK60" s="21" t="str">
        <f t="shared" si="106"/>
        <v>NMC111</v>
      </c>
      <c r="BL60" s="21" t="str">
        <f t="shared" si="106"/>
        <v>NMC111</v>
      </c>
      <c r="BM60" s="21" t="str">
        <f t="shared" si="106"/>
        <v>NMC111</v>
      </c>
      <c r="BN60" s="21" t="str">
        <f t="shared" si="106"/>
        <v>NMC111</v>
      </c>
      <c r="BO60" s="21" t="str">
        <f t="shared" si="106"/>
        <v>NMC111</v>
      </c>
      <c r="BP60" s="21" t="str">
        <f t="shared" si="106"/>
        <v>NMC111</v>
      </c>
      <c r="BQ60" s="21" t="str">
        <f t="shared" si="106"/>
        <v>NMC111</v>
      </c>
      <c r="BR60" s="21" t="str">
        <f t="shared" si="106"/>
        <v>NMC111</v>
      </c>
      <c r="BS60" s="21" t="str">
        <f t="shared" si="106"/>
        <v>NMC111</v>
      </c>
      <c r="BT60" s="21" t="str">
        <f t="shared" si="106"/>
        <v>NMC111</v>
      </c>
      <c r="BU60" s="21" t="str">
        <f t="shared" ref="BU60:CC60" si="112">IF(BU26=0,"",BU26)</f>
        <v>NMC111</v>
      </c>
      <c r="BV60" s="21" t="str">
        <f t="shared" si="112"/>
        <v>NMC111</v>
      </c>
      <c r="BW60" s="21" t="str">
        <f t="shared" si="112"/>
        <v>NMC111</v>
      </c>
      <c r="BX60" s="21" t="str">
        <f t="shared" si="112"/>
        <v>NMC111</v>
      </c>
      <c r="BY60" s="21" t="str">
        <f t="shared" si="112"/>
        <v>NMC111</v>
      </c>
      <c r="BZ60" s="21" t="str">
        <f t="shared" si="112"/>
        <v>NMC111</v>
      </c>
      <c r="CA60" s="21" t="str">
        <f t="shared" si="112"/>
        <v>NMC111</v>
      </c>
      <c r="CB60" s="21" t="str">
        <f t="shared" si="112"/>
        <v>NMC111</v>
      </c>
      <c r="CC60" s="21" t="str">
        <f t="shared" si="112"/>
        <v>NMC111</v>
      </c>
      <c r="CD60" s="21" t="str">
        <f t="shared" ref="CD60:DF60" si="113">IF(CD26=0,"",CD26)</f>
        <v>NMC111</v>
      </c>
      <c r="CE60" s="21" t="str">
        <f t="shared" si="113"/>
        <v>NMC111</v>
      </c>
      <c r="CF60" s="21" t="str">
        <f t="shared" si="113"/>
        <v>NMC111</v>
      </c>
      <c r="CG60" s="21" t="str">
        <f t="shared" si="113"/>
        <v>NMC111</v>
      </c>
      <c r="CH60" s="21" t="str">
        <f t="shared" si="113"/>
        <v/>
      </c>
      <c r="CI60" s="21" t="str">
        <f t="shared" si="113"/>
        <v>NMC111</v>
      </c>
      <c r="CJ60" s="21" t="str">
        <f t="shared" si="113"/>
        <v>NMC111</v>
      </c>
      <c r="CK60" s="21" t="str">
        <f t="shared" si="113"/>
        <v>NMC111</v>
      </c>
      <c r="CL60" s="21" t="str">
        <f t="shared" si="113"/>
        <v>NMC111</v>
      </c>
      <c r="CM60" s="21" t="str">
        <f t="shared" si="113"/>
        <v>NMC111</v>
      </c>
      <c r="CN60" s="21" t="str">
        <f t="shared" si="113"/>
        <v/>
      </c>
      <c r="CO60" s="21" t="str">
        <f t="shared" si="113"/>
        <v>NMC111</v>
      </c>
      <c r="CP60" s="21" t="str">
        <f t="shared" si="113"/>
        <v>NMC111</v>
      </c>
      <c r="CQ60" s="21" t="str">
        <f t="shared" si="113"/>
        <v>NMC111</v>
      </c>
      <c r="CR60" s="21" t="str">
        <f t="shared" si="113"/>
        <v>NMC111</v>
      </c>
      <c r="CS60" s="21" t="str">
        <f t="shared" si="113"/>
        <v/>
      </c>
      <c r="CT60" s="21" t="str">
        <f t="shared" si="113"/>
        <v>NMC111</v>
      </c>
      <c r="CU60" s="21" t="str">
        <f t="shared" si="113"/>
        <v>NMC111</v>
      </c>
      <c r="CV60" s="21" t="str">
        <f t="shared" si="113"/>
        <v>NMC111</v>
      </c>
      <c r="CW60" s="21" t="str">
        <f t="shared" si="113"/>
        <v>NMC111</v>
      </c>
      <c r="CX60" s="21" t="str">
        <f t="shared" si="113"/>
        <v>NMC111</v>
      </c>
      <c r="CY60" s="21" t="str">
        <f t="shared" si="113"/>
        <v/>
      </c>
      <c r="CZ60" s="21" t="str">
        <f t="shared" si="113"/>
        <v>NMC111</v>
      </c>
      <c r="DA60" s="21" t="str">
        <f t="shared" si="113"/>
        <v>NMC111</v>
      </c>
      <c r="DB60" s="21" t="str">
        <f t="shared" si="113"/>
        <v>NMC111</v>
      </c>
      <c r="DC60" s="21" t="str">
        <f t="shared" si="113"/>
        <v>NMC111</v>
      </c>
      <c r="DD60" s="21" t="str">
        <f t="shared" si="113"/>
        <v>NMC111</v>
      </c>
      <c r="DE60" s="21" t="str">
        <f t="shared" si="113"/>
        <v/>
      </c>
      <c r="DF60" s="21" t="str">
        <f t="shared" si="113"/>
        <v>NMC111</v>
      </c>
      <c r="DH60" s="21" t="str">
        <f>IF(DH26=0,"",DH26)</f>
        <v>NMC111</v>
      </c>
      <c r="DI60" s="21" t="str">
        <f>IF(DI26=0,"",DI26)</f>
        <v>NMC111</v>
      </c>
      <c r="DJ60" s="21" t="str">
        <f>IF(DJ26=0,"",DJ26)</f>
        <v>NMC111</v>
      </c>
      <c r="DK60" s="21" t="str">
        <f t="shared" ref="DK60:DP60" si="114">IF(DK26=0,"",DK26)</f>
        <v/>
      </c>
      <c r="DL60" s="21" t="str">
        <f t="shared" si="114"/>
        <v/>
      </c>
      <c r="DM60" s="21" t="str">
        <f>IF(DM26=0,"",DM26)</f>
        <v/>
      </c>
      <c r="DN60" s="21" t="str">
        <f t="shared" si="114"/>
        <v/>
      </c>
      <c r="DO60" s="21" t="str">
        <f t="shared" si="114"/>
        <v/>
      </c>
      <c r="DP60" s="21" t="str">
        <f t="shared" si="114"/>
        <v/>
      </c>
      <c r="DQ60" s="21" t="str">
        <f t="shared" ref="DQ60:DW60" si="115">IF(DQ26=0,"",DQ26)</f>
        <v/>
      </c>
      <c r="DR60" s="21" t="str">
        <f t="shared" si="115"/>
        <v>LFP: solid state</v>
      </c>
      <c r="DS60" s="21" t="str">
        <f t="shared" si="115"/>
        <v>LFP: solid state</v>
      </c>
      <c r="DT60" s="21" t="str">
        <f t="shared" si="115"/>
        <v>LFP: solid state</v>
      </c>
      <c r="DU60" s="21" t="str">
        <f t="shared" si="115"/>
        <v>LFP: solid state</v>
      </c>
      <c r="DV60" s="21" t="str">
        <f t="shared" si="115"/>
        <v>LFP: solid state</v>
      </c>
      <c r="DW60" s="21" t="str">
        <f t="shared" si="115"/>
        <v>LFP: solid state</v>
      </c>
      <c r="DX60" s="21" t="str">
        <f t="shared" ref="DX60:EC60" si="116">IF(DX26=0,"",DX26)</f>
        <v/>
      </c>
      <c r="DY60" s="21" t="str">
        <f t="shared" si="116"/>
        <v/>
      </c>
      <c r="DZ60" s="21" t="str">
        <f t="shared" si="116"/>
        <v/>
      </c>
      <c r="EA60" s="21" t="str">
        <f t="shared" si="116"/>
        <v/>
      </c>
      <c r="EB60" s="21" t="str">
        <f t="shared" si="116"/>
        <v/>
      </c>
      <c r="EC60" s="21" t="str">
        <f t="shared" si="116"/>
        <v/>
      </c>
      <c r="ED60" s="21" t="str">
        <f>IF(ED26=0,"",ED26)</f>
        <v/>
      </c>
      <c r="EH60" s="21" t="str">
        <f>A62</f>
        <v xml:space="preserve">   Assembly</v>
      </c>
      <c r="EI60" s="69">
        <f>('[7]Battery Assembly'!$F56*Convert!$G$9)</f>
        <v>216.21914712700408</v>
      </c>
      <c r="EJ60" s="69">
        <f>('[5]Battery Assembly'!$F56*Convert!$G$9)</f>
        <v>216.21914712700408</v>
      </c>
    </row>
    <row r="61" spans="1:143" x14ac:dyDescent="0.3">
      <c r="A61" s="21" t="str">
        <f>A79</f>
        <v xml:space="preserve">   Manufacturing</v>
      </c>
      <c r="D61" s="164">
        <f ca="1">IFERROR(OFFSET($EJ$67,MATCH(D$5,$EI$67:$EI$68,0)-1,MATCH(D$26,$EJ$66:$ER$66,0)-1,1,1),0)*Convert!$G$9/[5]Battery_Sum!$C$22</f>
        <v>1040.1702319621038</v>
      </c>
      <c r="E61" s="164">
        <f ca="1">IFERROR(OFFSET($EJ$67,MATCH(E$5,$EI$67:$EI$68,0)-1,MATCH(E$26,$EJ$66:$ER$66,0)-1,1,1),0)*Convert!$G$9/[5]Battery_Sum!$C$22</f>
        <v>1040.1702319621038</v>
      </c>
      <c r="F61" s="164">
        <f ca="1">IFERROR(OFFSET($EJ$67,MATCH(F$5,$EI$67:$EI$68,0)-1,MATCH(F$26,$EJ$66:$ER$66,0)-1,1,1),0)*Convert!$G$9/[5]Battery_Sum!$C$22</f>
        <v>921.8235605842807</v>
      </c>
      <c r="G61" s="164">
        <f ca="1">IFERROR(OFFSET($EJ$67,MATCH(G$5,$EI$67:$EI$68,0)-1,MATCH(G$26,$EJ$66:$ER$66,0)-1,1,1),0)*Convert!$G$9/[5]Battery_Sum!$C$22</f>
        <v>1040.1702319621038</v>
      </c>
      <c r="H61" s="164">
        <f ca="1">IFERROR(OFFSET($EJ$67,MATCH(H$5,$EI$67:$EI$68,0)-1,MATCH(H$26,$EJ$66:$ER$66,0)-1,1,1),0)*Convert!$G$9/[5]Battery_Sum!$C$22</f>
        <v>1040.1702319621038</v>
      </c>
      <c r="I61" s="164">
        <f ca="1">IFERROR(OFFSET($EJ$67,MATCH(I$5,$EI$67:$EI$68,0)-1,MATCH(I$26,$EJ$66:$ER$66,0)-1,1,1),0)*Convert!$G$9/[5]Battery_Sum!$C$22</f>
        <v>1040.1702319621038</v>
      </c>
      <c r="J61" s="164">
        <f ca="1">IFERROR(OFFSET($EJ$67,MATCH(J$5,$EI$67:$EI$68,0)-1,MATCH(J$26,$EJ$66:$ER$66,0)-1,1,1),0)*Convert!$G$9/[5]Battery_Sum!$C$22</f>
        <v>1040.1702319621038</v>
      </c>
      <c r="K61" s="164">
        <f ca="1">IFERROR(OFFSET($EJ$67,MATCH(K$5,$EI$67:$EI$68,0)-1,MATCH(K$26,$EJ$66:$ER$66,0)-1,1,1),0)*Convert!$G$9/[5]Battery_Sum!$C$22</f>
        <v>1040.1702319621038</v>
      </c>
      <c r="L61" s="164">
        <f ca="1">IFERROR(OFFSET($EJ$67,MATCH(L$5,$EI$67:$EI$68,0)-1,MATCH(L$26,$EJ$66:$ER$66,0)-1,1,1),0)*Convert!$G$9/[5]Battery_Sum!$C$22</f>
        <v>1040.1702319621038</v>
      </c>
      <c r="M61" s="164">
        <f ca="1">IFERROR(OFFSET($EJ$67,MATCH(M$5,$EI$67:$EI$68,0)-1,MATCH(M$26,$EJ$66:$ER$66,0)-1,1,1),0)*Convert!$G$9/[5]Battery_Sum!$C$22</f>
        <v>1040.1702319621038</v>
      </c>
      <c r="N61" s="164">
        <f ca="1">IFERROR(OFFSET($EJ$67,MATCH(N$5,$EI$67:$EI$68,0)-1,MATCH(N$26,$EJ$66:$ER$66,0)-1,1,1),0)*Convert!$G$9/[5]Battery_Sum!$C$22</f>
        <v>1040.1702319621038</v>
      </c>
      <c r="O61" s="164">
        <f ca="1">IFERROR(OFFSET($EJ$67,MATCH(O$5,$EI$67:$EI$68,0)-1,MATCH(O$26,$EJ$66:$ER$66,0)-1,1,1),0)*Convert!$G$9/[5]Battery_Sum!$C$22</f>
        <v>1040.1702319621038</v>
      </c>
      <c r="P61" s="164">
        <f ca="1">IFERROR(OFFSET($EJ$67,MATCH(P$5,$EI$67:$EI$68,0)-1,MATCH(P$26,$EJ$66:$ER$66,0)-1,1,1),0)*Convert!$G$9/[5]Battery_Sum!$C$22</f>
        <v>1040.1702319621038</v>
      </c>
      <c r="Q61" s="164">
        <f ca="1">IFERROR(OFFSET($EJ$67,MATCH(Q$5,$EI$67:$EI$68,0)-1,MATCH(Q$26,$EJ$66:$ER$66,0)-1,1,1),0)*Convert!$G$9/[5]Battery_Sum!$C$22</f>
        <v>1040.1702319621038</v>
      </c>
      <c r="R61" s="164">
        <f ca="1">IFERROR(OFFSET($EJ$67,MATCH(R$5,$EI$67:$EI$68,0)-1,MATCH(R$26,$EJ$66:$ER$66,0)-1,1,1),0)*Convert!$G$9/[5]Battery_Sum!$C$22</f>
        <v>1040.1702319621038</v>
      </c>
      <c r="S61" s="164">
        <f ca="1">IFERROR(OFFSET($EJ$67,MATCH(S$5,$EI$67:$EI$68,0)-1,MATCH(S$26,$EJ$66:$ER$66,0)-1,1,1),0)*Convert!$G$9/[5]Battery_Sum!$C$22</f>
        <v>1040.1702319621038</v>
      </c>
      <c r="T61" s="164">
        <f ca="1">IFERROR(OFFSET($EJ$67,MATCH(T$5,$EI$67:$EI$68,0)-1,MATCH(T$26,$EJ$66:$ER$66,0)-1,1,1),0)*Convert!$G$9/[5]Battery_Sum!$C$22</f>
        <v>921.8235605842807</v>
      </c>
      <c r="U61" s="164">
        <f ca="1">IFERROR(OFFSET($EJ$67,MATCH(U$5,$EI$67:$EI$68,0)-1,MATCH(U$26,$EJ$66:$ER$66,0)-1,1,1),0)*Convert!$G$9/[5]Battery_Sum!$C$22</f>
        <v>1040.1702319621038</v>
      </c>
      <c r="V61" s="164">
        <f ca="1">IFERROR(OFFSET($EJ$67,MATCH(V$5,$EI$67:$EI$68,0)-1,MATCH(V$26,$EJ$66:$ER$66,0)-1,1,1),0)*Convert!$G$9/[5]Battery_Sum!$C$22</f>
        <v>1040.1702319621038</v>
      </c>
      <c r="W61" s="164">
        <f ca="1">IFERROR(OFFSET($EJ$67,MATCH(W$5,$EI$67:$EI$68,0)-1,MATCH(W$26,$EJ$66:$ER$66,0)-1,1,1),0)*Convert!$G$9/[5]Battery_Sum!$C$22</f>
        <v>1040.1702319621038</v>
      </c>
      <c r="X61" s="164">
        <f ca="1">IFERROR(OFFSET($EJ$67,MATCH(X$5,$EI$67:$EI$68,0)-1,MATCH(X$26,$EJ$66:$ER$66,0)-1,1,1),0)*Convert!$G$9/[5]Battery_Sum!$C$22</f>
        <v>921.8235605842807</v>
      </c>
      <c r="Y61" s="164">
        <f ca="1">IFERROR(OFFSET($EJ$67,MATCH(Y$5,$EI$67:$EI$68,0)-1,MATCH(Y$26,$EJ$66:$ER$66,0)-1,1,1),0)*Convert!$G$9/[5]Battery_Sum!$C$22</f>
        <v>1040.1702319621038</v>
      </c>
      <c r="Z61" s="164">
        <f ca="1">IFERROR(OFFSET($EJ$67,MATCH(Z$5,$EI$67:$EI$68,0)-1,MATCH(Z$26,$EJ$66:$ER$66,0)-1,1,1),0)*Convert!$G$9/[5]Battery_Sum!$C$22</f>
        <v>1040.1702319621038</v>
      </c>
      <c r="AA61" s="164">
        <f ca="1">IFERROR(OFFSET($EJ$67,MATCH(AA$5,$EI$67:$EI$68,0)-1,MATCH(AA$26,$EJ$66:$ER$66,0)-1,1,1),0)*Convert!$G$9/[5]Battery_Sum!$C$22</f>
        <v>1040.1702319621038</v>
      </c>
      <c r="AB61" s="164">
        <f ca="1">IFERROR(OFFSET($EJ$67,MATCH(AB$5,$EI$67:$EI$68,0)-1,MATCH(AB$26,$EJ$66:$ER$66,0)-1,1,1),0)*Convert!$G$9/[5]Battery_Sum!$C$22</f>
        <v>921.8235605842807</v>
      </c>
      <c r="AC61" s="164">
        <f ca="1">IFERROR(OFFSET($EJ$67,MATCH(AC$5,$EI$67:$EI$68,0)-1,MATCH(AC$26,$EJ$66:$ER$66,0)-1,1,1),0)*Convert!$G$9/[5]Battery_Sum!$C$22</f>
        <v>1040.1702319621038</v>
      </c>
      <c r="AD61" s="164">
        <f ca="1">IFERROR(OFFSET($EJ$67,MATCH(AD$5,$EI$67:$EI$68,0)-1,MATCH(AD$26,$EJ$66:$ER$66,0)-1,1,1),0)*Convert!$G$9/[5]Battery_Sum!$C$22</f>
        <v>1040.1702319621038</v>
      </c>
      <c r="AE61" s="164">
        <f ca="1">IFERROR(OFFSET($EJ$67,MATCH(AE$5,$EI$67:$EI$68,0)-1,MATCH(AE$26,$EJ$66:$ER$66,0)-1,1,1),0)*Convert!$G$9/[5]Battery_Sum!$C$22</f>
        <v>1040.1702319621038</v>
      </c>
      <c r="AF61" s="164">
        <f ca="1">IFERROR(OFFSET($EJ$67,MATCH(AF$5,$EI$67:$EI$68,0)-1,MATCH(AF$26,$EJ$66:$ER$66,0)-1,1,1),0)*Convert!$G$9/[5]Battery_Sum!$C$22</f>
        <v>1040.1702319621038</v>
      </c>
      <c r="AG61" s="164">
        <f ca="1">IFERROR(OFFSET($EJ$67,MATCH(AG$5,$EI$67:$EI$68,0)-1,MATCH(AG$26,$EJ$66:$ER$66,0)-1,1,1),0)*Convert!$G$9/[5]Battery_Sum!$C$22</f>
        <v>0</v>
      </c>
      <c r="AH61" s="164">
        <f ca="1">IFERROR(OFFSET($EJ$67,MATCH(AH$5,$EI$67:$EI$68,0)-1,MATCH(AH$26,$EJ$66:$ER$66,0)-1,1,1),0)*Convert!$G$9/[5]Battery_Sum!$C$22</f>
        <v>1040.1702319621038</v>
      </c>
      <c r="AI61" s="164">
        <f ca="1">IFERROR(OFFSET($EJ$67,MATCH(AI$5,$EI$67:$EI$68,0)-1,MATCH(AI$26,$EJ$66:$ER$66,0)-1,1,1),0)*Convert!$G$9/[5]Battery_Sum!$C$22</f>
        <v>0</v>
      </c>
      <c r="AJ61" s="164">
        <f ca="1">IFERROR(OFFSET($EJ$67,MATCH(AJ$5,$EI$67:$EI$68,0)-1,MATCH(AJ$26,$EJ$66:$ER$66,0)-1,1,1),0)*Convert!$G$9/[5]Battery_Sum!$C$22</f>
        <v>1040.1702319621038</v>
      </c>
      <c r="AK61" s="164">
        <f ca="1">IFERROR(OFFSET($EJ$67,MATCH(AK$5,$EI$67:$EI$68,0)-1,MATCH(AK$26,$EJ$66:$ER$66,0)-1,1,1),0)*Convert!$G$9/[5]Battery_Sum!$C$22</f>
        <v>0</v>
      </c>
      <c r="AL61" s="164">
        <f ca="1">IFERROR(OFFSET($EJ$67,MATCH(AL$5,$EI$67:$EI$68,0)-1,MATCH(AL$26,$EJ$66:$ER$66,0)-1,1,1),0)*Convert!$G$9/[5]Battery_Sum!$C$22</f>
        <v>1040.1702319621038</v>
      </c>
      <c r="AM61" s="164">
        <f ca="1">IFERROR(OFFSET($EJ$67,MATCH(AM$5,$EI$67:$EI$68,0)-1,MATCH(AM$26,$EJ$66:$ER$66,0)-1,1,1),0)*Convert!$G$9/[5]Battery_Sum!$C$22</f>
        <v>0</v>
      </c>
      <c r="AN61" s="164">
        <f ca="1">IFERROR(OFFSET($EJ$67,MATCH(AN$5,$EI$67:$EI$68,0)-1,MATCH(AN$26,$EJ$66:$ER$66,0)-1,1,1),0)*Convert!$G$9/[5]Battery_Sum!$C$22</f>
        <v>1040.1702319621038</v>
      </c>
      <c r="AO61" s="164">
        <f ca="1">IFERROR(OFFSET($EJ$67,MATCH(AO$5,$EI$67:$EI$68,0)-1,MATCH(AO$26,$EJ$66:$ER$66,0)-1,1,1),0)*Convert!$G$9/[5]Battery_Sum!$C$22</f>
        <v>0</v>
      </c>
      <c r="AP61" s="164">
        <f ca="1">IFERROR(OFFSET($EJ$67,MATCH(AP$5,$EI$67:$EI$68,0)-1,MATCH(AP$26,$EJ$66:$ER$66,0)-1,1,1),0)*Convert!$G$9/[5]Battery_Sum!$C$22</f>
        <v>1040.1702319621038</v>
      </c>
      <c r="AQ61" s="164">
        <f ca="1">IFERROR(OFFSET($EJ$67,MATCH(AQ$5,$EI$67:$EI$68,0)-1,MATCH(AQ$26,$EJ$66:$ER$66,0)-1,1,1),0)*Convert!$G$9/[5]Battery_Sum!$C$22</f>
        <v>1040.1702319621038</v>
      </c>
      <c r="AR61" s="164">
        <f ca="1">IFERROR(OFFSET($EJ$67,MATCH(AR$5,$EI$67:$EI$68,0)-1,MATCH(AR$26,$EJ$66:$ER$66,0)-1,1,1),0)*Convert!$G$9/[5]Battery_Sum!$C$22</f>
        <v>1040.1702319621038</v>
      </c>
      <c r="AS61" s="164">
        <f ca="1">IFERROR(OFFSET($EJ$67,MATCH(AS$5,$EI$67:$EI$68,0)-1,MATCH(AS$26,$EJ$66:$ER$66,0)-1,1,1),0)*Convert!$G$9/[5]Battery_Sum!$C$22</f>
        <v>1040.1702319621038</v>
      </c>
      <c r="AT61" s="164">
        <f ca="1">IFERROR(OFFSET($EJ$67,MATCH(AT$5,$EI$67:$EI$68,0)-1,MATCH(AT$26,$EJ$66:$ER$66,0)-1,1,1),0)*Convert!$G$9/[5]Battery_Sum!$C$22</f>
        <v>1040.1702319621038</v>
      </c>
      <c r="AU61" s="164">
        <f ca="1">IFERROR(OFFSET($EJ$67,MATCH(AU$5,$EI$67:$EI$68,0)-1,MATCH(AU$26,$EJ$66:$ER$66,0)-1,1,1),0)*Convert!$G$9/[5]Battery_Sum!$C$22</f>
        <v>921.8235605842807</v>
      </c>
      <c r="AV61" s="164">
        <f ca="1">IFERROR(OFFSET($EJ$67,MATCH(AV$5,$EI$67:$EI$68,0)-1,MATCH(AV$26,$EJ$66:$ER$66,0)-1,1,1),0)*Convert!$G$9/[5]Battery_Sum!$C$22</f>
        <v>1040.1702319621038</v>
      </c>
      <c r="AW61" s="164">
        <f ca="1">IFERROR(OFFSET($EJ$67,MATCH(AW$5,$EI$67:$EI$68,0)-1,MATCH(AW$26,$EJ$66:$ER$66,0)-1,1,1),0)*Convert!$G$9/[5]Battery_Sum!$C$22</f>
        <v>1040.1702319621038</v>
      </c>
      <c r="AX61" s="164">
        <f ca="1">IFERROR(OFFSET($EJ$67,MATCH(AX$5,$EI$67:$EI$68,0)-1,MATCH(AX$26,$EJ$66:$ER$66,0)-1,1,1),0)*Convert!$G$9/[5]Battery_Sum!$C$22</f>
        <v>1040.1702319621038</v>
      </c>
      <c r="AY61" s="164">
        <f ca="1">IFERROR(OFFSET($EJ$67,MATCH(AY$5,$EI$67:$EI$68,0)-1,MATCH(AY$26,$EJ$66:$ER$66,0)-1,1,1),0)*Convert!$G$9/[5]Battery_Sum!$C$22</f>
        <v>1040.1702319621038</v>
      </c>
      <c r="AZ61" s="164">
        <f ca="1">IFERROR(OFFSET($EJ$67,MATCH(AZ$5,$EI$67:$EI$68,0)-1,MATCH(AZ$26,$EJ$66:$ER$66,0)-1,1,1),0)*Convert!$G$9/[5]Battery_Sum!$C$22</f>
        <v>1040.1702319621038</v>
      </c>
      <c r="BA61" s="164">
        <f ca="1">IFERROR(OFFSET($EJ$67,MATCH(BA$5,$EI$67:$EI$68,0)-1,MATCH(BA$26,$EJ$66:$ER$66,0)-1,1,1),0)*Convert!$G$9/[5]Battery_Sum!$C$22</f>
        <v>1040.1702319621038</v>
      </c>
      <c r="BB61" s="164">
        <f ca="1">IFERROR(OFFSET($EJ$67,MATCH(BB$5,$EI$67:$EI$68,0)-1,MATCH(BB$26,$EJ$66:$ER$66,0)-1,1,1),0)*Convert!$G$9/[5]Battery_Sum!$C$22</f>
        <v>1040.1702319621038</v>
      </c>
      <c r="BC61" s="164">
        <f ca="1">IFERROR(OFFSET($EJ$67,MATCH(BC$5,$EI$67:$EI$68,0)-1,MATCH(BC$26,$EJ$66:$ER$66,0)-1,1,1),0)*Convert!$G$9/[5]Battery_Sum!$C$22</f>
        <v>0</v>
      </c>
      <c r="BD61" s="164">
        <f ca="1">IFERROR(OFFSET($EJ$67,MATCH(BD$5,$EI$67:$EI$68,0)-1,MATCH(BD$26,$EJ$66:$ER$66,0)-1,1,1),0)*Convert!$G$9/[5]Battery_Sum!$C$22</f>
        <v>0</v>
      </c>
      <c r="BE61" s="164">
        <f ca="1">IFERROR(OFFSET($EJ$67,MATCH(BE$5,$EI$67:$EI$68,0)-1,MATCH(BE$26,$EJ$66:$ER$66,0)-1,1,1),0)*Convert!$G$9/[5]Battery_Sum!$C$22</f>
        <v>0</v>
      </c>
      <c r="BF61" s="164">
        <f ca="1">IFERROR(OFFSET($EJ$67,MATCH(BF$5,$EI$67:$EI$68,0)-1,MATCH(BF$26,$EJ$66:$ER$66,0)-1,1,1),0)*Convert!$G$9/[5]Battery_Sum!$C$22</f>
        <v>0</v>
      </c>
      <c r="BG61" s="164">
        <f ca="1">IFERROR(OFFSET($EJ$67,MATCH(BG$5,$EI$67:$EI$68,0)-1,MATCH(BG$26,$EJ$66:$ER$66,0)-1,1,1),0)*Convert!$G$9/[5]Battery_Sum!$C$22</f>
        <v>0</v>
      </c>
      <c r="BH61" s="164">
        <f ca="1">IFERROR(OFFSET($EJ$67,MATCH(BH$5,$EI$67:$EI$68,0)-1,MATCH(BH$26,$EJ$66:$ER$66,0)-1,1,1),0)*Convert!$G$9/[5]Battery_Sum!$C$22</f>
        <v>0</v>
      </c>
      <c r="BI61" s="164">
        <f ca="1">IFERROR(OFFSET($EJ$67,MATCH(BI$5,$EI$67:$EI$68,0)-1,MATCH(BI$26,$EJ$66:$ER$66,0)-1,1,1),0)*Convert!$G$9/[5]Battery_Sum!$C$22</f>
        <v>0</v>
      </c>
      <c r="BJ61" s="164">
        <f ca="1">IFERROR(OFFSET($EJ$67,MATCH(BJ$5,$EI$67:$EI$68,0)-1,MATCH(BJ$26,$EJ$66:$ER$66,0)-1,1,1),0)*Convert!$G$9/[5]Battery_Sum!$C$22</f>
        <v>1040.1702319621038</v>
      </c>
      <c r="BK61" s="164">
        <f ca="1">IFERROR(OFFSET($EJ$67,MATCH(BK$5,$EI$67:$EI$68,0)-1,MATCH(BK$26,$EJ$66:$ER$66,0)-1,1,1),0)*Convert!$G$9/[5]Battery_Sum!$C$22</f>
        <v>1040.1702319621038</v>
      </c>
      <c r="BL61" s="164">
        <f ca="1">IFERROR(OFFSET($EJ$67,MATCH(BL$5,$EI$67:$EI$68,0)-1,MATCH(BL$26,$EJ$66:$ER$66,0)-1,1,1),0)*Convert!$G$9/[5]Battery_Sum!$C$22</f>
        <v>1040.1702319621038</v>
      </c>
      <c r="BM61" s="164">
        <f ca="1">IFERROR(OFFSET($EJ$67,MATCH(BM$5,$EI$67:$EI$68,0)-1,MATCH(BM$26,$EJ$66:$ER$66,0)-1,1,1),0)*Convert!$G$9/[5]Battery_Sum!$C$22</f>
        <v>1040.1702319621038</v>
      </c>
      <c r="BN61" s="164">
        <f ca="1">IFERROR(OFFSET($EJ$67,MATCH(BN$5,$EI$67:$EI$68,0)-1,MATCH(BN$26,$EJ$66:$ER$66,0)-1,1,1),0)*Convert!$G$9/[5]Battery_Sum!$C$22</f>
        <v>1040.1702319621038</v>
      </c>
      <c r="BO61" s="164">
        <f ca="1">IFERROR(OFFSET($EJ$67,MATCH(BO$5,$EI$67:$EI$68,0)-1,MATCH(BO$26,$EJ$66:$ER$66,0)-1,1,1),0)*Convert!$G$9/[5]Battery_Sum!$C$22</f>
        <v>1040.1702319621038</v>
      </c>
      <c r="BP61" s="164">
        <f ca="1">IFERROR(OFFSET($EJ$67,MATCH(BP$5,$EI$67:$EI$68,0)-1,MATCH(BP$26,$EJ$66:$ER$66,0)-1,1,1),0)*Convert!$G$9/[5]Battery_Sum!$C$22</f>
        <v>1040.1702319621038</v>
      </c>
      <c r="BQ61" s="164">
        <f ca="1">IFERROR(OFFSET($EJ$67,MATCH(BQ$5,$EI$67:$EI$68,0)-1,MATCH(BQ$26,$EJ$66:$ER$66,0)-1,1,1),0)*Convert!$G$9/[5]Battery_Sum!$C$22</f>
        <v>921.8235605842807</v>
      </c>
      <c r="BR61" s="164">
        <f ca="1">IFERROR(OFFSET($EJ$67,MATCH(BR$5,$EI$67:$EI$68,0)-1,MATCH(BR$26,$EJ$66:$ER$66,0)-1,1,1),0)*Convert!$G$9/[5]Battery_Sum!$C$22</f>
        <v>1040.1702319621038</v>
      </c>
      <c r="BS61" s="164">
        <f ca="1">IFERROR(OFFSET($EJ$67,MATCH(BS$5,$EI$67:$EI$68,0)-1,MATCH(BS$26,$EJ$66:$ER$66,0)-1,1,1),0)*Convert!$G$9/[5]Battery_Sum!$C$22</f>
        <v>1040.1702319621038</v>
      </c>
      <c r="BT61" s="164">
        <f ca="1">IFERROR(OFFSET($EJ$67,MATCH(BT$5,$EI$67:$EI$68,0)-1,MATCH(BT$26,$EJ$66:$ER$66,0)-1,1,1),0)*Convert!$G$9/[5]Battery_Sum!$C$22</f>
        <v>1040.1702319621038</v>
      </c>
      <c r="BU61" s="164">
        <f ca="1">IFERROR(OFFSET($EJ$67,MATCH(BU$5,$EI$67:$EI$68,0)-1,MATCH(BU$26,$EJ$66:$ER$66,0)-1,1,1),0)*Convert!$G$9/[5]Battery_Sum!$C$22</f>
        <v>1040.1702319621038</v>
      </c>
      <c r="BV61" s="164">
        <f ca="1">IFERROR(OFFSET($EJ$67,MATCH(BV$5,$EI$67:$EI$68,0)-1,MATCH(BV$26,$EJ$66:$ER$66,0)-1,1,1),0)*Convert!$G$9/[5]Battery_Sum!$C$22</f>
        <v>1040.1702319621038</v>
      </c>
      <c r="BW61" s="164">
        <f ca="1">IFERROR(OFFSET($EJ$67,MATCH(BW$5,$EI$67:$EI$68,0)-1,MATCH(BW$26,$EJ$66:$ER$66,0)-1,1,1),0)*Convert!$G$9/[5]Battery_Sum!$C$22</f>
        <v>1040.1702319621038</v>
      </c>
      <c r="BX61" s="164">
        <f ca="1">IFERROR(OFFSET($EJ$67,MATCH(BX$5,$EI$67:$EI$68,0)-1,MATCH(BX$26,$EJ$66:$ER$66,0)-1,1,1),0)*Convert!$G$9/[5]Battery_Sum!$C$22</f>
        <v>1040.1702319621038</v>
      </c>
      <c r="BY61" s="164">
        <f ca="1">IFERROR(OFFSET($EJ$67,MATCH(BY$5,$EI$67:$EI$68,0)-1,MATCH(BY$26,$EJ$66:$ER$66,0)-1,1,1),0)*Convert!$G$9/[5]Battery_Sum!$C$22</f>
        <v>1040.1702319621038</v>
      </c>
      <c r="BZ61" s="164">
        <f ca="1">IFERROR(OFFSET($EJ$67,MATCH(BZ$5,$EI$67:$EI$68,0)-1,MATCH(BZ$26,$EJ$66:$ER$66,0)-1,1,1),0)*Convert!$G$9/[5]Battery_Sum!$C$22</f>
        <v>921.8235605842807</v>
      </c>
      <c r="CA61" s="164">
        <f ca="1">IFERROR(OFFSET($EJ$67,MATCH(CA$5,$EI$67:$EI$68,0)-1,MATCH(CA$26,$EJ$66:$ER$66,0)-1,1,1),0)*Convert!$G$9/[5]Battery_Sum!$C$22</f>
        <v>1040.1702319621038</v>
      </c>
      <c r="CB61" s="164">
        <f ca="1">IFERROR(OFFSET($EJ$67,MATCH(CB$5,$EI$67:$EI$68,0)-1,MATCH(CB$26,$EJ$66:$ER$66,0)-1,1,1),0)*Convert!$G$9/[5]Battery_Sum!$C$22</f>
        <v>1040.1702319621038</v>
      </c>
      <c r="CC61" s="164">
        <f ca="1">IFERROR(OFFSET($EJ$67,MATCH(CC$5,$EI$67:$EI$68,0)-1,MATCH(CC$26,$EJ$66:$ER$66,0)-1,1,1),0)*Convert!$G$9/[5]Battery_Sum!$C$22</f>
        <v>1040.1702319621038</v>
      </c>
      <c r="CD61" s="164">
        <f ca="1">IFERROR(OFFSET($EJ$67,MATCH(CD$5,$EI$67:$EI$68,0)-1,MATCH(CD$26,$EJ$66:$ER$66,0)-1,1,1),0)*Convert!$G$9/[5]Battery_Sum!$C$22</f>
        <v>1040.1702319621038</v>
      </c>
      <c r="CE61" s="164">
        <f ca="1">IFERROR(OFFSET($EJ$67,MATCH(CE$5,$EI$67:$EI$68,0)-1,MATCH(CE$26,$EJ$66:$ER$66,0)-1,1,1),0)*Convert!$G$9/[5]Battery_Sum!$C$22</f>
        <v>1040.1702319621038</v>
      </c>
      <c r="CF61" s="164">
        <f ca="1">IFERROR(OFFSET($EJ$67,MATCH(CF$5,$EI$67:$EI$68,0)-1,MATCH(CF$26,$EJ$66:$ER$66,0)-1,1,1),0)*Convert!$G$9/[5]Battery_Sum!$C$22</f>
        <v>1040.1702319621038</v>
      </c>
      <c r="CG61" s="164">
        <f ca="1">IFERROR(OFFSET($EJ$67,MATCH(CG$5,$EI$67:$EI$68,0)-1,MATCH(CG$26,$EJ$66:$ER$66,0)-1,1,1),0)*Convert!$G$9/[5]Battery_Sum!$C$22</f>
        <v>1040.1702319621038</v>
      </c>
      <c r="CH61" s="164">
        <f ca="1">IFERROR(OFFSET($EJ$67,MATCH(CH$5,$EI$67:$EI$68,0)-1,MATCH(CH$26,$EJ$66:$ER$66,0)-1,1,1),0)*Convert!$G$9/[5]Battery_Sum!$C$22</f>
        <v>0</v>
      </c>
      <c r="CI61" s="164">
        <f ca="1">IFERROR(OFFSET($EJ$67,MATCH(CI$5,$EI$67:$EI$68,0)-1,MATCH(CI$26,$EJ$66:$ER$66,0)-1,1,1),0)*Convert!$G$9/[5]Battery_Sum!$C$22</f>
        <v>1040.1702319621038</v>
      </c>
      <c r="CJ61" s="164">
        <f ca="1">IFERROR(OFFSET($EJ$67,MATCH(CJ$5,$EI$67:$EI$68,0)-1,MATCH(CJ$26,$EJ$66:$ER$66,0)-1,1,1),0)*Convert!$G$9/[5]Battery_Sum!$C$22</f>
        <v>1040.1702319621038</v>
      </c>
      <c r="CK61" s="164">
        <f ca="1">IFERROR(OFFSET($EJ$67,MATCH(CK$5,$EI$67:$EI$68,0)-1,MATCH(CK$26,$EJ$66:$ER$66,0)-1,1,1),0)*Convert!$G$9/[5]Battery_Sum!$C$22</f>
        <v>1040.1702319621038</v>
      </c>
      <c r="CL61" s="164">
        <f ca="1">IFERROR(OFFSET($EJ$67,MATCH(CL$5,$EI$67:$EI$68,0)-1,MATCH(CL$26,$EJ$66:$ER$66,0)-1,1,1),0)*Convert!$G$9/[5]Battery_Sum!$C$22</f>
        <v>1040.1702319621038</v>
      </c>
      <c r="CM61" s="164">
        <f ca="1">IFERROR(OFFSET($EJ$67,MATCH(CM$5,$EI$67:$EI$68,0)-1,MATCH(CM$26,$EJ$66:$ER$66,0)-1,1,1),0)*Convert!$G$9/[5]Battery_Sum!$C$22</f>
        <v>1040.1702319621038</v>
      </c>
      <c r="CN61" s="164">
        <f ca="1">IFERROR(OFFSET($EJ$67,MATCH(CN$5,$EI$67:$EI$68,0)-1,MATCH(CN$26,$EJ$66:$ER$66,0)-1,1,1),0)*Convert!$G$9/[5]Battery_Sum!$C$22</f>
        <v>0</v>
      </c>
      <c r="CO61" s="164">
        <f ca="1">IFERROR(OFFSET($EJ$67,MATCH(CO$5,$EI$67:$EI$68,0)-1,MATCH(CO$26,$EJ$66:$ER$66,0)-1,1,1),0)*Convert!$G$9/[5]Battery_Sum!$C$22</f>
        <v>1040.1702319621038</v>
      </c>
      <c r="CP61" s="164">
        <f ca="1">IFERROR(OFFSET($EJ$67,MATCH(CP$5,$EI$67:$EI$68,0)-1,MATCH(CP$26,$EJ$66:$ER$66,0)-1,1,1),0)*Convert!$G$9/[5]Battery_Sum!$C$22</f>
        <v>1040.1702319621038</v>
      </c>
      <c r="CQ61" s="164">
        <f ca="1">IFERROR(OFFSET($EJ$67,MATCH(CQ$5,$EI$67:$EI$68,0)-1,MATCH(CQ$26,$EJ$66:$ER$66,0)-1,1,1),0)*Convert!$G$9/[5]Battery_Sum!$C$22</f>
        <v>1040.1702319621038</v>
      </c>
      <c r="CR61" s="164">
        <f ca="1">IFERROR(OFFSET($EJ$67,MATCH(CR$5,$EI$67:$EI$68,0)-1,MATCH(CR$26,$EJ$66:$ER$66,0)-1,1,1),0)*Convert!$G$9/[5]Battery_Sum!$C$22</f>
        <v>1040.1702319621038</v>
      </c>
      <c r="CS61" s="164">
        <f ca="1">IFERROR(OFFSET($EJ$67,MATCH(CS$5,$EI$67:$EI$68,0)-1,MATCH(CS$26,$EJ$66:$ER$66,0)-1,1,1),0)*Convert!$G$9/[5]Battery_Sum!$C$22</f>
        <v>0</v>
      </c>
      <c r="CT61" s="164">
        <f ca="1">IFERROR(OFFSET($EJ$67,MATCH(CT$5,$EI$67:$EI$68,0)-1,MATCH(CT$26,$EJ$66:$ER$66,0)-1,1,1),0)*Convert!$G$9/[5]Battery_Sum!$C$22</f>
        <v>1040.1702319621038</v>
      </c>
      <c r="CU61" s="164">
        <f ca="1">IFERROR(OFFSET($EJ$67,MATCH(CU$5,$EI$67:$EI$68,0)-1,MATCH(CU$26,$EJ$66:$ER$66,0)-1,1,1),0)*Convert!$G$9/[5]Battery_Sum!$C$22</f>
        <v>1040.1702319621038</v>
      </c>
      <c r="CV61" s="164">
        <f ca="1">IFERROR(OFFSET($EJ$67,MATCH(CV$5,$EI$67:$EI$68,0)-1,MATCH(CV$26,$EJ$66:$ER$66,0)-1,1,1),0)*Convert!$G$9/[5]Battery_Sum!$C$22</f>
        <v>1040.1702319621038</v>
      </c>
      <c r="CW61" s="164">
        <f ca="1">IFERROR(OFFSET($EJ$67,MATCH(CW$5,$EI$67:$EI$68,0)-1,MATCH(CW$26,$EJ$66:$ER$66,0)-1,1,1),0)*Convert!$G$9/[5]Battery_Sum!$C$22</f>
        <v>1040.1702319621038</v>
      </c>
      <c r="CX61" s="164">
        <f ca="1">IFERROR(OFFSET($EJ$67,MATCH(CX$5,$EI$67:$EI$68,0)-1,MATCH(CX$26,$EJ$66:$ER$66,0)-1,1,1),0)*Convert!$G$9/[5]Battery_Sum!$C$22</f>
        <v>1040.1702319621038</v>
      </c>
      <c r="CY61" s="164">
        <f ca="1">IFERROR(OFFSET($EJ$67,MATCH(CY$5,$EI$67:$EI$68,0)-1,MATCH(CY$26,$EJ$66:$ER$66,0)-1,1,1),0)*Convert!$G$9/[5]Battery_Sum!$C$22</f>
        <v>0</v>
      </c>
      <c r="CZ61" s="164">
        <f ca="1">IFERROR(OFFSET($EJ$67,MATCH(CZ$5,$EI$67:$EI$68,0)-1,MATCH(CZ$26,$EJ$66:$ER$66,0)-1,1,1),0)*Convert!$G$9/[5]Battery_Sum!$C$22</f>
        <v>1040.1702319621038</v>
      </c>
      <c r="DA61" s="164">
        <f ca="1">IFERROR(OFFSET($EJ$67,MATCH(DA$5,$EI$67:$EI$68,0)-1,MATCH(DA$26,$EJ$66:$ER$66,0)-1,1,1),0)*Convert!$G$9/[5]Battery_Sum!$C$22</f>
        <v>1040.1702319621038</v>
      </c>
      <c r="DB61" s="164">
        <f ca="1">IFERROR(OFFSET($EJ$67,MATCH(DB$5,$EI$67:$EI$68,0)-1,MATCH(DB$26,$EJ$66:$ER$66,0)-1,1,1),0)*Convert!$G$9/[5]Battery_Sum!$C$22</f>
        <v>1040.1702319621038</v>
      </c>
      <c r="DC61" s="164">
        <f ca="1">IFERROR(OFFSET($EJ$67,MATCH(DC$5,$EI$67:$EI$68,0)-1,MATCH(DC$26,$EJ$66:$ER$66,0)-1,1,1),0)*Convert!$G$9/[5]Battery_Sum!$C$22</f>
        <v>1040.1702319621038</v>
      </c>
      <c r="DD61" s="164">
        <f ca="1">IFERROR(OFFSET($EJ$67,MATCH(DD$5,$EI$67:$EI$68,0)-1,MATCH(DD$26,$EJ$66:$ER$66,0)-1,1,1),0)*Convert!$G$9/[5]Battery_Sum!$C$22</f>
        <v>1040.1702319621038</v>
      </c>
      <c r="DE61" s="164">
        <f ca="1">IFERROR(OFFSET($EJ$67,MATCH(DE$5,$EI$67:$EI$68,0)-1,MATCH(DE$26,$EJ$66:$ER$66,0)-1,1,1),0)*Convert!$G$9/[5]Battery_Sum!$C$22</f>
        <v>0</v>
      </c>
      <c r="DF61" s="164">
        <f ca="1">IFERROR(OFFSET($EJ$67,MATCH(DF$5,$EI$67:$EI$68,0)-1,MATCH(DF$26,$EJ$66:$ER$66,0)-1,1,1),0)*Convert!$G$9/[5]Battery_Sum!$C$22</f>
        <v>1040.1702319621038</v>
      </c>
      <c r="DG61" s="164"/>
      <c r="DH61" s="164">
        <f ca="1">IFERROR(OFFSET($EJ$67,MATCH(DH$5,$EI$67:$EI$68,0)-1,MATCH(DH$26,$EJ$66:$ER$66,0)-1,1,1),0)*Convert!$G$9/[5]Battery_Sum!$C$22</f>
        <v>1040.1702319621038</v>
      </c>
      <c r="DI61" s="164">
        <f ca="1">IFERROR(OFFSET($EJ$67,MATCH(DI$5,$EI$67:$EI$68,0)-1,MATCH(DI$26,$EJ$66:$ER$66,0)-1,1,1),0)*Convert!$G$9/[5]Battery_Sum!$C$22</f>
        <v>1040.1702319621038</v>
      </c>
      <c r="DJ61" s="164">
        <f ca="1">IFERROR(OFFSET($EJ$67,MATCH(DJ$5,$EI$67:$EI$68,0)-1,MATCH(DJ$26,$EJ$66:$ER$66,0)-1,1,1),0)*Convert!$G$9/[5]Battery_Sum!$C$22</f>
        <v>1040.1702319621038</v>
      </c>
      <c r="DK61" s="164">
        <f ca="1">IFERROR(OFFSET($EJ$67,MATCH(DK$5,$EI$67:$EI$68,0)-1,MATCH(DK$26,$EJ$66:$ER$66,0)-1,1,1),0)*Convert!$G$9/[5]Battery_Sum!$C$22</f>
        <v>0</v>
      </c>
      <c r="DL61" s="164">
        <f ca="1">IFERROR(OFFSET($EJ$67,MATCH(DL$5,$EI$67:$EI$68,0)-1,MATCH(DL$26,$EJ$66:$ER$66,0)-1,1,1),0)*Convert!$G$9/[5]Battery_Sum!$C$22</f>
        <v>0</v>
      </c>
      <c r="DM61" s="164">
        <f ca="1">IFERROR(OFFSET($EJ$67,MATCH(DM$5,$EI$67:$EI$68,0)-1,MATCH(DM$26,$EJ$66:$ER$66,0)-1,1,1),0)*Convert!$G$9/[5]Battery_Sum!$C$22</f>
        <v>0</v>
      </c>
      <c r="DN61" s="164">
        <f ca="1">IFERROR(OFFSET($EJ$67,MATCH(DN$5,$EI$67:$EI$68,0)-1,MATCH(DN$26,$EJ$66:$ER$66,0)-1,1,1),0)*Convert!$G$9/[5]Battery_Sum!$C$22</f>
        <v>0</v>
      </c>
      <c r="DO61" s="164">
        <f ca="1">IFERROR(OFFSET($EJ$67,MATCH(DO$5,$EI$67:$EI$68,0)-1,MATCH(DO$26,$EJ$66:$ER$66,0)-1,1,1),0)*Convert!$G$9/[5]Battery_Sum!$C$22</f>
        <v>0</v>
      </c>
      <c r="DP61" s="164">
        <f ca="1">IFERROR(OFFSET($EJ$67,MATCH(DP$5,$EI$67:$EI$68,0)-1,MATCH(DP$26,$EJ$66:$ER$66,0)-1,1,1),0)*Convert!$G$9/[5]Battery_Sum!$C$22</f>
        <v>0</v>
      </c>
      <c r="DQ61" s="164">
        <f ca="1">IFERROR(OFFSET($EJ$67,MATCH(DQ$5,$EI$67:$EI$68,0)-1,MATCH(DQ$26,$EJ$66:$ER$66,0)-1,1,1),0)*Convert!$G$9/[5]Battery_Sum!$C$22</f>
        <v>0</v>
      </c>
      <c r="DR61" s="164">
        <f ca="1">IFERROR(OFFSET($EJ$67,MATCH(DR$5,$EI$67:$EI$68,0)-1,MATCH(DR$26,$EJ$66:$ER$66,0)-1,1,1),0)*Convert!$G$9/[5]Battery_Sum!$C$22</f>
        <v>675.75824924346966</v>
      </c>
      <c r="DS61" s="164">
        <f ca="1">IFERROR(OFFSET($EJ$67,MATCH(DS$5,$EI$67:$EI$68,0)-1,MATCH(DS$26,$EJ$66:$ER$66,0)-1,1,1),0)*Convert!$G$9/[5]Battery_Sum!$C$22</f>
        <v>675.75824924346966</v>
      </c>
      <c r="DT61" s="164">
        <f ca="1">IFERROR(OFFSET($EJ$67,MATCH(DT$5,$EI$67:$EI$68,0)-1,MATCH(DT$26,$EJ$66:$ER$66,0)-1,1,1),0)*Convert!$G$9/[5]Battery_Sum!$C$22</f>
        <v>675.75824924346966</v>
      </c>
      <c r="DU61" s="164">
        <f ca="1">IFERROR(OFFSET($EJ$67,MATCH(DU$5,$EI$67:$EI$68,0)-1,MATCH(DU$26,$EJ$66:$ER$66,0)-1,1,1),0)*Convert!$G$9/[5]Battery_Sum!$C$22</f>
        <v>675.75824924346966</v>
      </c>
      <c r="DV61" s="164">
        <f ca="1">IFERROR(OFFSET($EJ$67,MATCH(DV$5,$EI$67:$EI$68,0)-1,MATCH(DV$26,$EJ$66:$ER$66,0)-1,1,1),0)*Convert!$G$9/[5]Battery_Sum!$C$22</f>
        <v>675.75824924346966</v>
      </c>
      <c r="DW61" s="164">
        <f ca="1">IFERROR(OFFSET($EJ$67,MATCH(DW$5,$EI$67:$EI$68,0)-1,MATCH(DW$26,$EJ$66:$ER$66,0)-1,1,1),0)*Convert!$G$9/[5]Battery_Sum!$C$22</f>
        <v>675.75824924346966</v>
      </c>
      <c r="DX61" s="164">
        <f ca="1">IFERROR(OFFSET($EJ$67,MATCH(DX$5,$EI$67:$EI$68,0)-1,MATCH(DX$26,$EJ$66:$ER$66,0)-1,1,1),0)*Convert!$G$9/[5]Battery_Sum!$C$22</f>
        <v>0</v>
      </c>
      <c r="DY61" s="164">
        <f ca="1">IFERROR(OFFSET($EJ$67,MATCH(DY$5,$EI$67:$EI$68,0)-1,MATCH(DY$26,$EJ$66:$ER$66,0)-1,1,1),0)*Convert!$G$9/[5]Battery_Sum!$C$22</f>
        <v>0</v>
      </c>
      <c r="DZ61" s="164">
        <f ca="1">IFERROR(OFFSET($EJ$67,MATCH(DZ$5,$EI$67:$EI$68,0)-1,MATCH(DZ$26,$EJ$66:$ER$66,0)-1,1,1),0)*Convert!$G$9/[5]Battery_Sum!$C$22</f>
        <v>0</v>
      </c>
      <c r="EA61" s="164">
        <f ca="1">IFERROR(OFFSET($EJ$67,MATCH(EA$5,$EI$67:$EI$68,0)-1,MATCH(EA$26,$EJ$66:$ER$66,0)-1,1,1),0)*Convert!$G$9/[5]Battery_Sum!$C$22</f>
        <v>0</v>
      </c>
      <c r="EB61" s="164">
        <f ca="1">IFERROR(OFFSET($EJ$67,MATCH(EB$5,$EI$67:$EI$68,0)-1,MATCH(EB$26,$EJ$66:$ER$66,0)-1,1,1),0)*Convert!$G$9/[5]Battery_Sum!$C$22</f>
        <v>0</v>
      </c>
      <c r="EC61" s="164">
        <f ca="1">IFERROR(OFFSET($EJ$67,MATCH(EC$5,$EI$67:$EI$68,0)-1,MATCH(EC$26,$EJ$66:$ER$66,0)-1,1,1),0)*Convert!$G$9/[5]Battery_Sum!$C$22</f>
        <v>0</v>
      </c>
      <c r="ED61" s="164">
        <f ca="1">IFERROR(OFFSET($EJ$67,MATCH(ED$5,$EI$67:$EI$68,0)-1,MATCH(ED$26,$EJ$66:$ER$66,0)-1,1,1),0)*Convert!$G$9/[5]Battery_Sum!$C$22</f>
        <v>0</v>
      </c>
      <c r="EF61" s="21" t="s">
        <v>82</v>
      </c>
    </row>
    <row r="62" spans="1:143" x14ac:dyDescent="0.3">
      <c r="A62" s="21" t="str">
        <f>A80</f>
        <v xml:space="preserve">   Assembly</v>
      </c>
      <c r="D62" s="21">
        <f t="shared" ref="D62:AA62" si="117">IF(D$60="",0,HLOOKUP(D$59,$EI$59:$EJ$64,ROW($EH60)-ROW($EH$59)+1,FALSE))</f>
        <v>216.21914712700408</v>
      </c>
      <c r="E62" s="21">
        <f t="shared" si="117"/>
        <v>216.21914712700408</v>
      </c>
      <c r="F62" s="21">
        <f t="shared" si="117"/>
        <v>216.21914712700408</v>
      </c>
      <c r="G62" s="21">
        <f t="shared" si="117"/>
        <v>216.21914712700408</v>
      </c>
      <c r="H62" s="21">
        <f t="shared" si="117"/>
        <v>216.21914712700408</v>
      </c>
      <c r="I62" s="21">
        <f t="shared" si="117"/>
        <v>216.21914712700408</v>
      </c>
      <c r="J62" s="21">
        <f t="shared" si="117"/>
        <v>216.21914712700408</v>
      </c>
      <c r="K62" s="21">
        <f t="shared" si="117"/>
        <v>216.21914712700408</v>
      </c>
      <c r="L62" s="21">
        <f t="shared" si="117"/>
        <v>216.21914712700408</v>
      </c>
      <c r="M62" s="21">
        <f t="shared" si="117"/>
        <v>216.21914712700408</v>
      </c>
      <c r="N62" s="21">
        <f t="shared" si="117"/>
        <v>216.21914712700408</v>
      </c>
      <c r="O62" s="21">
        <f t="shared" si="117"/>
        <v>216.21914712700408</v>
      </c>
      <c r="P62" s="21">
        <f t="shared" si="117"/>
        <v>216.21914712700408</v>
      </c>
      <c r="Q62" s="21">
        <f t="shared" si="117"/>
        <v>216.21914712700408</v>
      </c>
      <c r="R62" s="21">
        <f t="shared" si="117"/>
        <v>216.21914712700408</v>
      </c>
      <c r="S62" s="21">
        <f t="shared" si="117"/>
        <v>216.21914712700408</v>
      </c>
      <c r="T62" s="21">
        <f t="shared" si="117"/>
        <v>216.21914712700408</v>
      </c>
      <c r="U62" s="21">
        <f t="shared" si="117"/>
        <v>216.21914712700408</v>
      </c>
      <c r="V62" s="21">
        <f t="shared" si="117"/>
        <v>216.21914712700408</v>
      </c>
      <c r="W62" s="21">
        <f t="shared" si="117"/>
        <v>216.21914712700408</v>
      </c>
      <c r="X62" s="21">
        <f t="shared" si="117"/>
        <v>216.21914712700408</v>
      </c>
      <c r="Y62" s="21">
        <f t="shared" si="117"/>
        <v>216.21914712700408</v>
      </c>
      <c r="Z62" s="21">
        <f t="shared" si="117"/>
        <v>216.21914712700408</v>
      </c>
      <c r="AA62" s="21">
        <f t="shared" si="117"/>
        <v>216.21914712700408</v>
      </c>
      <c r="AB62" s="21">
        <f t="shared" ref="AB62:AC62" si="118">IF(AB$60="",0,HLOOKUP(AB$59,$EI$59:$EJ$64,ROW($EH60)-ROW($EH$59)+1,FALSE))</f>
        <v>216.21914712700408</v>
      </c>
      <c r="AC62" s="21">
        <f t="shared" si="118"/>
        <v>216.21914712700408</v>
      </c>
      <c r="AD62" s="21">
        <f t="shared" ref="AD62" si="119">IF(AD$60="",0,HLOOKUP(AD$59,$EI$59:$EJ$64,ROW($EH60)-ROW($EH$59)+1,FALSE))</f>
        <v>216.21914712700408</v>
      </c>
      <c r="AE62" s="21">
        <f t="shared" ref="AE62:BJ62" si="120">IF(AE$60="",0,HLOOKUP(AE$59,$EI$59:$EJ$64,ROW($EH60)-ROW($EH$59)+1,FALSE))</f>
        <v>216.21914712700408</v>
      </c>
      <c r="AF62" s="21">
        <f t="shared" si="120"/>
        <v>216.21914712700408</v>
      </c>
      <c r="AG62" s="21">
        <f t="shared" si="120"/>
        <v>0</v>
      </c>
      <c r="AH62" s="21">
        <f t="shared" si="120"/>
        <v>216.21914712700408</v>
      </c>
      <c r="AI62" s="21">
        <f t="shared" si="120"/>
        <v>0</v>
      </c>
      <c r="AJ62" s="21">
        <f t="shared" si="120"/>
        <v>216.21914712700408</v>
      </c>
      <c r="AK62" s="21">
        <f t="shared" si="120"/>
        <v>0</v>
      </c>
      <c r="AL62" s="21">
        <f t="shared" si="120"/>
        <v>216.21914712700408</v>
      </c>
      <c r="AM62" s="21">
        <f t="shared" si="120"/>
        <v>0</v>
      </c>
      <c r="AN62" s="21">
        <f t="shared" si="120"/>
        <v>216.21914712700408</v>
      </c>
      <c r="AO62" s="21">
        <f t="shared" si="120"/>
        <v>0</v>
      </c>
      <c r="AP62" s="21">
        <f t="shared" si="120"/>
        <v>216.21914712700408</v>
      </c>
      <c r="AQ62" s="21">
        <f t="shared" si="120"/>
        <v>216.21914712700408</v>
      </c>
      <c r="AR62" s="21">
        <f t="shared" si="120"/>
        <v>216.21914712700408</v>
      </c>
      <c r="AS62" s="21">
        <f t="shared" si="120"/>
        <v>216.21914712700408</v>
      </c>
      <c r="AT62" s="21">
        <f t="shared" si="120"/>
        <v>216.21914712700408</v>
      </c>
      <c r="AU62" s="21">
        <f t="shared" si="120"/>
        <v>216.21914712700408</v>
      </c>
      <c r="AV62" s="21">
        <f t="shared" si="120"/>
        <v>216.21914712700408</v>
      </c>
      <c r="AW62" s="21">
        <f t="shared" si="120"/>
        <v>216.21914712700408</v>
      </c>
      <c r="AX62" s="21">
        <f t="shared" si="120"/>
        <v>216.21914712700408</v>
      </c>
      <c r="AY62" s="21">
        <f t="shared" si="120"/>
        <v>216.21914712700408</v>
      </c>
      <c r="AZ62" s="21">
        <f t="shared" si="120"/>
        <v>216.21914712700408</v>
      </c>
      <c r="BA62" s="21">
        <f t="shared" si="120"/>
        <v>216.21914712700408</v>
      </c>
      <c r="BB62" s="21">
        <f t="shared" si="120"/>
        <v>216.21914712700408</v>
      </c>
      <c r="BC62" s="21">
        <f t="shared" si="120"/>
        <v>0</v>
      </c>
      <c r="BD62" s="21">
        <f t="shared" si="120"/>
        <v>0</v>
      </c>
      <c r="BE62" s="21">
        <f t="shared" si="120"/>
        <v>0</v>
      </c>
      <c r="BF62" s="21">
        <f t="shared" si="120"/>
        <v>0</v>
      </c>
      <c r="BG62" s="21">
        <f t="shared" si="120"/>
        <v>0</v>
      </c>
      <c r="BH62" s="21">
        <f t="shared" si="120"/>
        <v>0</v>
      </c>
      <c r="BI62" s="21">
        <f t="shared" si="120"/>
        <v>0</v>
      </c>
      <c r="BJ62" s="21">
        <f t="shared" si="120"/>
        <v>216.21914712700408</v>
      </c>
      <c r="BK62" s="21">
        <f t="shared" ref="BK62:CP62" si="121">IF(BK$60="",0,HLOOKUP(BK$59,$EI$59:$EJ$64,ROW($EH60)-ROW($EH$59)+1,FALSE))</f>
        <v>216.21914712700408</v>
      </c>
      <c r="BL62" s="21">
        <f t="shared" si="121"/>
        <v>216.21914712700408</v>
      </c>
      <c r="BM62" s="21">
        <f t="shared" si="121"/>
        <v>216.21914712700408</v>
      </c>
      <c r="BN62" s="21">
        <f t="shared" si="121"/>
        <v>216.21914712700408</v>
      </c>
      <c r="BO62" s="21">
        <f t="shared" si="121"/>
        <v>216.21914712700408</v>
      </c>
      <c r="BP62" s="21">
        <f t="shared" si="121"/>
        <v>216.21914712700408</v>
      </c>
      <c r="BQ62" s="21">
        <f t="shared" si="121"/>
        <v>216.21914712700408</v>
      </c>
      <c r="BR62" s="21">
        <f t="shared" si="121"/>
        <v>216.21914712700408</v>
      </c>
      <c r="BS62" s="21">
        <f t="shared" si="121"/>
        <v>216.21914712700408</v>
      </c>
      <c r="BT62" s="21">
        <f t="shared" si="121"/>
        <v>216.21914712700408</v>
      </c>
      <c r="BU62" s="21">
        <f t="shared" si="121"/>
        <v>216.21914712700408</v>
      </c>
      <c r="BV62" s="21">
        <f t="shared" si="121"/>
        <v>216.21914712700408</v>
      </c>
      <c r="BW62" s="21">
        <f t="shared" si="121"/>
        <v>216.21914712700408</v>
      </c>
      <c r="BX62" s="21">
        <f t="shared" si="121"/>
        <v>216.21914712700408</v>
      </c>
      <c r="BY62" s="21">
        <f t="shared" si="121"/>
        <v>216.21914712700408</v>
      </c>
      <c r="BZ62" s="21">
        <f t="shared" si="121"/>
        <v>216.21914712700408</v>
      </c>
      <c r="CA62" s="21">
        <f t="shared" si="121"/>
        <v>216.21914712700408</v>
      </c>
      <c r="CB62" s="21">
        <f t="shared" si="121"/>
        <v>216.21914712700408</v>
      </c>
      <c r="CC62" s="21">
        <f t="shared" si="121"/>
        <v>216.21914712700408</v>
      </c>
      <c r="CD62" s="21">
        <f t="shared" si="121"/>
        <v>216.21914712700408</v>
      </c>
      <c r="CE62" s="21">
        <f t="shared" si="121"/>
        <v>216.21914712700408</v>
      </c>
      <c r="CF62" s="21">
        <f t="shared" si="121"/>
        <v>216.21914712700408</v>
      </c>
      <c r="CG62" s="21">
        <f t="shared" si="121"/>
        <v>216.21914712700408</v>
      </c>
      <c r="CH62" s="21">
        <f t="shared" si="121"/>
        <v>0</v>
      </c>
      <c r="CI62" s="21">
        <f t="shared" si="121"/>
        <v>216.21914712700408</v>
      </c>
      <c r="CJ62" s="21">
        <f t="shared" si="121"/>
        <v>216.21914712700408</v>
      </c>
      <c r="CK62" s="21">
        <f t="shared" si="121"/>
        <v>216.21914712700408</v>
      </c>
      <c r="CL62" s="21">
        <f t="shared" si="121"/>
        <v>216.21914712700408</v>
      </c>
      <c r="CM62" s="21">
        <f t="shared" si="121"/>
        <v>216.21914712700408</v>
      </c>
      <c r="CN62" s="21">
        <f t="shared" si="121"/>
        <v>0</v>
      </c>
      <c r="CO62" s="21">
        <f t="shared" si="121"/>
        <v>216.21914712700408</v>
      </c>
      <c r="CP62" s="21">
        <f t="shared" si="121"/>
        <v>216.21914712700408</v>
      </c>
      <c r="CQ62" s="21">
        <f t="shared" ref="CQ62:DF62" si="122">IF(CQ$60="",0,HLOOKUP(CQ$59,$EI$59:$EJ$64,ROW($EH60)-ROW($EH$59)+1,FALSE))</f>
        <v>216.21914712700408</v>
      </c>
      <c r="CR62" s="21">
        <f t="shared" si="122"/>
        <v>216.21914712700408</v>
      </c>
      <c r="CS62" s="21">
        <f t="shared" si="122"/>
        <v>0</v>
      </c>
      <c r="CT62" s="21">
        <f t="shared" si="122"/>
        <v>216.21914712700408</v>
      </c>
      <c r="CU62" s="21">
        <f t="shared" si="122"/>
        <v>216.21914712700408</v>
      </c>
      <c r="CV62" s="21">
        <f t="shared" si="122"/>
        <v>216.21914712700408</v>
      </c>
      <c r="CW62" s="21">
        <f t="shared" si="122"/>
        <v>216.21914712700408</v>
      </c>
      <c r="CX62" s="21">
        <f t="shared" si="122"/>
        <v>216.21914712700408</v>
      </c>
      <c r="CY62" s="21">
        <f t="shared" si="122"/>
        <v>0</v>
      </c>
      <c r="CZ62" s="21">
        <f t="shared" si="122"/>
        <v>216.21914712700408</v>
      </c>
      <c r="DA62" s="21">
        <f t="shared" si="122"/>
        <v>216.21914712700408</v>
      </c>
      <c r="DB62" s="21">
        <f t="shared" si="122"/>
        <v>216.21914712700408</v>
      </c>
      <c r="DC62" s="21">
        <f t="shared" si="122"/>
        <v>216.21914712700408</v>
      </c>
      <c r="DD62" s="21">
        <f t="shared" si="122"/>
        <v>216.21914712700408</v>
      </c>
      <c r="DE62" s="21">
        <f t="shared" si="122"/>
        <v>0</v>
      </c>
      <c r="DF62" s="21">
        <f t="shared" si="122"/>
        <v>216.21914712700408</v>
      </c>
      <c r="DH62" s="21">
        <f t="shared" ref="DH62:DW62" si="123">IF(DH$60="",0,HLOOKUP(DH$59,$EI$59:$EJ$64,ROW($EH60)-ROW($EH$59)+1,FALSE))</f>
        <v>216.21914712700408</v>
      </c>
      <c r="DI62" s="21">
        <f t="shared" si="123"/>
        <v>216.21914712700408</v>
      </c>
      <c r="DJ62" s="21">
        <f t="shared" si="123"/>
        <v>216.21914712700408</v>
      </c>
      <c r="DK62" s="21">
        <f t="shared" si="123"/>
        <v>0</v>
      </c>
      <c r="DL62" s="21">
        <f t="shared" si="123"/>
        <v>0</v>
      </c>
      <c r="DM62" s="21">
        <f t="shared" si="123"/>
        <v>0</v>
      </c>
      <c r="DN62" s="21">
        <f t="shared" si="123"/>
        <v>0</v>
      </c>
      <c r="DO62" s="21">
        <f t="shared" si="123"/>
        <v>0</v>
      </c>
      <c r="DP62" s="21">
        <f t="shared" si="123"/>
        <v>0</v>
      </c>
      <c r="DQ62" s="21">
        <f t="shared" si="123"/>
        <v>0</v>
      </c>
      <c r="DR62" s="21">
        <f t="shared" si="123"/>
        <v>216.21914712700408</v>
      </c>
      <c r="DS62" s="21">
        <f t="shared" si="123"/>
        <v>216.21914712700408</v>
      </c>
      <c r="DT62" s="21">
        <f t="shared" si="123"/>
        <v>216.21914712700408</v>
      </c>
      <c r="DU62" s="21">
        <f t="shared" si="123"/>
        <v>216.21914712700408</v>
      </c>
      <c r="DV62" s="21">
        <f t="shared" si="123"/>
        <v>216.21914712700408</v>
      </c>
      <c r="DW62" s="21">
        <f t="shared" si="123"/>
        <v>216.21914712700408</v>
      </c>
      <c r="DX62" s="21">
        <f t="shared" ref="DX62:EC62" si="124">IF(DX$60="",0,HLOOKUP(DX$59,$EI$59:$EJ$64,ROW($EH60)-ROW($EH$59)+1,FALSE))</f>
        <v>0</v>
      </c>
      <c r="DY62" s="21">
        <f t="shared" si="124"/>
        <v>0</v>
      </c>
      <c r="DZ62" s="21">
        <f t="shared" si="124"/>
        <v>0</v>
      </c>
      <c r="EA62" s="21">
        <f t="shared" si="124"/>
        <v>0</v>
      </c>
      <c r="EB62" s="21">
        <f t="shared" si="124"/>
        <v>0</v>
      </c>
      <c r="EC62" s="21">
        <f t="shared" si="124"/>
        <v>0</v>
      </c>
      <c r="ED62" s="21">
        <f>IF(ED$60="",0,HLOOKUP(ED$59,$EI$59:$EJ$64,ROW($EH60)-ROW($EH$59)+1,FALSE))</f>
        <v>0</v>
      </c>
      <c r="EF62" s="62" t="s">
        <v>148</v>
      </c>
      <c r="EH62" s="21" t="s">
        <v>928</v>
      </c>
      <c r="EJ62" s="21" t="s">
        <v>929</v>
      </c>
    </row>
    <row r="63" spans="1:143" x14ac:dyDescent="0.3">
      <c r="A63" s="21" t="str">
        <f>A81</f>
        <v xml:space="preserve">   Disposal</v>
      </c>
      <c r="D63" s="21">
        <f t="shared" ref="D63:AA63" si="125">IF(D$60="",0,HLOOKUP(D$59,$EI$59:$EJ$64,ROW($EH64)-ROW($EH$59)+1,FALSE)/D29)</f>
        <v>15.886330214648019</v>
      </c>
      <c r="E63" s="21">
        <f t="shared" si="125"/>
        <v>15.886330214648019</v>
      </c>
      <c r="F63" s="21">
        <f t="shared" si="125"/>
        <v>15.886330214648019</v>
      </c>
      <c r="G63" s="21">
        <f t="shared" si="125"/>
        <v>15.886330214648019</v>
      </c>
      <c r="H63" s="21">
        <f t="shared" si="125"/>
        <v>15.886330214648019</v>
      </c>
      <c r="I63" s="21">
        <f t="shared" si="125"/>
        <v>15.886330214648019</v>
      </c>
      <c r="J63" s="21">
        <f t="shared" si="125"/>
        <v>15.886330214648019</v>
      </c>
      <c r="K63" s="21">
        <f t="shared" si="125"/>
        <v>15.886330214648019</v>
      </c>
      <c r="L63" s="21">
        <f t="shared" si="125"/>
        <v>15.886330214648019</v>
      </c>
      <c r="M63" s="21">
        <f t="shared" si="125"/>
        <v>15.886330214648019</v>
      </c>
      <c r="N63" s="21">
        <f t="shared" si="125"/>
        <v>15.886330214648019</v>
      </c>
      <c r="O63" s="21">
        <f t="shared" si="125"/>
        <v>15.886330214648019</v>
      </c>
      <c r="P63" s="21">
        <f t="shared" si="125"/>
        <v>15.886330214648019</v>
      </c>
      <c r="Q63" s="21">
        <f t="shared" si="125"/>
        <v>15.886330214648019</v>
      </c>
      <c r="R63" s="21">
        <f t="shared" si="125"/>
        <v>15.886330214648019</v>
      </c>
      <c r="S63" s="21">
        <f t="shared" si="125"/>
        <v>15.886330214648019</v>
      </c>
      <c r="T63" s="21">
        <f t="shared" si="125"/>
        <v>15.886330214648019</v>
      </c>
      <c r="U63" s="21">
        <f t="shared" si="125"/>
        <v>15.886330214648019</v>
      </c>
      <c r="V63" s="21">
        <f t="shared" si="125"/>
        <v>15.886330214648019</v>
      </c>
      <c r="W63" s="21">
        <f t="shared" si="125"/>
        <v>15.886330214648019</v>
      </c>
      <c r="X63" s="21">
        <f t="shared" si="125"/>
        <v>15.886330214648019</v>
      </c>
      <c r="Y63" s="21">
        <f t="shared" si="125"/>
        <v>15.886330214648019</v>
      </c>
      <c r="Z63" s="21">
        <f t="shared" si="125"/>
        <v>15.886330214648019</v>
      </c>
      <c r="AA63" s="21">
        <f t="shared" si="125"/>
        <v>15.886330214648019</v>
      </c>
      <c r="AB63" s="21">
        <f t="shared" ref="AB63:AD63" si="126">IF(AB$60="",0,HLOOKUP(AB$59,$EI$59:$EJ$64,ROW($EH64)-ROW($EH$59)+1,FALSE)/AB29)</f>
        <v>15.886330214648019</v>
      </c>
      <c r="AC63" s="21">
        <f t="shared" si="126"/>
        <v>15.886330214648019</v>
      </c>
      <c r="AD63" s="21">
        <f t="shared" si="126"/>
        <v>15.886330214648019</v>
      </c>
      <c r="AE63" s="21">
        <f t="shared" ref="AE63:BJ63" si="127">IF(AE$60="",0,HLOOKUP(AE$59,$EI$59:$EJ$64,ROW($EH64)-ROW($EH$59)+1,FALSE)/AE29)</f>
        <v>15.886330214648019</v>
      </c>
      <c r="AF63" s="21">
        <f t="shared" si="127"/>
        <v>15.886330214648019</v>
      </c>
      <c r="AG63" s="21">
        <f t="shared" si="127"/>
        <v>0</v>
      </c>
      <c r="AH63" s="21">
        <f t="shared" si="127"/>
        <v>15.886330214648019</v>
      </c>
      <c r="AI63" s="21">
        <f t="shared" si="127"/>
        <v>0</v>
      </c>
      <c r="AJ63" s="21">
        <f t="shared" si="127"/>
        <v>15.886330214648019</v>
      </c>
      <c r="AK63" s="21">
        <f t="shared" si="127"/>
        <v>0</v>
      </c>
      <c r="AL63" s="21">
        <f t="shared" si="127"/>
        <v>15.886330214648019</v>
      </c>
      <c r="AM63" s="21">
        <f t="shared" si="127"/>
        <v>0</v>
      </c>
      <c r="AN63" s="21">
        <f t="shared" si="127"/>
        <v>15.886330214648019</v>
      </c>
      <c r="AO63" s="21">
        <f t="shared" si="127"/>
        <v>0</v>
      </c>
      <c r="AP63" s="21">
        <f t="shared" si="127"/>
        <v>15.886330214648019</v>
      </c>
      <c r="AQ63" s="21">
        <f t="shared" si="127"/>
        <v>15.886330214648019</v>
      </c>
      <c r="AR63" s="21">
        <f t="shared" si="127"/>
        <v>15.886330214648019</v>
      </c>
      <c r="AS63" s="21">
        <f t="shared" si="127"/>
        <v>15.886330214648019</v>
      </c>
      <c r="AT63" s="21">
        <f t="shared" si="127"/>
        <v>15.886330214648019</v>
      </c>
      <c r="AU63" s="21">
        <f t="shared" si="127"/>
        <v>15.886330214648019</v>
      </c>
      <c r="AV63" s="21">
        <f t="shared" si="127"/>
        <v>15.886330214648019</v>
      </c>
      <c r="AW63" s="21">
        <f t="shared" si="127"/>
        <v>15.886330214648019</v>
      </c>
      <c r="AX63" s="21">
        <f t="shared" si="127"/>
        <v>15.886330214648019</v>
      </c>
      <c r="AY63" s="21">
        <f t="shared" si="127"/>
        <v>15.886330214648019</v>
      </c>
      <c r="AZ63" s="21">
        <f t="shared" si="127"/>
        <v>15.886330214648019</v>
      </c>
      <c r="BA63" s="21">
        <f t="shared" si="127"/>
        <v>15.886330214648019</v>
      </c>
      <c r="BB63" s="21">
        <f t="shared" si="127"/>
        <v>15.886330214648019</v>
      </c>
      <c r="BC63" s="21">
        <f t="shared" si="127"/>
        <v>0</v>
      </c>
      <c r="BD63" s="21">
        <f t="shared" si="127"/>
        <v>0</v>
      </c>
      <c r="BE63" s="21">
        <f t="shared" si="127"/>
        <v>0</v>
      </c>
      <c r="BF63" s="21">
        <f t="shared" si="127"/>
        <v>0</v>
      </c>
      <c r="BG63" s="21">
        <f t="shared" si="127"/>
        <v>0</v>
      </c>
      <c r="BH63" s="21">
        <f t="shared" si="127"/>
        <v>0</v>
      </c>
      <c r="BI63" s="21">
        <f t="shared" si="127"/>
        <v>0</v>
      </c>
      <c r="BJ63" s="21">
        <f t="shared" si="127"/>
        <v>15.886330214648019</v>
      </c>
      <c r="BK63" s="21">
        <f t="shared" ref="BK63:CP63" si="128">IF(BK$60="",0,HLOOKUP(BK$59,$EI$59:$EJ$64,ROW($EH64)-ROW($EH$59)+1,FALSE)/BK29)</f>
        <v>15.886330214648019</v>
      </c>
      <c r="BL63" s="21">
        <f t="shared" si="128"/>
        <v>15.886330214648019</v>
      </c>
      <c r="BM63" s="21">
        <f t="shared" si="128"/>
        <v>15.886330214648019</v>
      </c>
      <c r="BN63" s="21">
        <f t="shared" si="128"/>
        <v>15.886330214648019</v>
      </c>
      <c r="BO63" s="21">
        <f t="shared" si="128"/>
        <v>15.886330214648019</v>
      </c>
      <c r="BP63" s="21">
        <f t="shared" si="128"/>
        <v>15.886330214648019</v>
      </c>
      <c r="BQ63" s="21">
        <f t="shared" si="128"/>
        <v>15.886330214648019</v>
      </c>
      <c r="BR63" s="21">
        <f t="shared" si="128"/>
        <v>15.886330214648019</v>
      </c>
      <c r="BS63" s="21">
        <f t="shared" si="128"/>
        <v>15.886330214648019</v>
      </c>
      <c r="BT63" s="21">
        <f t="shared" si="128"/>
        <v>15.886330214648019</v>
      </c>
      <c r="BU63" s="21">
        <f t="shared" si="128"/>
        <v>15.886330214648019</v>
      </c>
      <c r="BV63" s="21">
        <f t="shared" si="128"/>
        <v>15.886330214648019</v>
      </c>
      <c r="BW63" s="21">
        <f t="shared" si="128"/>
        <v>15.886330214648019</v>
      </c>
      <c r="BX63" s="21">
        <f t="shared" si="128"/>
        <v>15.886330214648019</v>
      </c>
      <c r="BY63" s="21">
        <f t="shared" si="128"/>
        <v>15.886330214648019</v>
      </c>
      <c r="BZ63" s="21">
        <f t="shared" si="128"/>
        <v>15.886330214648019</v>
      </c>
      <c r="CA63" s="21">
        <f t="shared" si="128"/>
        <v>15.886330214648019</v>
      </c>
      <c r="CB63" s="21">
        <f t="shared" si="128"/>
        <v>15.886330214648019</v>
      </c>
      <c r="CC63" s="21">
        <f t="shared" si="128"/>
        <v>15.886330214648019</v>
      </c>
      <c r="CD63" s="21">
        <f t="shared" si="128"/>
        <v>15.886330214648019</v>
      </c>
      <c r="CE63" s="21">
        <f t="shared" si="128"/>
        <v>15.886330214648019</v>
      </c>
      <c r="CF63" s="21">
        <f t="shared" si="128"/>
        <v>15.886330214648019</v>
      </c>
      <c r="CG63" s="21">
        <f t="shared" si="128"/>
        <v>15.886330214648019</v>
      </c>
      <c r="CH63" s="21">
        <f t="shared" si="128"/>
        <v>0</v>
      </c>
      <c r="CI63" s="21">
        <f t="shared" si="128"/>
        <v>15.886330214648019</v>
      </c>
      <c r="CJ63" s="21">
        <f t="shared" si="128"/>
        <v>15.886330214648019</v>
      </c>
      <c r="CK63" s="21">
        <f t="shared" si="128"/>
        <v>15.886330214648019</v>
      </c>
      <c r="CL63" s="21">
        <f t="shared" si="128"/>
        <v>15.886330214648019</v>
      </c>
      <c r="CM63" s="21">
        <f t="shared" si="128"/>
        <v>15.886330214648019</v>
      </c>
      <c r="CN63" s="21">
        <f t="shared" si="128"/>
        <v>0</v>
      </c>
      <c r="CO63" s="21">
        <f t="shared" si="128"/>
        <v>15.886330214648019</v>
      </c>
      <c r="CP63" s="21">
        <f t="shared" si="128"/>
        <v>15.886330214648019</v>
      </c>
      <c r="CQ63" s="21">
        <f t="shared" ref="CQ63:DF63" si="129">IF(CQ$60="",0,HLOOKUP(CQ$59,$EI$59:$EJ$64,ROW($EH64)-ROW($EH$59)+1,FALSE)/CQ29)</f>
        <v>15.886330214648019</v>
      </c>
      <c r="CR63" s="21">
        <f t="shared" si="129"/>
        <v>15.886330214648019</v>
      </c>
      <c r="CS63" s="21">
        <f t="shared" si="129"/>
        <v>0</v>
      </c>
      <c r="CT63" s="21">
        <f t="shared" si="129"/>
        <v>15.886330214648019</v>
      </c>
      <c r="CU63" s="21">
        <f t="shared" si="129"/>
        <v>15.886330214648019</v>
      </c>
      <c r="CV63" s="21">
        <f t="shared" si="129"/>
        <v>15.886330214648019</v>
      </c>
      <c r="CW63" s="21">
        <f t="shared" si="129"/>
        <v>15.886330214648019</v>
      </c>
      <c r="CX63" s="21">
        <f t="shared" si="129"/>
        <v>15.886330214648019</v>
      </c>
      <c r="CY63" s="21">
        <f t="shared" si="129"/>
        <v>0</v>
      </c>
      <c r="CZ63" s="21">
        <f t="shared" si="129"/>
        <v>15.886330214648019</v>
      </c>
      <c r="DA63" s="21">
        <f t="shared" si="129"/>
        <v>15.886330214648019</v>
      </c>
      <c r="DB63" s="21">
        <f t="shared" si="129"/>
        <v>15.886330214648019</v>
      </c>
      <c r="DC63" s="21">
        <f t="shared" si="129"/>
        <v>15.886330214648019</v>
      </c>
      <c r="DD63" s="21">
        <f t="shared" si="129"/>
        <v>15.886330214648019</v>
      </c>
      <c r="DE63" s="21">
        <f t="shared" si="129"/>
        <v>0</v>
      </c>
      <c r="DF63" s="21">
        <f t="shared" si="129"/>
        <v>15.886330214648019</v>
      </c>
      <c r="DH63" s="21">
        <f t="shared" ref="DH63:DW63" si="130">IF(DH$60="",0,HLOOKUP(DH$59,$EI$59:$EJ$64,ROW($EH64)-ROW($EH$59)+1,FALSE)/DH29)</f>
        <v>15.886330214648019</v>
      </c>
      <c r="DI63" s="21">
        <f t="shared" si="130"/>
        <v>15.886330214648019</v>
      </c>
      <c r="DJ63" s="21">
        <f t="shared" si="130"/>
        <v>15.886330214648019</v>
      </c>
      <c r="DK63" s="21">
        <f t="shared" si="130"/>
        <v>0</v>
      </c>
      <c r="DL63" s="21">
        <f t="shared" si="130"/>
        <v>0</v>
      </c>
      <c r="DM63" s="21">
        <f t="shared" si="130"/>
        <v>0</v>
      </c>
      <c r="DN63" s="21">
        <f t="shared" si="130"/>
        <v>0</v>
      </c>
      <c r="DO63" s="21">
        <f t="shared" si="130"/>
        <v>0</v>
      </c>
      <c r="DP63" s="21">
        <f t="shared" si="130"/>
        <v>0</v>
      </c>
      <c r="DQ63" s="21">
        <f t="shared" si="130"/>
        <v>0</v>
      </c>
      <c r="DR63" s="21">
        <f t="shared" si="130"/>
        <v>19.546981031803455</v>
      </c>
      <c r="DS63" s="21">
        <f t="shared" si="130"/>
        <v>19.546981031803455</v>
      </c>
      <c r="DT63" s="21">
        <f t="shared" si="130"/>
        <v>19.546981031803455</v>
      </c>
      <c r="DU63" s="21">
        <f t="shared" si="130"/>
        <v>19.546981031803455</v>
      </c>
      <c r="DV63" s="21">
        <f t="shared" si="130"/>
        <v>19.546981031803455</v>
      </c>
      <c r="DW63" s="21">
        <f t="shared" si="130"/>
        <v>19.546981031803455</v>
      </c>
      <c r="DX63" s="21">
        <f t="shared" ref="DX63:EC63" si="131">IF(DX$60="",0,HLOOKUP(DX$59,$EI$59:$EJ$64,ROW($EH64)-ROW($EH$59)+1,FALSE)/DX29)</f>
        <v>0</v>
      </c>
      <c r="DY63" s="21">
        <f t="shared" si="131"/>
        <v>0</v>
      </c>
      <c r="DZ63" s="21">
        <f t="shared" si="131"/>
        <v>0</v>
      </c>
      <c r="EA63" s="21">
        <f t="shared" si="131"/>
        <v>0</v>
      </c>
      <c r="EB63" s="21">
        <f t="shared" si="131"/>
        <v>0</v>
      </c>
      <c r="EC63" s="21">
        <f t="shared" si="131"/>
        <v>0</v>
      </c>
      <c r="ED63" s="21">
        <f>IF(ED$60="",0,HLOOKUP(ED$59,$EI$59:$EJ$64,ROW($EH64)-ROW($EH$59)+1,FALSE)/ED29)</f>
        <v>0</v>
      </c>
      <c r="EH63" s="21" t="s">
        <v>915</v>
      </c>
      <c r="EI63" s="21" t="s">
        <v>951</v>
      </c>
      <c r="EJ63" s="21" t="s">
        <v>950</v>
      </c>
      <c r="EK63" s="74"/>
    </row>
    <row r="64" spans="1:143" x14ac:dyDescent="0.3">
      <c r="A64" s="21" t="str">
        <f>A82</f>
        <v xml:space="preserve">   Total</v>
      </c>
      <c r="D64" s="301">
        <f ca="1">SUM(D61:D63)</f>
        <v>1272.275709303756</v>
      </c>
      <c r="E64" s="301">
        <f t="shared" ref="E64:R64" ca="1" si="132">SUM(E61:E63)</f>
        <v>1272.275709303756</v>
      </c>
      <c r="F64" s="301">
        <f t="shared" ca="1" si="132"/>
        <v>1153.9290379259328</v>
      </c>
      <c r="G64" s="301">
        <f t="shared" ca="1" si="132"/>
        <v>1272.275709303756</v>
      </c>
      <c r="H64" s="301">
        <f t="shared" ca="1" si="132"/>
        <v>1272.275709303756</v>
      </c>
      <c r="I64" s="301">
        <f t="shared" ref="I64" ca="1" si="133">SUM(I61:I63)</f>
        <v>1272.275709303756</v>
      </c>
      <c r="J64" s="301">
        <f t="shared" ca="1" si="132"/>
        <v>1272.275709303756</v>
      </c>
      <c r="K64" s="301">
        <f t="shared" ca="1" si="132"/>
        <v>1272.275709303756</v>
      </c>
      <c r="L64" s="301">
        <f t="shared" ca="1" si="132"/>
        <v>1272.275709303756</v>
      </c>
      <c r="M64" s="301">
        <f t="shared" ca="1" si="132"/>
        <v>1272.275709303756</v>
      </c>
      <c r="N64" s="301">
        <f t="shared" ca="1" si="132"/>
        <v>1272.275709303756</v>
      </c>
      <c r="O64" s="301">
        <f t="shared" ca="1" si="132"/>
        <v>1272.275709303756</v>
      </c>
      <c r="P64" s="301">
        <f t="shared" ca="1" si="132"/>
        <v>1272.275709303756</v>
      </c>
      <c r="Q64" s="301">
        <f ca="1">SUM(Q61:Q63)</f>
        <v>1272.275709303756</v>
      </c>
      <c r="R64" s="301">
        <f t="shared" ca="1" si="132"/>
        <v>1272.275709303756</v>
      </c>
      <c r="S64" s="301">
        <f t="shared" ref="S64:BT64" ca="1" si="134">SUM(S61:S63)</f>
        <v>1272.275709303756</v>
      </c>
      <c r="T64" s="301">
        <f t="shared" ca="1" si="134"/>
        <v>1153.9290379259328</v>
      </c>
      <c r="U64" s="301">
        <f t="shared" ca="1" si="134"/>
        <v>1272.275709303756</v>
      </c>
      <c r="V64" s="301">
        <f t="shared" ca="1" si="134"/>
        <v>1272.275709303756</v>
      </c>
      <c r="W64" s="301">
        <f t="shared" ca="1" si="134"/>
        <v>1272.275709303756</v>
      </c>
      <c r="X64" s="301">
        <f t="shared" ref="X64:Y64" ca="1" si="135">SUM(X61:X63)</f>
        <v>1153.9290379259328</v>
      </c>
      <c r="Y64" s="301">
        <f t="shared" ca="1" si="135"/>
        <v>1272.275709303756</v>
      </c>
      <c r="Z64" s="301">
        <f t="shared" ca="1" si="134"/>
        <v>1272.275709303756</v>
      </c>
      <c r="AA64" s="301">
        <f t="shared" ref="AA64" ca="1" si="136">SUM(AA61:AA63)</f>
        <v>1272.275709303756</v>
      </c>
      <c r="AB64" s="301">
        <f t="shared" ref="AB64:AC64" ca="1" si="137">SUM(AB61:AB63)</f>
        <v>1153.9290379259328</v>
      </c>
      <c r="AC64" s="301">
        <f t="shared" ca="1" si="137"/>
        <v>1272.275709303756</v>
      </c>
      <c r="AD64" s="301">
        <f t="shared" ref="AD64" ca="1" si="138">SUM(AD61:AD63)</f>
        <v>1272.275709303756</v>
      </c>
      <c r="AE64" s="301">
        <f t="shared" ref="AE64" ca="1" si="139">SUM(AE61:AE63)</f>
        <v>1272.275709303756</v>
      </c>
      <c r="AF64" s="301">
        <f t="shared" ca="1" si="134"/>
        <v>1272.275709303756</v>
      </c>
      <c r="AG64" s="301">
        <f t="shared" ca="1" si="134"/>
        <v>0</v>
      </c>
      <c r="AH64" s="301">
        <f t="shared" ca="1" si="134"/>
        <v>1272.275709303756</v>
      </c>
      <c r="AI64" s="301">
        <f t="shared" ca="1" si="134"/>
        <v>0</v>
      </c>
      <c r="AJ64" s="301">
        <f t="shared" ca="1" si="134"/>
        <v>1272.275709303756</v>
      </c>
      <c r="AK64" s="301">
        <f t="shared" ca="1" si="134"/>
        <v>0</v>
      </c>
      <c r="AL64" s="301">
        <f t="shared" ca="1" si="134"/>
        <v>1272.275709303756</v>
      </c>
      <c r="AM64" s="301">
        <f t="shared" ca="1" si="134"/>
        <v>0</v>
      </c>
      <c r="AN64" s="301">
        <f t="shared" ca="1" si="134"/>
        <v>1272.275709303756</v>
      </c>
      <c r="AO64" s="301">
        <f t="shared" ca="1" si="134"/>
        <v>0</v>
      </c>
      <c r="AP64" s="301">
        <f t="shared" ca="1" si="134"/>
        <v>1272.275709303756</v>
      </c>
      <c r="AQ64" s="301">
        <f t="shared" ca="1" si="134"/>
        <v>1272.275709303756</v>
      </c>
      <c r="AR64" s="301">
        <f t="shared" ca="1" si="134"/>
        <v>1272.275709303756</v>
      </c>
      <c r="AS64" s="301">
        <f t="shared" ca="1" si="134"/>
        <v>1272.275709303756</v>
      </c>
      <c r="AT64" s="301">
        <f t="shared" ca="1" si="134"/>
        <v>1272.275709303756</v>
      </c>
      <c r="AU64" s="301">
        <f t="shared" ca="1" si="134"/>
        <v>1153.9290379259328</v>
      </c>
      <c r="AV64" s="301">
        <f t="shared" ca="1" si="134"/>
        <v>1272.275709303756</v>
      </c>
      <c r="AW64" s="301">
        <f t="shared" ca="1" si="134"/>
        <v>1272.275709303756</v>
      </c>
      <c r="AX64" s="301">
        <f t="shared" ca="1" si="134"/>
        <v>1272.275709303756</v>
      </c>
      <c r="AY64" s="301">
        <f t="shared" ca="1" si="134"/>
        <v>1272.275709303756</v>
      </c>
      <c r="AZ64" s="301">
        <f t="shared" ca="1" si="134"/>
        <v>1272.275709303756</v>
      </c>
      <c r="BA64" s="301">
        <f t="shared" ca="1" si="134"/>
        <v>1272.275709303756</v>
      </c>
      <c r="BB64" s="301">
        <f t="shared" ca="1" si="134"/>
        <v>1272.275709303756</v>
      </c>
      <c r="BC64" s="301">
        <f t="shared" ca="1" si="134"/>
        <v>0</v>
      </c>
      <c r="BD64" s="301">
        <f t="shared" ca="1" si="134"/>
        <v>0</v>
      </c>
      <c r="BE64" s="301">
        <f t="shared" ca="1" si="134"/>
        <v>0</v>
      </c>
      <c r="BF64" s="301">
        <f t="shared" ca="1" si="134"/>
        <v>0</v>
      </c>
      <c r="BG64" s="301">
        <f t="shared" ca="1" si="134"/>
        <v>0</v>
      </c>
      <c r="BH64" s="301">
        <f t="shared" ca="1" si="134"/>
        <v>0</v>
      </c>
      <c r="BI64" s="301">
        <f t="shared" ca="1" si="134"/>
        <v>0</v>
      </c>
      <c r="BJ64" s="301">
        <f t="shared" ca="1" si="134"/>
        <v>1272.275709303756</v>
      </c>
      <c r="BK64" s="301">
        <f t="shared" ca="1" si="134"/>
        <v>1272.275709303756</v>
      </c>
      <c r="BL64" s="301">
        <f t="shared" ca="1" si="134"/>
        <v>1272.275709303756</v>
      </c>
      <c r="BM64" s="301">
        <f t="shared" ca="1" si="134"/>
        <v>1272.275709303756</v>
      </c>
      <c r="BN64" s="301">
        <f t="shared" ca="1" si="134"/>
        <v>1272.275709303756</v>
      </c>
      <c r="BO64" s="301">
        <f t="shared" ca="1" si="134"/>
        <v>1272.275709303756</v>
      </c>
      <c r="BP64" s="301">
        <f t="shared" ca="1" si="134"/>
        <v>1272.275709303756</v>
      </c>
      <c r="BQ64" s="301">
        <f t="shared" ca="1" si="134"/>
        <v>1153.9290379259328</v>
      </c>
      <c r="BR64" s="301">
        <f t="shared" ca="1" si="134"/>
        <v>1272.275709303756</v>
      </c>
      <c r="BS64" s="301">
        <f t="shared" ca="1" si="134"/>
        <v>1272.275709303756</v>
      </c>
      <c r="BT64" s="301">
        <f t="shared" ca="1" si="134"/>
        <v>1272.275709303756</v>
      </c>
      <c r="BU64" s="301">
        <f t="shared" ref="BU64:CC64" ca="1" si="140">SUM(BU61:BU63)</f>
        <v>1272.275709303756</v>
      </c>
      <c r="BV64" s="301">
        <f t="shared" ca="1" si="140"/>
        <v>1272.275709303756</v>
      </c>
      <c r="BW64" s="301">
        <f t="shared" ca="1" si="140"/>
        <v>1272.275709303756</v>
      </c>
      <c r="BX64" s="301">
        <f t="shared" ca="1" si="140"/>
        <v>1272.275709303756</v>
      </c>
      <c r="BY64" s="301">
        <f t="shared" ca="1" si="140"/>
        <v>1272.275709303756</v>
      </c>
      <c r="BZ64" s="301">
        <f t="shared" ca="1" si="140"/>
        <v>1153.9290379259328</v>
      </c>
      <c r="CA64" s="301">
        <f t="shared" ca="1" si="140"/>
        <v>1272.275709303756</v>
      </c>
      <c r="CB64" s="301">
        <f t="shared" ca="1" si="140"/>
        <v>1272.275709303756</v>
      </c>
      <c r="CC64" s="301">
        <f t="shared" ca="1" si="140"/>
        <v>1272.275709303756</v>
      </c>
      <c r="CD64" s="301">
        <f t="shared" ref="CD64:DF64" ca="1" si="141">SUM(CD61:CD63)</f>
        <v>1272.275709303756</v>
      </c>
      <c r="CE64" s="301">
        <f t="shared" ca="1" si="141"/>
        <v>1272.275709303756</v>
      </c>
      <c r="CF64" s="301">
        <f t="shared" ca="1" si="141"/>
        <v>1272.275709303756</v>
      </c>
      <c r="CG64" s="301">
        <f t="shared" ca="1" si="141"/>
        <v>1272.275709303756</v>
      </c>
      <c r="CH64" s="301">
        <f t="shared" ca="1" si="141"/>
        <v>0</v>
      </c>
      <c r="CI64" s="301">
        <f t="shared" ca="1" si="141"/>
        <v>1272.275709303756</v>
      </c>
      <c r="CJ64" s="301">
        <f t="shared" ca="1" si="141"/>
        <v>1272.275709303756</v>
      </c>
      <c r="CK64" s="301">
        <f t="shared" ca="1" si="141"/>
        <v>1272.275709303756</v>
      </c>
      <c r="CL64" s="301">
        <f t="shared" ca="1" si="141"/>
        <v>1272.275709303756</v>
      </c>
      <c r="CM64" s="301">
        <f t="shared" ca="1" si="141"/>
        <v>1272.275709303756</v>
      </c>
      <c r="CN64" s="301">
        <f t="shared" ca="1" si="141"/>
        <v>0</v>
      </c>
      <c r="CO64" s="301">
        <f t="shared" ca="1" si="141"/>
        <v>1272.275709303756</v>
      </c>
      <c r="CP64" s="301">
        <f t="shared" ca="1" si="141"/>
        <v>1272.275709303756</v>
      </c>
      <c r="CQ64" s="301">
        <f t="shared" ca="1" si="141"/>
        <v>1272.275709303756</v>
      </c>
      <c r="CR64" s="301">
        <f t="shared" ca="1" si="141"/>
        <v>1272.275709303756</v>
      </c>
      <c r="CS64" s="301">
        <f t="shared" ca="1" si="141"/>
        <v>0</v>
      </c>
      <c r="CT64" s="301">
        <f t="shared" ca="1" si="141"/>
        <v>1272.275709303756</v>
      </c>
      <c r="CU64" s="301">
        <f t="shared" ca="1" si="141"/>
        <v>1272.275709303756</v>
      </c>
      <c r="CV64" s="301">
        <f t="shared" ca="1" si="141"/>
        <v>1272.275709303756</v>
      </c>
      <c r="CW64" s="301">
        <f t="shared" ca="1" si="141"/>
        <v>1272.275709303756</v>
      </c>
      <c r="CX64" s="301">
        <f t="shared" ca="1" si="141"/>
        <v>1272.275709303756</v>
      </c>
      <c r="CY64" s="301">
        <f t="shared" ca="1" si="141"/>
        <v>0</v>
      </c>
      <c r="CZ64" s="301">
        <f t="shared" ca="1" si="141"/>
        <v>1272.275709303756</v>
      </c>
      <c r="DA64" s="301">
        <f t="shared" ca="1" si="141"/>
        <v>1272.275709303756</v>
      </c>
      <c r="DB64" s="301">
        <f t="shared" ca="1" si="141"/>
        <v>1272.275709303756</v>
      </c>
      <c r="DC64" s="301">
        <f t="shared" ca="1" si="141"/>
        <v>1272.275709303756</v>
      </c>
      <c r="DD64" s="301">
        <f t="shared" ca="1" si="141"/>
        <v>1272.275709303756</v>
      </c>
      <c r="DE64" s="301">
        <f t="shared" ca="1" si="141"/>
        <v>0</v>
      </c>
      <c r="DF64" s="301">
        <f t="shared" ca="1" si="141"/>
        <v>1272.275709303756</v>
      </c>
      <c r="DG64" s="301"/>
      <c r="DH64" s="301">
        <f ca="1">SUM(DH61:DH63)</f>
        <v>1272.275709303756</v>
      </c>
      <c r="DI64" s="301">
        <f ca="1">SUM(DI61:DI63)</f>
        <v>1272.275709303756</v>
      </c>
      <c r="DJ64" s="301">
        <f ca="1">SUM(DJ61:DJ63)</f>
        <v>1272.275709303756</v>
      </c>
      <c r="DK64" s="301">
        <f t="shared" ref="DK64:DP64" ca="1" si="142">SUM(DK61:DK63)</f>
        <v>0</v>
      </c>
      <c r="DL64" s="301">
        <f t="shared" ca="1" si="142"/>
        <v>0</v>
      </c>
      <c r="DM64" s="301">
        <f ca="1">SUM(DM61:DM63)</f>
        <v>0</v>
      </c>
      <c r="DN64" s="301">
        <f t="shared" ca="1" si="142"/>
        <v>0</v>
      </c>
      <c r="DO64" s="301">
        <f t="shared" ca="1" si="142"/>
        <v>0</v>
      </c>
      <c r="DP64" s="301">
        <f t="shared" ca="1" si="142"/>
        <v>0</v>
      </c>
      <c r="DQ64" s="301">
        <f t="shared" ref="DQ64:DW64" ca="1" si="143">SUM(DQ61:DQ63)</f>
        <v>0</v>
      </c>
      <c r="DR64" s="301">
        <f t="shared" ca="1" si="143"/>
        <v>911.5243774022772</v>
      </c>
      <c r="DS64" s="301">
        <f t="shared" ca="1" si="143"/>
        <v>911.5243774022772</v>
      </c>
      <c r="DT64" s="301">
        <f t="shared" ca="1" si="143"/>
        <v>911.5243774022772</v>
      </c>
      <c r="DU64" s="301">
        <f t="shared" ca="1" si="143"/>
        <v>911.5243774022772</v>
      </c>
      <c r="DV64" s="301">
        <f t="shared" ca="1" si="143"/>
        <v>911.5243774022772</v>
      </c>
      <c r="DW64" s="301">
        <f t="shared" ca="1" si="143"/>
        <v>911.5243774022772</v>
      </c>
      <c r="DX64" s="301">
        <f t="shared" ref="DX64:EC64" ca="1" si="144">SUM(DX61:DX63)</f>
        <v>0</v>
      </c>
      <c r="DY64" s="301">
        <f t="shared" ca="1" si="144"/>
        <v>0</v>
      </c>
      <c r="DZ64" s="301">
        <f t="shared" ca="1" si="144"/>
        <v>0</v>
      </c>
      <c r="EA64" s="301">
        <f t="shared" ca="1" si="144"/>
        <v>0</v>
      </c>
      <c r="EB64" s="301">
        <f t="shared" ca="1" si="144"/>
        <v>0</v>
      </c>
      <c r="EC64" s="301">
        <f t="shared" ca="1" si="144"/>
        <v>0</v>
      </c>
      <c r="ED64" s="301">
        <f ca="1">SUM(ED61:ED63)</f>
        <v>0</v>
      </c>
      <c r="EH64" s="21" t="str">
        <f>A63</f>
        <v xml:space="preserve">   Disposal</v>
      </c>
      <c r="EI64" s="498">
        <f>[7]Vehi_ADR!$I$106*Convert!$G$9/([7]Vehi_Inputs!$C$18*Convert!$G$10)</f>
        <v>2.2657566368050039</v>
      </c>
      <c r="EJ64" s="498">
        <f>[5]Vehi_ADR!$I$106*Convert!$G$9/([5]Vehi_Inputs!$C$18*Convert!$G$10)</f>
        <v>2.2657566368050039</v>
      </c>
      <c r="EK64" s="74" t="s">
        <v>927</v>
      </c>
    </row>
    <row r="65" spans="1:155" x14ac:dyDescent="0.3">
      <c r="BT65" s="21">
        <f>[5]Battery_Sum!$C$22</f>
        <v>26.914588235294119</v>
      </c>
    </row>
    <row r="66" spans="1:155" x14ac:dyDescent="0.3">
      <c r="A66" s="21" t="s">
        <v>170</v>
      </c>
      <c r="B66" s="21" t="s">
        <v>169</v>
      </c>
      <c r="EH66" s="21" t="s">
        <v>165</v>
      </c>
      <c r="EI66" s="21" t="s">
        <v>915</v>
      </c>
      <c r="EJ66" s="21" t="str">
        <f t="shared" ref="EJ66:ER66" si="145">EI26</f>
        <v>LMO</v>
      </c>
      <c r="EK66" s="21" t="str">
        <f t="shared" si="145"/>
        <v>NMC111</v>
      </c>
      <c r="EL66" s="21" t="str">
        <f t="shared" si="145"/>
        <v>LFP: hydrothermal</v>
      </c>
      <c r="EM66" s="21" t="str">
        <f t="shared" si="145"/>
        <v>LFP: solid state</v>
      </c>
      <c r="EN66" s="21" t="str">
        <f t="shared" si="145"/>
        <v>NMC622</v>
      </c>
      <c r="EO66" s="21" t="str">
        <f t="shared" si="145"/>
        <v>NMC811</v>
      </c>
      <c r="EP66" s="21" t="str">
        <f t="shared" si="145"/>
        <v>LMR-NMC:Gr</v>
      </c>
      <c r="EQ66" s="21" t="str">
        <f t="shared" si="145"/>
        <v>LMR-NMC:Gr-SI</v>
      </c>
      <c r="ER66" s="21" t="str">
        <f t="shared" si="145"/>
        <v>NCA</v>
      </c>
    </row>
    <row r="67" spans="1:155" x14ac:dyDescent="0.3">
      <c r="A67" s="21" t="s">
        <v>134</v>
      </c>
      <c r="D67" s="115">
        <f>D$3*D$8*(1-$D$22)*D38+D$3*D$8*$D$22*D39+D$3*D$9*D40+D$3*D$10*D41+D$3*D$11*(1-$D$23)*D42+D$3*D$11*$D$23*D43+D$3*D$12*(1-$D$24)*D44+D$3*D$12*$D$24*D45+D$3*D$13*D46+D$3*D$14*D47+D$3*D$15*D48+D$3*D$16*D49+D$3*D$17*D50+D$3*D$18*D51</f>
        <v>1354.1105525004618</v>
      </c>
      <c r="E67" s="115">
        <f t="shared" ref="E67:P67" si="146">E$3*E$8*(1-$D$22)*E38+E$3*E$8*$D$22*E39+E$3*E$9*E40+E$3*E$10*E41+E$3*E$11*(1-$D$23)*E42+E$3*E$11*$D$23*E43+E$3*E$12*(1-$D$24)*E44+E$3*E$12*$D$24*E45+E$3*E$13*E46+E$3*E$14*E47+E$3*E$15*E48+E$3*E$16*E49+E$3*E$17*E50+E$3*E$18*E51</f>
        <v>1692.6381906255774</v>
      </c>
      <c r="F67" s="115">
        <f t="shared" si="146"/>
        <v>990.52356594243452</v>
      </c>
      <c r="G67" s="115">
        <f t="shared" si="146"/>
        <v>1354.1105525004618</v>
      </c>
      <c r="H67" s="115">
        <f t="shared" si="146"/>
        <v>1354.1105525004618</v>
      </c>
      <c r="I67" s="115">
        <f t="shared" ref="I67" si="147">I$3*I$8*(1-$D$22)*I38+I$3*I$8*$D$22*I39+I$3*I$9*I40+I$3*I$10*I41+I$3*I$11*(1-$D$23)*I42+I$3*I$11*$D$23*I43+I$3*I$12*(1-$D$24)*I44+I$3*I$12*$D$24*I45+I$3*I$13*I46+I$3*I$14*I47+I$3*I$15*I48+I$3*I$16*I49+I$3*I$17*I50+I$3*I$18*I51</f>
        <v>1354.1105525004618</v>
      </c>
      <c r="J67" s="115">
        <f t="shared" si="146"/>
        <v>1354.1105525004618</v>
      </c>
      <c r="K67" s="115">
        <f t="shared" si="146"/>
        <v>1354.1105525004618</v>
      </c>
      <c r="L67" s="115">
        <f t="shared" si="146"/>
        <v>1354.1105525004618</v>
      </c>
      <c r="M67" s="115">
        <f t="shared" si="146"/>
        <v>1354.1105525004618</v>
      </c>
      <c r="N67" s="115">
        <f t="shared" si="146"/>
        <v>1354.1105525004618</v>
      </c>
      <c r="O67" s="115">
        <f t="shared" si="146"/>
        <v>1354.1105525004618</v>
      </c>
      <c r="P67" s="115">
        <f t="shared" si="146"/>
        <v>1354.1105525004618</v>
      </c>
      <c r="Q67" s="115">
        <f t="shared" ref="Q67:V67" si="148">Q$3*Q$8*(1-$D$22)*Q38+Q$3*Q$8*$D$22*Q39+Q$3*Q$9*Q40+Q$3*Q$10*Q41+Q$3*Q$11*(1-$D$23)*Q42+Q$3*Q$11*$D$23*Q43+Q$3*Q$12*(1-$D$24)*Q44+Q$3*Q$12*$D$24*Q45+Q$3*Q$13*Q46+Q$3*Q$14*Q47+Q$3*Q$15*Q48+Q$3*Q$16*Q49+Q$3*Q$17*Q50+Q$3*Q$18*Q51</f>
        <v>1354.1105525004618</v>
      </c>
      <c r="R67" s="115">
        <f t="shared" si="148"/>
        <v>1354.1105525004618</v>
      </c>
      <c r="S67" s="115">
        <f t="shared" si="148"/>
        <v>1692.6381906255774</v>
      </c>
      <c r="T67" s="115">
        <f>T$3*T$8*(1-$D$22)*T38+T$3*T$8*$D$22*T39+T$3*T$9*T40+T$3*T$10*T41+T$3*T$11*(1-$D$23)*T42+T$3*T$11*$D$23*T43+T$3*T$12*(1-$D$24)*T44+T$3*T$12*$D$24*T45+T$3*T$13*T46+T$3*T$14*T47+T$3*T$15*T48+T$3*T$16*T49+T$3*T$17*T50+T$3*T$18*T51</f>
        <v>990.52356594243452</v>
      </c>
      <c r="U67" s="115">
        <f t="shared" si="148"/>
        <v>1354.1105525004618</v>
      </c>
      <c r="V67" s="115">
        <f t="shared" si="148"/>
        <v>1354.1105525004618</v>
      </c>
      <c r="W67" s="115">
        <f t="shared" ref="W67:BT67" si="149">W$3*W$8*(1-$D$22)*W38+W$3*W$8*$D$22*W39+W$3*W$9*W40+W$3*W$10*W41+W$3*W$11*(1-$D$23)*W42+W$3*W$11*$D$23*W43+W$3*W$12*(1-$D$24)*W44+W$3*W$12*$D$24*W45+W$3*W$13*W46+W$3*W$14*W47+W$3*W$15*W48+W$3*W$16*W49+W$3*W$17*W50+W$3*W$18*W51</f>
        <v>1354.1105525004618</v>
      </c>
      <c r="X67" s="115">
        <f>X$3*X$8*(1-$D$22)*X38+X$3*X$8*$D$22*X39+X$3*X$9*X40+X$3*X$10*X41+X$3*X$11*(1-$D$23)*X42+X$3*X$11*$D$23*X43+X$3*X$12*(1-$D$24)*X44+X$3*X$12*$D$24*X45+X$3*X$13*X46+X$3*X$14*X47+X$3*X$15*X48+X$3*X$16*X49+X$3*X$17*X50+X$3*X$18*X51</f>
        <v>2249.746378256219</v>
      </c>
      <c r="Y67" s="115">
        <f>Y$3*Y$8*(1-$D$22)*Y38+Y$3*Y$8*$D$22*Y39+Y$3*Y$9*Y40+Y$3*Y$10*Y41+Y$3*Y$11*(1-$D$23)*Y42+Y$3*Y$11*$D$23*Y43+Y$3*Y$12*(1-$D$24)*Y44+Y$3*Y$12*$D$24*Y45+Y$3*Y$13*Y46+Y$3*Y$14*Y47+Y$3*Y$15*Y48+Y$3*Y$16*Y49+Y$3*Y$17*Y50+Y$3*Y$18*Y51</f>
        <v>2976.0675847632783</v>
      </c>
      <c r="Z67" s="115">
        <f>Z$3*Z$8*(1-$D$22)*Z38+Z$3*Z$8*$D$22*Z39+Z$3*Z$9*Z40+Z$3*Z$10*Z41+Z$3*Z$11*(1-$D$23)*Z42+Z$3*Z$11*$D$23*Z43+Z$3*Z$12*(1-$D$24)*Z44+Z$3*Z$12*$D$24*Z45+Z$3*Z$13*Z46+Z$3*Z$14*Z47+Z$3*Z$15*Z48+Z$3*Z$16*Z49+Z$3*Z$17*Z50+Z$3*Z$18*Z51</f>
        <v>2976.0675847632783</v>
      </c>
      <c r="AA67" s="115">
        <f>AA$3*AA$8*(1-$D$22)*AA38+AA$3*AA$8*$D$22*AA39+AA$3*AA$9*AA40+AA$3*AA$10*AA41+AA$3*AA$11*(1-$D$23)*AA42+AA$3*AA$11*$D$23*AA43+AA$3*AA$12*(1-$D$24)*AA44+AA$3*AA$12*$D$24*AA45+AA$3*AA$13*AA46+AA$3*AA$14*AA47+AA$3*AA$15*AA48+AA$3*AA$16*AA49+AA$3*AA$17*AA50+AA$3*AA$18*AA51</f>
        <v>2976.0675847632783</v>
      </c>
      <c r="AB67" s="115">
        <f t="shared" ref="AB67:AC67" si="150">AB$3*AB$8*(1-$D$22)*AB38+AB$3*AB$8*$D$22*AB39+AB$3*AB$9*AB40+AB$3*AB$10*AB41+AB$3*AB$11*(1-$D$23)*AB42+AB$3*AB$11*$D$23*AB43+AB$3*AB$12*(1-$D$24)*AB44+AB$3*AB$12*$D$24*AB45+AB$3*AB$13*AB46+AB$3*AB$14*AB47+AB$3*AB$15*AB48+AB$3*AB$16*AB49+AB$3*AB$17*AB50+AB$3*AB$18*AB51</f>
        <v>2249.746378256219</v>
      </c>
      <c r="AC67" s="115">
        <f t="shared" si="150"/>
        <v>2976.0675847632783</v>
      </c>
      <c r="AD67" s="115">
        <f t="shared" ref="AD67" si="151">AD$3*AD$8*(1-$D$22)*AD38+AD$3*AD$8*$D$22*AD39+AD$3*AD$9*AD40+AD$3*AD$10*AD41+AD$3*AD$11*(1-$D$23)*AD42+AD$3*AD$11*$D$23*AD43+AD$3*AD$12*(1-$D$24)*AD44+AD$3*AD$12*$D$24*AD45+AD$3*AD$13*AD46+AD$3*AD$14*AD47+AD$3*AD$15*AD48+AD$3*AD$16*AD49+AD$3*AD$17*AD50+AD$3*AD$18*AD51</f>
        <v>2976.0675847632783</v>
      </c>
      <c r="AE67" s="115">
        <f t="shared" ref="AE67" si="152">AE$3*AE$8*(1-$D$22)*AE38+AE$3*AE$8*$D$22*AE39+AE$3*AE$9*AE40+AE$3*AE$10*AE41+AE$3*AE$11*(1-$D$23)*AE42+AE$3*AE$11*$D$23*AE43+AE$3*AE$12*(1-$D$24)*AE44+AE$3*AE$12*$D$24*AE45+AE$3*AE$13*AE46+AE$3*AE$14*AE47+AE$3*AE$15*AE48+AE$3*AE$16*AE49+AE$3*AE$17*AE50+AE$3*AE$18*AE51</f>
        <v>2976.0675847632783</v>
      </c>
      <c r="AF67" s="115">
        <f t="shared" si="149"/>
        <v>1354.1105525004618</v>
      </c>
      <c r="AG67" s="115">
        <f t="shared" si="149"/>
        <v>942.38279997491838</v>
      </c>
      <c r="AH67" s="115">
        <f t="shared" si="149"/>
        <v>1168.5974821116406</v>
      </c>
      <c r="AI67" s="115">
        <f t="shared" si="149"/>
        <v>1204.5838059100074</v>
      </c>
      <c r="AJ67" s="115">
        <f t="shared" si="149"/>
        <v>1340.8832442618348</v>
      </c>
      <c r="AK67" s="115">
        <f t="shared" si="149"/>
        <v>3584.6359126805655</v>
      </c>
      <c r="AL67" s="115">
        <f t="shared" si="149"/>
        <v>3383.9194754651135</v>
      </c>
      <c r="AM67" s="115">
        <f t="shared" si="149"/>
        <v>3584.6359126805655</v>
      </c>
      <c r="AN67" s="115">
        <f t="shared" si="149"/>
        <v>3383.9194754651135</v>
      </c>
      <c r="AO67" s="115">
        <f t="shared" si="149"/>
        <v>62684.431314174537</v>
      </c>
      <c r="AP67" s="115">
        <f t="shared" si="149"/>
        <v>65078.116966568923</v>
      </c>
      <c r="AQ67" s="115">
        <f t="shared" si="149"/>
        <v>68024.679855585739</v>
      </c>
      <c r="AR67" s="115">
        <f t="shared" si="149"/>
        <v>59725.456988914622</v>
      </c>
      <c r="AS67" s="115">
        <f t="shared" si="149"/>
        <v>59725.456988914622</v>
      </c>
      <c r="AT67" s="115">
        <f t="shared" si="149"/>
        <v>59725.456988914622</v>
      </c>
      <c r="AU67" s="115">
        <f t="shared" si="149"/>
        <v>57984.329168313758</v>
      </c>
      <c r="AV67" s="115">
        <f t="shared" si="149"/>
        <v>59725.456988914622</v>
      </c>
      <c r="AW67" s="115">
        <f t="shared" si="149"/>
        <v>59725.456988914622</v>
      </c>
      <c r="AX67" s="115">
        <f t="shared" si="149"/>
        <v>59725.456988914622</v>
      </c>
      <c r="AY67" s="115">
        <f t="shared" si="149"/>
        <v>119643.05808417215</v>
      </c>
      <c r="AZ67" s="115">
        <f t="shared" si="149"/>
        <v>119643.05808417215</v>
      </c>
      <c r="BA67" s="115">
        <f t="shared" si="149"/>
        <v>119643.05808417215</v>
      </c>
      <c r="BB67" s="115">
        <f t="shared" si="149"/>
        <v>119643.05808417215</v>
      </c>
      <c r="BC67" s="115">
        <f t="shared" si="149"/>
        <v>62684.431314174537</v>
      </c>
      <c r="BD67" s="115">
        <f t="shared" si="149"/>
        <v>62684.431314174537</v>
      </c>
      <c r="BE67" s="115">
        <f t="shared" si="149"/>
        <v>62684.431314174537</v>
      </c>
      <c r="BF67" s="115">
        <f t="shared" si="149"/>
        <v>62684.431314174537</v>
      </c>
      <c r="BG67" s="115">
        <f t="shared" si="149"/>
        <v>62684.431314174537</v>
      </c>
      <c r="BH67" s="115">
        <f t="shared" si="149"/>
        <v>62684.431314174537</v>
      </c>
      <c r="BI67" s="115">
        <f t="shared" si="149"/>
        <v>62684.431314174537</v>
      </c>
      <c r="BJ67" s="115">
        <f t="shared" si="149"/>
        <v>65078.116966568923</v>
      </c>
      <c r="BK67" s="115">
        <f t="shared" si="149"/>
        <v>68024.679855585739</v>
      </c>
      <c r="BL67" s="115">
        <f t="shared" si="149"/>
        <v>59725.456988914622</v>
      </c>
      <c r="BM67" s="115">
        <f t="shared" si="149"/>
        <v>59725.456988914622</v>
      </c>
      <c r="BN67" s="115">
        <f t="shared" si="149"/>
        <v>59725.456988914622</v>
      </c>
      <c r="BO67" s="115">
        <f t="shared" si="149"/>
        <v>59725.456988914622</v>
      </c>
      <c r="BP67" s="115">
        <f t="shared" si="149"/>
        <v>59725.456988914622</v>
      </c>
      <c r="BQ67" s="115">
        <f t="shared" si="149"/>
        <v>57984.329168313758</v>
      </c>
      <c r="BR67" s="115">
        <f t="shared" si="149"/>
        <v>59725.456988914622</v>
      </c>
      <c r="BS67" s="115">
        <f t="shared" si="149"/>
        <v>59725.456988914622</v>
      </c>
      <c r="BT67" s="115">
        <f t="shared" si="149"/>
        <v>59725.456988914622</v>
      </c>
      <c r="BU67" s="115">
        <f t="shared" ref="BU67:CL67" si="153">BU$3*BU$8*(1-$D$22)*BU38+BU$3*BU$8*$D$22*BU39+BU$3*BU$9*BU40+BU$3*BU$10*BU41+BU$3*BU$11*(1-$D$23)*BU42+BU$3*BU$11*$D$23*BU43+BU$3*BU$12*(1-$D$24)*BU44+BU$3*BU$12*$D$24*BU45+BU$3*BU$13*BU46+BU$3*BU$14*BU47+BU$3*BU$15*BU48+BU$3*BU$16*BU49+BU$3*BU$17*BU50+BU$3*BU$18*BU51</f>
        <v>59725.456988914622</v>
      </c>
      <c r="BV67" s="115">
        <f t="shared" si="153"/>
        <v>59725.456988914622</v>
      </c>
      <c r="BW67" s="115">
        <f t="shared" si="153"/>
        <v>59725.456988914622</v>
      </c>
      <c r="BX67" s="115">
        <f t="shared" si="153"/>
        <v>59725.456988914622</v>
      </c>
      <c r="BY67" s="115">
        <f t="shared" si="153"/>
        <v>59725.456988914622</v>
      </c>
      <c r="BZ67" s="115">
        <f t="shared" si="153"/>
        <v>57984.329168313758</v>
      </c>
      <c r="CA67" s="115">
        <f t="shared" si="153"/>
        <v>59725.456988914622</v>
      </c>
      <c r="CB67" s="115">
        <f t="shared" si="153"/>
        <v>59725.456988914622</v>
      </c>
      <c r="CC67" s="115">
        <f t="shared" si="153"/>
        <v>59725.456988914622</v>
      </c>
      <c r="CD67" s="115">
        <f t="shared" si="153"/>
        <v>119643.05808417215</v>
      </c>
      <c r="CE67" s="115">
        <f t="shared" si="153"/>
        <v>119643.05808417215</v>
      </c>
      <c r="CF67" s="115">
        <f t="shared" si="153"/>
        <v>119643.05808417215</v>
      </c>
      <c r="CG67" s="115">
        <f t="shared" si="153"/>
        <v>119643.05808417215</v>
      </c>
      <c r="CH67" s="115">
        <f t="shared" si="153"/>
        <v>62684.431314174537</v>
      </c>
      <c r="CI67" s="115">
        <f t="shared" si="153"/>
        <v>65078.116966568923</v>
      </c>
      <c r="CJ67" s="115">
        <f t="shared" si="153"/>
        <v>68024.679855585739</v>
      </c>
      <c r="CK67" s="115">
        <f t="shared" si="153"/>
        <v>59725.456988914622</v>
      </c>
      <c r="CL67" s="115">
        <f t="shared" si="153"/>
        <v>59725.456988914622</v>
      </c>
      <c r="CM67" s="115">
        <f t="shared" ref="CM67:DF67" si="154">CM$3*CM$8*(1-$D$22)*CM38+CM$3*CM$8*$D$22*CM39+CM$3*CM$9*CM40+CM$3*CM$10*CM41+CM$3*CM$11*(1-$D$23)*CM42+CM$3*CM$11*$D$23*CM43+CM$3*CM$12*(1-$D$24)*CM44+CM$3*CM$12*$D$24*CM45+CM$3*CM$13*CM46+CM$3*CM$14*CM47+CM$3*CM$15*CM48+CM$3*CM$16*CM49+CM$3*CM$17*CM50+CM$3*CM$18*CM51</f>
        <v>119643.05808417215</v>
      </c>
      <c r="CN67" s="115">
        <f t="shared" si="154"/>
        <v>77180.806856519514</v>
      </c>
      <c r="CO67" s="115">
        <f t="shared" si="154"/>
        <v>80243.009954077294</v>
      </c>
      <c r="CP67" s="115">
        <f t="shared" si="154"/>
        <v>81188.283331994346</v>
      </c>
      <c r="CQ67" s="115">
        <f t="shared" si="154"/>
        <v>73754.565623073548</v>
      </c>
      <c r="CR67" s="115">
        <f t="shared" si="154"/>
        <v>148857.2507282233</v>
      </c>
      <c r="CS67" s="115">
        <f t="shared" si="154"/>
        <v>77180.806856519514</v>
      </c>
      <c r="CT67" s="115">
        <f t="shared" si="154"/>
        <v>80243.009954077294</v>
      </c>
      <c r="CU67" s="115">
        <f t="shared" si="154"/>
        <v>81188.283331994346</v>
      </c>
      <c r="CV67" s="115">
        <f t="shared" si="154"/>
        <v>73754.565623073548</v>
      </c>
      <c r="CW67" s="115">
        <f t="shared" si="154"/>
        <v>73754.565623073548</v>
      </c>
      <c r="CX67" s="115">
        <f t="shared" si="154"/>
        <v>148857.2507282233</v>
      </c>
      <c r="CY67" s="115">
        <f t="shared" si="154"/>
        <v>77180.806856519514</v>
      </c>
      <c r="CZ67" s="115">
        <f t="shared" si="154"/>
        <v>80243.009954077294</v>
      </c>
      <c r="DA67" s="115">
        <f t="shared" si="154"/>
        <v>81188.283331994346</v>
      </c>
      <c r="DB67" s="115">
        <f t="shared" si="154"/>
        <v>73754.565623073548</v>
      </c>
      <c r="DC67" s="115">
        <f t="shared" si="154"/>
        <v>73754.565623073548</v>
      </c>
      <c r="DD67" s="115">
        <f t="shared" si="154"/>
        <v>148857.2507282233</v>
      </c>
      <c r="DE67" s="115">
        <f t="shared" si="154"/>
        <v>152426.34457363901</v>
      </c>
      <c r="DF67" s="115">
        <f t="shared" si="154"/>
        <v>152136.16192668129</v>
      </c>
      <c r="DG67" s="115"/>
      <c r="DH67" s="115">
        <f>DH$3*DH$8*(1-$D$22)*DH38+DH$3*DH$8*$D$22*DH39+DH$3*DH$9*DH40+DH$3*DH$10*DH41+DH$3*DH$11*(1-$D$23)*DH42+DH$3*DH$11*$D$23*DH43+DH$3*DH$12*(1-$D$24)*DH44+DH$3*DH$12*$D$24*DH45+DH$3*DH$13*DH46+DH$3*DH$14*DH47+DH$3*DH$15*DH48+DH$3*DH$16*DH49+DH$3*DH$17*DH50+DH$3*DH$18*DH51</f>
        <v>168316.16098792959</v>
      </c>
      <c r="DI67" s="115">
        <f>DI$3*DI$8*(1-$D$22)*DI38+DI$3*DI$8*$D$22*DI39+DI$3*DI$9*DI40+DI$3*DI$10*DI41+DI$3*DI$11*(1-$D$23)*DI42+DI$3*DI$11*$D$23*DI43+DI$3*DI$12*(1-$D$24)*DI44+DI$3*DI$12*$D$24*DI45+DI$3*DI$13*DI46+DI$3*DI$14*DI47+DI$3*DI$15*DI48+DI$3*DI$16*DI49+DI$3*DI$17*DI50+DI$3*DI$18*DI51</f>
        <v>168316.16098792959</v>
      </c>
      <c r="DJ67" s="115">
        <f>DJ$3*DJ$8*(1-$D$22)*DJ38+DJ$3*DJ$8*$D$22*DJ39+DJ$3*DJ$9*DJ40+DJ$3*DJ$10*DJ41+DJ$3*DJ$11*(1-$D$23)*DJ42+DJ$3*DJ$11*$D$23*DJ43+DJ$3*DJ$12*(1-$D$24)*DJ44+DJ$3*DJ$12*$D$24*DJ45+DJ$3*DJ$13*DJ46+DJ$3*DJ$14*DJ47+DJ$3*DJ$15*DJ48+DJ$3*DJ$16*DJ49+DJ$3*DJ$17*DJ50+DJ$3*DJ$18*DJ51</f>
        <v>278391.2233658671</v>
      </c>
      <c r="DK67" s="115">
        <f t="shared" ref="DK67:DP67" si="155">DK$3*DK$8*(1-$D$22)*DK38+DK$3*DK$8*$D$22*DK39+DK$3*DK$9*DK40+DK$3*DK$10*DK41+DK$3*DK$11*(1-$D$23)*DK42+DK$3*DK$11*$D$23*DK43+DK$3*DK$12*(1-$D$24)*DK44+DK$3*DK$12*$D$24*DK45+DK$3*DK$13*DK46+DK$3*DK$14*DK47+DK$3*DK$15*DK48+DK$3*DK$16*DK49+DK$3*DK$17*DK50+DK$3*DK$18*DK51</f>
        <v>541620.89322372235</v>
      </c>
      <c r="DL67" s="115">
        <f t="shared" si="155"/>
        <v>541620.89322372235</v>
      </c>
      <c r="DM67" s="115">
        <f>DM$3*DM$8*(1-$D$22)*DM38+DM$3*DM$8*$D$22*DM39+DM$3*DM$9*DM40+DM$3*DM$10*DM41+DM$3*DM$11*(1-$D$23)*DM42+DM$3*DM$11*$D$23*DM43+DM$3*DM$12*(1-$D$24)*DM44+DM$3*DM$12*$D$24*DM45+DM$3*DM$13*DM46+DM$3*DM$14*DM47+DM$3*DM$15*DM48+DM$3*DM$16*DM49+DM$3*DM$17*DM50+DM$3*DM$18*DM51</f>
        <v>541620.89322372235</v>
      </c>
      <c r="DN67" s="115">
        <f t="shared" si="155"/>
        <v>541620.89322372235</v>
      </c>
      <c r="DO67" s="115">
        <f t="shared" si="155"/>
        <v>541620.89322372235</v>
      </c>
      <c r="DP67" s="115">
        <f t="shared" si="155"/>
        <v>541620.89322372235</v>
      </c>
      <c r="DQ67" s="115">
        <f t="shared" ref="DQ67:DW67" si="156">DQ$3*DQ$8*(1-$D$22)*DQ38+DQ$3*DQ$8*$D$22*DQ39+DQ$3*DQ$9*DQ40+DQ$3*DQ$10*DQ41+DQ$3*DQ$11*(1-$D$23)*DQ42+DQ$3*DQ$11*$D$23*DQ43+DQ$3*DQ$12*(1-$D$24)*DQ44+DQ$3*DQ$12*$D$24*DQ45+DQ$3*DQ$13*DQ46+DQ$3*DQ$14*DQ47+DQ$3*DQ$15*DQ48+DQ$3*DQ$16*DQ49+DQ$3*DQ$17*DQ50+DQ$3*DQ$18*DQ51</f>
        <v>541620.89322372235</v>
      </c>
      <c r="DR67" s="115">
        <f t="shared" si="156"/>
        <v>521460.89322372235</v>
      </c>
      <c r="DS67" s="115">
        <f t="shared" si="156"/>
        <v>725244.07414247631</v>
      </c>
      <c r="DT67" s="115">
        <f t="shared" si="156"/>
        <v>725244.07414247631</v>
      </c>
      <c r="DU67" s="115">
        <f t="shared" si="156"/>
        <v>725244.07414247631</v>
      </c>
      <c r="DV67" s="115">
        <f t="shared" si="156"/>
        <v>756970.91261683509</v>
      </c>
      <c r="DW67" s="115">
        <f t="shared" si="156"/>
        <v>755575.06839526328</v>
      </c>
      <c r="DX67" s="115">
        <f t="shared" ref="DX67:EC67" si="157">DX$3*DX$8*(1-$D$22)*DX38+DX$3*DX$8*$D$22*DX39+DX$3*DX$9*DX40+DX$3*DX$10*DX41+DX$3*DX$11*(1-$D$23)*DX42+DX$3*DX$11*$D$23*DX43+DX$3*DX$12*(1-$D$24)*DX44+DX$3*DX$12*$D$24*DX45+DX$3*DX$13*DX46+DX$3*DX$14*DX47+DX$3*DX$15*DX48+DX$3*DX$16*DX49+DX$3*DX$17*DX50+DX$3*DX$18*DX51</f>
        <v>10480683.003388975</v>
      </c>
      <c r="DY67" s="115">
        <f t="shared" si="157"/>
        <v>10480683.003388975</v>
      </c>
      <c r="DZ67" s="115">
        <f t="shared" si="157"/>
        <v>10480683.003388975</v>
      </c>
      <c r="EA67" s="115">
        <f t="shared" si="157"/>
        <v>10480683.003388975</v>
      </c>
      <c r="EB67" s="115">
        <f t="shared" si="157"/>
        <v>10480683.003388975</v>
      </c>
      <c r="EC67" s="115">
        <f t="shared" si="157"/>
        <v>10480683.003388975</v>
      </c>
      <c r="ED67" s="115">
        <f>ED$3*ED$8*(1-$D$22)*ED38+ED$3*ED$8*$D$22*ED39+ED$3*ED$9*ED40+ED$3*ED$10*ED41+ED$3*ED$11*(1-$D$23)*ED42+ED$3*ED$11*$D$23*ED43+ED$3*ED$12*(1-$D$24)*ED44+ED$3*ED$12*$D$24*ED45+ED$3*ED$13*ED46+ED$3*ED$14*ED47+ED$3*ED$15*ED48+ED$3*ED$16*ED49+ED$3*ED$17*ED50+ED$3*ED$18*ED51</f>
        <v>10480683.003388975</v>
      </c>
      <c r="EH67" s="21" t="str">
        <f>[5]Battery_Sum!$A$193</f>
        <v>Energy use: mmBtu per vehicle lifetime</v>
      </c>
      <c r="EI67" s="21" t="s">
        <v>951</v>
      </c>
      <c r="EJ67" s="297">
        <f>(([7]Battery_Sum!H$176*([7]Mat_Sum!$BD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17.550913251476587</v>
      </c>
      <c r="EK67" s="62">
        <f>(([7]Battery_Sum!H$176*([7]Mat_Sum!$BF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26.534854451874825</v>
      </c>
      <c r="EL67" s="62">
        <f>(([7]Battery_Sum!H$176*([7]Mat_Sum!$BK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18.38705948608153</v>
      </c>
      <c r="EM67" s="62">
        <f>(([7]Battery_Sum!H$176*([7]Mat_Sum!$BL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17.238665592751261</v>
      </c>
      <c r="EN67" s="62">
        <f>(([7]Battery_Sum!H$176*([7]Mat_Sum!$BG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26.682490257730674</v>
      </c>
      <c r="EO67" s="62">
        <f>(([7]Battery_Sum!H$176*([7]Mat_Sum!$BH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26.986728378511966</v>
      </c>
      <c r="EP67" s="62">
        <f>(([7]Battery_Sum!H$176*([7]Mat_Sum!$BJ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20.708214326975359</v>
      </c>
      <c r="EQ67" s="62">
        <f>EP67</f>
        <v>20.708214326975359</v>
      </c>
      <c r="ER67" s="62">
        <f>(([7]Battery_Sum!H$176*([7]Mat_Sum!$BO15+[7]Mat_Sum!$BP15*[7]LiMn2O4!$E$9)+[7]Battery_Sum!H$177*[7]Mat_Sum!$BQ15+[7]Battery_Sum!H$178*[7]Mat_Sum!$BY15+[7]Battery_Sum!H$179*[7]Mat_Sum!$BR15+[7]Battery_Sum!H$180*[7]Mat_Sum!$Z15+[7]Battery_Sum!H$181*[7]Mat_Sum!$I15+[7]Battery_Sum!H$182*[7]Mat_Sum!$L15+[7]Battery_Sum!H$183*[7]Mat_Sum!$BS15+[7]Battery_Sum!H$184*[7]Mat_Sum!$BT15+[7]Battery_Sum!H$185*[7]Mat_Sum!$BU15+[7]Battery_Sum!H$186*[7]Mat_Sum!$AJ15+[7]Battery_Sum!H$187*[7]Mat_Sum!$AH15+[7]Battery_Sum!H$188*[7]Mat_Sum!$AI15+[7]Battery_Sum!H$189*[7]Mat_Sum!$D15+[7]Battery_Sum!H$190*[7]Mat_Sum!$AX15+[7]Battery_Sum!H$191*[7]Mat_Sum!$BW15+[7]Battery_Sum!H$192*[7]Mat_Sum!$BV15))*1</f>
        <v>27.979802847890866</v>
      </c>
    </row>
    <row r="68" spans="1:155" x14ac:dyDescent="0.3">
      <c r="A68" s="21" t="s">
        <v>132</v>
      </c>
      <c r="D68" s="115">
        <f>D55*D$3</f>
        <v>89.496100593578575</v>
      </c>
      <c r="E68" s="115">
        <f t="shared" ref="E68:R68" si="158">E55*E$3</f>
        <v>111.87012574197323</v>
      </c>
      <c r="F68" s="115">
        <f t="shared" si="158"/>
        <v>89.496100593578575</v>
      </c>
      <c r="G68" s="115">
        <f t="shared" si="158"/>
        <v>89.496100593578575</v>
      </c>
      <c r="H68" s="115">
        <f t="shared" si="158"/>
        <v>89.496100593578575</v>
      </c>
      <c r="I68" s="115">
        <f t="shared" ref="I68" si="159">I55*I$3</f>
        <v>89.496100593578575</v>
      </c>
      <c r="J68" s="115">
        <f t="shared" si="158"/>
        <v>89.496100593578575</v>
      </c>
      <c r="K68" s="115">
        <f t="shared" si="158"/>
        <v>89.496100593578575</v>
      </c>
      <c r="L68" s="115">
        <f t="shared" si="158"/>
        <v>89.496100593578575</v>
      </c>
      <c r="M68" s="115">
        <f t="shared" si="158"/>
        <v>89.496100593578575</v>
      </c>
      <c r="N68" s="115">
        <f t="shared" si="158"/>
        <v>89.496100593578575</v>
      </c>
      <c r="O68" s="115">
        <f t="shared" si="158"/>
        <v>89.496100593578575</v>
      </c>
      <c r="P68" s="115">
        <f t="shared" si="158"/>
        <v>89.496100593578575</v>
      </c>
      <c r="Q68" s="115">
        <f>Q55*Q$3</f>
        <v>89.496100593578575</v>
      </c>
      <c r="R68" s="115">
        <f t="shared" si="158"/>
        <v>89.496100593578575</v>
      </c>
      <c r="S68" s="115">
        <f t="shared" ref="S68:V69" si="160">S55*S$3</f>
        <v>111.87012574197323</v>
      </c>
      <c r="T68" s="115">
        <f t="shared" si="160"/>
        <v>89.496100593578575</v>
      </c>
      <c r="U68" s="115">
        <f t="shared" si="160"/>
        <v>89.496100593578575</v>
      </c>
      <c r="V68" s="115">
        <f t="shared" si="160"/>
        <v>89.496100593578575</v>
      </c>
      <c r="W68" s="115">
        <f t="shared" ref="W68:AX68" si="161">W55*W$3</f>
        <v>89.496100593578575</v>
      </c>
      <c r="X68" s="115">
        <f t="shared" ref="X68:AA69" si="162">X55*X$3</f>
        <v>202.62738417175783</v>
      </c>
      <c r="Y68" s="115">
        <f t="shared" si="162"/>
        <v>202.62738417175783</v>
      </c>
      <c r="Z68" s="115">
        <f t="shared" si="162"/>
        <v>202.62738417175783</v>
      </c>
      <c r="AA68" s="115">
        <f t="shared" si="162"/>
        <v>202.62738417175783</v>
      </c>
      <c r="AB68" s="115">
        <f t="shared" ref="AB68:AC68" si="163">AB55*AB$3</f>
        <v>202.62738417175783</v>
      </c>
      <c r="AC68" s="115">
        <f t="shared" si="163"/>
        <v>202.62738417175783</v>
      </c>
      <c r="AD68" s="115">
        <f t="shared" ref="AD68" si="164">AD55*AD$3</f>
        <v>202.62738417175783</v>
      </c>
      <c r="AE68" s="115">
        <f t="shared" ref="AE68" si="165">AE55*AE$3</f>
        <v>202.62738417175783</v>
      </c>
      <c r="AF68" s="115">
        <f t="shared" si="161"/>
        <v>89.496100593578575</v>
      </c>
      <c r="AG68" s="115">
        <f t="shared" si="161"/>
        <v>169.7957555811179</v>
      </c>
      <c r="AH68" s="115">
        <f t="shared" si="161"/>
        <v>191.60318549575553</v>
      </c>
      <c r="AI68" s="115">
        <f t="shared" si="161"/>
        <v>219.05139482316429</v>
      </c>
      <c r="AJ68" s="115">
        <f t="shared" si="161"/>
        <v>253.59482335919733</v>
      </c>
      <c r="AK68" s="115">
        <f t="shared" si="161"/>
        <v>773.11482913978739</v>
      </c>
      <c r="AL68" s="115">
        <f t="shared" si="161"/>
        <v>681.56000575045016</v>
      </c>
      <c r="AM68" s="115">
        <f t="shared" si="161"/>
        <v>773.11482913978739</v>
      </c>
      <c r="AN68" s="115">
        <f t="shared" si="161"/>
        <v>681.56000575045016</v>
      </c>
      <c r="AO68" s="115">
        <f t="shared" si="161"/>
        <v>12288.421964673304</v>
      </c>
      <c r="AP68" s="115">
        <f t="shared" si="161"/>
        <v>13007.009154609454</v>
      </c>
      <c r="AQ68" s="115">
        <f t="shared" si="161"/>
        <v>13664.977902758796</v>
      </c>
      <c r="AR68" s="115">
        <f t="shared" si="161"/>
        <v>11453.664719692111</v>
      </c>
      <c r="AS68" s="115">
        <f t="shared" si="161"/>
        <v>11453.664719692111</v>
      </c>
      <c r="AT68" s="115">
        <f t="shared" si="161"/>
        <v>11453.664719692111</v>
      </c>
      <c r="AU68" s="115">
        <f t="shared" si="161"/>
        <v>11453.664719692111</v>
      </c>
      <c r="AV68" s="115">
        <f t="shared" si="161"/>
        <v>11453.664719692111</v>
      </c>
      <c r="AW68" s="115">
        <f t="shared" si="161"/>
        <v>11453.664719692111</v>
      </c>
      <c r="AX68" s="115">
        <f t="shared" si="161"/>
        <v>11453.664719692111</v>
      </c>
      <c r="AY68" s="115">
        <f t="shared" ref="AY68:BH69" si="166">AY55*AY$3</f>
        <v>13805.902994326019</v>
      </c>
      <c r="AZ68" s="115">
        <f t="shared" si="166"/>
        <v>13805.902994326019</v>
      </c>
      <c r="BA68" s="115">
        <f t="shared" si="166"/>
        <v>13805.902994326019</v>
      </c>
      <c r="BB68" s="115">
        <f t="shared" si="166"/>
        <v>13805.902994326019</v>
      </c>
      <c r="BC68" s="115">
        <f t="shared" si="166"/>
        <v>12288.421964673304</v>
      </c>
      <c r="BD68" s="115">
        <f>BD55*BD$3</f>
        <v>12288.421964673304</v>
      </c>
      <c r="BE68" s="115">
        <f>BE55*BE$3</f>
        <v>12288.421964673304</v>
      </c>
      <c r="BF68" s="115">
        <f t="shared" si="166"/>
        <v>12288.421964673304</v>
      </c>
      <c r="BG68" s="115">
        <f t="shared" si="166"/>
        <v>12288.421964673304</v>
      </c>
      <c r="BH68" s="115">
        <f t="shared" si="166"/>
        <v>12288.421964673304</v>
      </c>
      <c r="BI68" s="115">
        <f t="shared" ref="BI68:BT68" si="167">BI55*BI$3</f>
        <v>12288.421964673304</v>
      </c>
      <c r="BJ68" s="115">
        <f t="shared" si="167"/>
        <v>13007.009154609454</v>
      </c>
      <c r="BK68" s="115">
        <f t="shared" si="167"/>
        <v>13664.977902758796</v>
      </c>
      <c r="BL68" s="115">
        <f t="shared" si="167"/>
        <v>11453.664719692111</v>
      </c>
      <c r="BM68" s="115">
        <f t="shared" si="167"/>
        <v>11453.664719692111</v>
      </c>
      <c r="BN68" s="115">
        <f t="shared" si="167"/>
        <v>11453.664719692111</v>
      </c>
      <c r="BO68" s="115">
        <f t="shared" si="167"/>
        <v>11453.664719692111</v>
      </c>
      <c r="BP68" s="115">
        <f t="shared" si="167"/>
        <v>11453.664719692111</v>
      </c>
      <c r="BQ68" s="115">
        <f t="shared" si="167"/>
        <v>11453.664719692111</v>
      </c>
      <c r="BR68" s="115">
        <f t="shared" si="167"/>
        <v>11453.664719692111</v>
      </c>
      <c r="BS68" s="115">
        <f t="shared" si="167"/>
        <v>11453.664719692111</v>
      </c>
      <c r="BT68" s="115">
        <f t="shared" si="167"/>
        <v>11453.664719692111</v>
      </c>
      <c r="BU68" s="115">
        <f t="shared" ref="BU68:CC68" si="168">BU55*BU$3</f>
        <v>11453.664719692111</v>
      </c>
      <c r="BV68" s="115">
        <f t="shared" si="168"/>
        <v>11453.664719692111</v>
      </c>
      <c r="BW68" s="115">
        <f t="shared" si="168"/>
        <v>11453.664719692111</v>
      </c>
      <c r="BX68" s="115">
        <f t="shared" si="168"/>
        <v>11453.664719692111</v>
      </c>
      <c r="BY68" s="115">
        <f t="shared" si="168"/>
        <v>11453.664719692111</v>
      </c>
      <c r="BZ68" s="115">
        <f t="shared" si="168"/>
        <v>11453.664719692111</v>
      </c>
      <c r="CA68" s="115">
        <f t="shared" si="168"/>
        <v>11453.664719692111</v>
      </c>
      <c r="CB68" s="115">
        <f t="shared" si="168"/>
        <v>11453.664719692111</v>
      </c>
      <c r="CC68" s="115">
        <f t="shared" si="168"/>
        <v>11453.664719692111</v>
      </c>
      <c r="CD68" s="115">
        <f t="shared" ref="CD68:CG69" si="169">CD55*CD$3</f>
        <v>13805.902994326019</v>
      </c>
      <c r="CE68" s="115">
        <f t="shared" si="169"/>
        <v>13805.902994326019</v>
      </c>
      <c r="CF68" s="115">
        <f t="shared" si="169"/>
        <v>13805.902994326019</v>
      </c>
      <c r="CG68" s="115">
        <f t="shared" si="169"/>
        <v>13805.902994326019</v>
      </c>
      <c r="CH68" s="115">
        <f t="shared" ref="CH68:CL69" si="170">CH55*CH$3</f>
        <v>12288.421964673304</v>
      </c>
      <c r="CI68" s="115">
        <f t="shared" si="170"/>
        <v>13007.009154609454</v>
      </c>
      <c r="CJ68" s="115">
        <f t="shared" si="170"/>
        <v>13664.977902758796</v>
      </c>
      <c r="CK68" s="115">
        <f t="shared" si="170"/>
        <v>11453.664719692111</v>
      </c>
      <c r="CL68" s="115">
        <f t="shared" si="170"/>
        <v>11453.664719692111</v>
      </c>
      <c r="CM68" s="115">
        <f t="shared" ref="CM68:CX68" si="171">CM55*CM$3</f>
        <v>13805.902994326019</v>
      </c>
      <c r="CN68" s="115">
        <f t="shared" si="171"/>
        <v>15612.050975315107</v>
      </c>
      <c r="CO68" s="115">
        <f t="shared" si="171"/>
        <v>16468.540652515683</v>
      </c>
      <c r="CP68" s="115">
        <f t="shared" si="171"/>
        <v>17249.878540943035</v>
      </c>
      <c r="CQ68" s="115">
        <f t="shared" si="171"/>
        <v>14618.59455387655</v>
      </c>
      <c r="CR68" s="115">
        <f t="shared" si="171"/>
        <v>17587.678529900462</v>
      </c>
      <c r="CS68" s="115">
        <f t="shared" si="171"/>
        <v>15612.050975315107</v>
      </c>
      <c r="CT68" s="115">
        <f t="shared" si="171"/>
        <v>16468.540652515683</v>
      </c>
      <c r="CU68" s="115">
        <f t="shared" si="171"/>
        <v>17249.878540943035</v>
      </c>
      <c r="CV68" s="115">
        <f t="shared" si="171"/>
        <v>14618.59455387655</v>
      </c>
      <c r="CW68" s="115">
        <f t="shared" si="171"/>
        <v>14618.59455387655</v>
      </c>
      <c r="CX68" s="115">
        <f t="shared" si="171"/>
        <v>17587.678529900462</v>
      </c>
      <c r="CY68" s="115">
        <f t="shared" ref="CY68:DC69" si="172">CY55*CY$3</f>
        <v>15612.050975315107</v>
      </c>
      <c r="CZ68" s="115">
        <f t="shared" si="172"/>
        <v>16468.540652515683</v>
      </c>
      <c r="DA68" s="115">
        <f t="shared" si="172"/>
        <v>17249.878540943035</v>
      </c>
      <c r="DB68" s="115">
        <f t="shared" si="172"/>
        <v>14618.59455387655</v>
      </c>
      <c r="DC68" s="115">
        <f t="shared" si="172"/>
        <v>14618.59455387655</v>
      </c>
      <c r="DD68" s="115">
        <f t="shared" ref="DD68:DF69" si="173">DD55*DD$3</f>
        <v>17587.678529900462</v>
      </c>
      <c r="DE68" s="115">
        <f t="shared" si="173"/>
        <v>29231.798919720943</v>
      </c>
      <c r="DF68" s="115">
        <f t="shared" si="173"/>
        <v>29652.226117403097</v>
      </c>
      <c r="DG68" s="115"/>
      <c r="DH68" s="115">
        <f t="shared" ref="DH68:DJ69" si="174">DH55*DH$3</f>
        <v>30368.371481880109</v>
      </c>
      <c r="DI68" s="115">
        <f t="shared" si="174"/>
        <v>30368.371481880109</v>
      </c>
      <c r="DJ68" s="115">
        <f t="shared" si="174"/>
        <v>33572.59302601494</v>
      </c>
      <c r="DK68" s="115">
        <f t="shared" ref="DK68:DP68" si="175">DK55*DK$3</f>
        <v>85519.65950420755</v>
      </c>
      <c r="DL68" s="115">
        <f t="shared" si="175"/>
        <v>85519.65950420755</v>
      </c>
      <c r="DM68" s="115">
        <f>DM55*DM$3</f>
        <v>85519.65950420755</v>
      </c>
      <c r="DN68" s="115">
        <f t="shared" si="175"/>
        <v>85519.65950420755</v>
      </c>
      <c r="DO68" s="115">
        <f t="shared" si="175"/>
        <v>85519.65950420755</v>
      </c>
      <c r="DP68" s="115">
        <f t="shared" si="175"/>
        <v>85519.65950420755</v>
      </c>
      <c r="DQ68" s="115">
        <f>DQ55*DQ$3</f>
        <v>85519.65950420755</v>
      </c>
      <c r="DR68" s="115">
        <f>DR55*DR$3</f>
        <v>84137.922362766229</v>
      </c>
      <c r="DS68" s="115">
        <f t="shared" ref="DS68" si="176">DS55*DS$3</f>
        <v>95459.24185473143</v>
      </c>
      <c r="DT68" s="115">
        <f t="shared" ref="DT68:DW69" si="177">DT55*DT$3</f>
        <v>95459.24185473143</v>
      </c>
      <c r="DU68" s="115">
        <f t="shared" si="177"/>
        <v>95459.24185473143</v>
      </c>
      <c r="DV68" s="115">
        <f t="shared" ref="DV68" si="178">DV55*DV$3</f>
        <v>99635.242811086471</v>
      </c>
      <c r="DW68" s="115">
        <f t="shared" si="177"/>
        <v>99635.242811086471</v>
      </c>
      <c r="DX68" s="115">
        <f t="shared" ref="DX68:EC68" si="179">DX55*DX$3</f>
        <v>1529780.4065957495</v>
      </c>
      <c r="DY68" s="115">
        <f t="shared" si="179"/>
        <v>1529780.4065957495</v>
      </c>
      <c r="DZ68" s="115">
        <f t="shared" si="179"/>
        <v>1529780.4065957495</v>
      </c>
      <c r="EA68" s="115">
        <f t="shared" si="179"/>
        <v>1529780.4065957495</v>
      </c>
      <c r="EB68" s="115">
        <f t="shared" si="179"/>
        <v>1529780.4065957495</v>
      </c>
      <c r="EC68" s="115">
        <f t="shared" si="179"/>
        <v>1529780.4065957495</v>
      </c>
      <c r="ED68" s="115">
        <f>ED55*ED$3</f>
        <v>1529780.4065957495</v>
      </c>
      <c r="EF68" s="74" t="s">
        <v>226</v>
      </c>
      <c r="EI68" s="21" t="s">
        <v>950</v>
      </c>
      <c r="EJ68" s="62">
        <f>(([5]Battery_Sum!H$176*([5]Mat_Sum!$BD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14.531876940515509</v>
      </c>
      <c r="EK68" s="62">
        <f>(([5]Battery_Sum!H$176*([5]Mat_Sum!$BF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23.515818140913748</v>
      </c>
      <c r="EL68" s="62">
        <f>(([5]Battery_Sum!H$176*([5]Mat_Sum!$BK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15.368023175120452</v>
      </c>
      <c r="EM68" s="62">
        <f>(([5]Battery_Sum!H$176*([5]Mat_Sum!$BL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14.219629281790183</v>
      </c>
      <c r="EN68" s="62">
        <f>(([5]Battery_Sum!H$176*([5]Mat_Sum!$BG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23.663453946769597</v>
      </c>
      <c r="EO68" s="62">
        <f>(([5]Battery_Sum!H$176*([5]Mat_Sum!$BH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23.967692067550889</v>
      </c>
      <c r="EP68" s="62">
        <f>(([5]Battery_Sum!H$176*([5]Mat_Sum!$BJ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17.689178016014278</v>
      </c>
      <c r="EQ68" s="62">
        <f>EP68</f>
        <v>17.689178016014278</v>
      </c>
      <c r="ER68" s="62">
        <f>(([5]Battery_Sum!H$176*([5]Mat_Sum!$BO15+[5]Mat_Sum!$BP15*[5]LiMn2O4!$E$9)+[5]Battery_Sum!H$177*[5]Mat_Sum!$BQ15+[5]Battery_Sum!H$178*[5]Mat_Sum!$BY15+[5]Battery_Sum!H$179*[5]Mat_Sum!$BR15+[5]Battery_Sum!H$180*[5]Mat_Sum!$Z15+[5]Battery_Sum!H$181*[5]Mat_Sum!$I15+[5]Battery_Sum!H$182*[5]Mat_Sum!$L15+[5]Battery_Sum!H$183*[5]Mat_Sum!$BS15+[5]Battery_Sum!H$184*[5]Mat_Sum!$BT15+[5]Battery_Sum!H$185*[5]Mat_Sum!$BU15+[5]Battery_Sum!H$186*[5]Mat_Sum!$AJ15+[5]Battery_Sum!H$187*[5]Mat_Sum!$AH15+[5]Battery_Sum!H$188*[5]Mat_Sum!$AI15+[5]Battery_Sum!H$189*[5]Mat_Sum!$D15+[5]Battery_Sum!H$190*[5]Mat_Sum!$AX15+[5]Battery_Sum!H$191*[5]Mat_Sum!$BW15+[5]Battery_Sum!H$192*[5]Mat_Sum!$BV15))*1</f>
        <v>24.960766536929789</v>
      </c>
    </row>
    <row r="69" spans="1:155" x14ac:dyDescent="0.3">
      <c r="A69" s="21" t="s">
        <v>133</v>
      </c>
      <c r="D69" s="115">
        <f>D56*D$3</f>
        <v>24.654785249284167</v>
      </c>
      <c r="E69" s="115">
        <f t="shared" ref="E69:R69" si="180">E56*E$3</f>
        <v>30.818481561605207</v>
      </c>
      <c r="F69" s="115">
        <f t="shared" si="180"/>
        <v>24.654785249284167</v>
      </c>
      <c r="G69" s="115">
        <f t="shared" si="180"/>
        <v>24.654785249284167</v>
      </c>
      <c r="H69" s="115">
        <f t="shared" si="180"/>
        <v>24.654785249284167</v>
      </c>
      <c r="I69" s="115">
        <f t="shared" ref="I69" si="181">I56*I$3</f>
        <v>24.654785249284167</v>
      </c>
      <c r="J69" s="115">
        <f t="shared" si="180"/>
        <v>24.654785249284167</v>
      </c>
      <c r="K69" s="115">
        <f t="shared" si="180"/>
        <v>24.654785249284167</v>
      </c>
      <c r="L69" s="115">
        <f t="shared" si="180"/>
        <v>24.654785249284167</v>
      </c>
      <c r="M69" s="115">
        <f t="shared" si="180"/>
        <v>24.654785249284167</v>
      </c>
      <c r="N69" s="115">
        <f t="shared" si="180"/>
        <v>24.654785249284167</v>
      </c>
      <c r="O69" s="115">
        <f t="shared" si="180"/>
        <v>24.654785249284167</v>
      </c>
      <c r="P69" s="115">
        <f t="shared" si="180"/>
        <v>24.654785249284167</v>
      </c>
      <c r="Q69" s="115">
        <f>Q56*Q$3</f>
        <v>24.654785249284167</v>
      </c>
      <c r="R69" s="115">
        <f t="shared" si="180"/>
        <v>24.654785249284167</v>
      </c>
      <c r="S69" s="115">
        <f t="shared" si="160"/>
        <v>30.818481561605207</v>
      </c>
      <c r="T69" s="115">
        <f t="shared" si="160"/>
        <v>24.654785249284167</v>
      </c>
      <c r="U69" s="115">
        <f t="shared" si="160"/>
        <v>24.654785249284167</v>
      </c>
      <c r="V69" s="115">
        <f t="shared" si="160"/>
        <v>24.654785249284167</v>
      </c>
      <c r="W69" s="115">
        <f t="shared" ref="W69:AX69" si="182">W56*W$3</f>
        <v>24.654785249284167</v>
      </c>
      <c r="X69" s="115">
        <f t="shared" si="162"/>
        <v>55.820696200671556</v>
      </c>
      <c r="Y69" s="115">
        <f t="shared" si="162"/>
        <v>55.820696200671556</v>
      </c>
      <c r="Z69" s="115">
        <f t="shared" si="162"/>
        <v>55.820696200671556</v>
      </c>
      <c r="AA69" s="115">
        <f t="shared" si="162"/>
        <v>55.820696200671556</v>
      </c>
      <c r="AB69" s="115">
        <f t="shared" ref="AB69:AC69" si="183">AB56*AB$3</f>
        <v>55.820696200671556</v>
      </c>
      <c r="AC69" s="115">
        <f t="shared" si="183"/>
        <v>55.820696200671556</v>
      </c>
      <c r="AD69" s="115">
        <f t="shared" ref="AD69" si="184">AD56*AD$3</f>
        <v>55.820696200671556</v>
      </c>
      <c r="AE69" s="115">
        <f t="shared" ref="AE69" si="185">AE56*AE$3</f>
        <v>55.820696200671556</v>
      </c>
      <c r="AF69" s="115">
        <f t="shared" si="182"/>
        <v>24.654785249284167</v>
      </c>
      <c r="AG69" s="115">
        <f t="shared" si="182"/>
        <v>46.776092615511942</v>
      </c>
      <c r="AH69" s="115">
        <f t="shared" si="182"/>
        <v>52.783700743890925</v>
      </c>
      <c r="AI69" s="115">
        <f t="shared" si="182"/>
        <v>60.345255962009759</v>
      </c>
      <c r="AJ69" s="115">
        <f t="shared" si="182"/>
        <v>69.861433836590777</v>
      </c>
      <c r="AK69" s="115">
        <f t="shared" si="182"/>
        <v>212.98112385967036</v>
      </c>
      <c r="AL69" s="115">
        <f t="shared" si="182"/>
        <v>187.75919246568731</v>
      </c>
      <c r="AM69" s="115">
        <f t="shared" si="182"/>
        <v>212.98112385967036</v>
      </c>
      <c r="AN69" s="115">
        <f t="shared" si="182"/>
        <v>187.75919246568731</v>
      </c>
      <c r="AO69" s="115">
        <f t="shared" si="182"/>
        <v>3385.2693310902214</v>
      </c>
      <c r="AP69" s="115">
        <f t="shared" si="182"/>
        <v>3583.2289375228793</v>
      </c>
      <c r="AQ69" s="115">
        <f t="shared" si="182"/>
        <v>3764.4891050471647</v>
      </c>
      <c r="AR69" s="115">
        <f t="shared" si="182"/>
        <v>3155.3066793792027</v>
      </c>
      <c r="AS69" s="115">
        <f t="shared" si="182"/>
        <v>3155.3066793792027</v>
      </c>
      <c r="AT69" s="115">
        <f t="shared" si="182"/>
        <v>3155.3066793792027</v>
      </c>
      <c r="AU69" s="115">
        <f t="shared" si="182"/>
        <v>3155.3066793792027</v>
      </c>
      <c r="AV69" s="115">
        <f t="shared" si="182"/>
        <v>3155.3066793792027</v>
      </c>
      <c r="AW69" s="115">
        <f t="shared" si="182"/>
        <v>3155.3066793792027</v>
      </c>
      <c r="AX69" s="115">
        <f t="shared" si="182"/>
        <v>3155.3066793792027</v>
      </c>
      <c r="AY69" s="115">
        <f t="shared" si="166"/>
        <v>3803.3117782785266</v>
      </c>
      <c r="AZ69" s="115">
        <f t="shared" si="166"/>
        <v>3803.3117782785266</v>
      </c>
      <c r="BA69" s="115">
        <f t="shared" si="166"/>
        <v>3803.3117782785266</v>
      </c>
      <c r="BB69" s="115">
        <f t="shared" si="166"/>
        <v>3803.3117782785266</v>
      </c>
      <c r="BC69" s="115">
        <f t="shared" si="166"/>
        <v>3385.2693310902214</v>
      </c>
      <c r="BD69" s="115">
        <f>BD56*BD$3</f>
        <v>3385.2693310902214</v>
      </c>
      <c r="BE69" s="115">
        <f>BE56*BE$3</f>
        <v>3385.2693310902214</v>
      </c>
      <c r="BF69" s="115">
        <f t="shared" si="166"/>
        <v>3385.2693310902214</v>
      </c>
      <c r="BG69" s="115">
        <f t="shared" si="166"/>
        <v>3385.2693310902214</v>
      </c>
      <c r="BH69" s="115">
        <f t="shared" si="166"/>
        <v>3385.2693310902214</v>
      </c>
      <c r="BI69" s="115">
        <f t="shared" ref="BI69:BT69" si="186">BI56*BI$3</f>
        <v>3385.2693310902214</v>
      </c>
      <c r="BJ69" s="115">
        <f t="shared" si="186"/>
        <v>3583.2289375228793</v>
      </c>
      <c r="BK69" s="115">
        <f t="shared" si="186"/>
        <v>3764.4891050471647</v>
      </c>
      <c r="BL69" s="115">
        <f t="shared" si="186"/>
        <v>3155.3066793792027</v>
      </c>
      <c r="BM69" s="115">
        <f t="shared" si="186"/>
        <v>3155.3066793792027</v>
      </c>
      <c r="BN69" s="115">
        <f t="shared" si="186"/>
        <v>3155.3066793792027</v>
      </c>
      <c r="BO69" s="115">
        <f t="shared" si="186"/>
        <v>3155.3066793792027</v>
      </c>
      <c r="BP69" s="115">
        <f t="shared" si="186"/>
        <v>3155.3066793792027</v>
      </c>
      <c r="BQ69" s="115">
        <f t="shared" si="186"/>
        <v>3155.3066793792027</v>
      </c>
      <c r="BR69" s="115">
        <f t="shared" si="186"/>
        <v>3155.3066793792027</v>
      </c>
      <c r="BS69" s="115">
        <f t="shared" si="186"/>
        <v>3155.3066793792027</v>
      </c>
      <c r="BT69" s="115">
        <f t="shared" si="186"/>
        <v>3155.3066793792027</v>
      </c>
      <c r="BU69" s="115">
        <f t="shared" ref="BU69:CC69" si="187">BU56*BU$3</f>
        <v>3155.3066793792027</v>
      </c>
      <c r="BV69" s="115">
        <f t="shared" si="187"/>
        <v>3155.3066793792027</v>
      </c>
      <c r="BW69" s="115">
        <f t="shared" si="187"/>
        <v>3155.3066793792027</v>
      </c>
      <c r="BX69" s="115">
        <f t="shared" si="187"/>
        <v>3155.3066793792027</v>
      </c>
      <c r="BY69" s="115">
        <f t="shared" si="187"/>
        <v>3155.3066793792027</v>
      </c>
      <c r="BZ69" s="115">
        <f t="shared" si="187"/>
        <v>3155.3066793792027</v>
      </c>
      <c r="CA69" s="115">
        <f t="shared" si="187"/>
        <v>3155.3066793792027</v>
      </c>
      <c r="CB69" s="115">
        <f t="shared" si="187"/>
        <v>3155.3066793792027</v>
      </c>
      <c r="CC69" s="115">
        <f t="shared" si="187"/>
        <v>3155.3066793792027</v>
      </c>
      <c r="CD69" s="115">
        <f t="shared" si="169"/>
        <v>3803.3117782785266</v>
      </c>
      <c r="CE69" s="115">
        <f t="shared" si="169"/>
        <v>3803.3117782785266</v>
      </c>
      <c r="CF69" s="115">
        <f t="shared" si="169"/>
        <v>3803.3117782785266</v>
      </c>
      <c r="CG69" s="115">
        <f t="shared" si="169"/>
        <v>3803.3117782785266</v>
      </c>
      <c r="CH69" s="115">
        <f>CH56*CH$3</f>
        <v>3385.2693310902214</v>
      </c>
      <c r="CI69" s="115">
        <f>CI56*CI$3</f>
        <v>3583.2289375228793</v>
      </c>
      <c r="CJ69" s="115">
        <f>CJ56*CJ$3</f>
        <v>3764.4891050471647</v>
      </c>
      <c r="CK69" s="115">
        <f>CK56*CK$3</f>
        <v>3155.3066793792027</v>
      </c>
      <c r="CL69" s="115">
        <f t="shared" si="170"/>
        <v>3155.3066793792027</v>
      </c>
      <c r="CM69" s="115">
        <f t="shared" ref="CM69:CX69" si="188">CM56*CM$3</f>
        <v>3803.3117782785266</v>
      </c>
      <c r="CN69" s="115">
        <f t="shared" si="188"/>
        <v>4300.8774856598511</v>
      </c>
      <c r="CO69" s="115">
        <f t="shared" si="188"/>
        <v>4536.8270847994145</v>
      </c>
      <c r="CP69" s="115">
        <f t="shared" si="188"/>
        <v>4752.0735337345059</v>
      </c>
      <c r="CQ69" s="115">
        <f t="shared" si="188"/>
        <v>4027.1956764789115</v>
      </c>
      <c r="CR69" s="115">
        <f t="shared" si="188"/>
        <v>4845.1321824322522</v>
      </c>
      <c r="CS69" s="115">
        <f t="shared" si="188"/>
        <v>4300.8774856598511</v>
      </c>
      <c r="CT69" s="115">
        <f t="shared" si="188"/>
        <v>4536.8270847994145</v>
      </c>
      <c r="CU69" s="115">
        <f t="shared" si="188"/>
        <v>4752.0735337345059</v>
      </c>
      <c r="CV69" s="115">
        <f t="shared" si="188"/>
        <v>4027.1956764789115</v>
      </c>
      <c r="CW69" s="115">
        <f t="shared" si="188"/>
        <v>4027.1956764789115</v>
      </c>
      <c r="CX69" s="115">
        <f t="shared" si="188"/>
        <v>4845.1321824322522</v>
      </c>
      <c r="CY69" s="115">
        <f>CY56*CY$3</f>
        <v>4300.8774856598511</v>
      </c>
      <c r="CZ69" s="115">
        <f>CZ56*CZ$3</f>
        <v>4536.8270847994145</v>
      </c>
      <c r="DA69" s="115">
        <f>DA56*DA$3</f>
        <v>4752.0735337345059</v>
      </c>
      <c r="DB69" s="115">
        <f>DB56*DB$3</f>
        <v>4027.1956764789115</v>
      </c>
      <c r="DC69" s="115">
        <f t="shared" si="172"/>
        <v>4027.1956764789115</v>
      </c>
      <c r="DD69" s="115">
        <f t="shared" si="173"/>
        <v>4845.1321824322522</v>
      </c>
      <c r="DE69" s="115">
        <f t="shared" si="173"/>
        <v>8052.9064399001072</v>
      </c>
      <c r="DF69" s="115">
        <f t="shared" si="173"/>
        <v>8168.7276008564268</v>
      </c>
      <c r="DG69" s="115"/>
      <c r="DH69" s="115">
        <f t="shared" si="174"/>
        <v>8366.0145223127329</v>
      </c>
      <c r="DI69" s="115">
        <f t="shared" si="174"/>
        <v>8366.0145223127329</v>
      </c>
      <c r="DJ69" s="115">
        <f t="shared" si="174"/>
        <v>9248.7277750445774</v>
      </c>
      <c r="DK69" s="115">
        <f t="shared" ref="DK69:DP69" si="189">DK56*DK$3</f>
        <v>23559.337509498429</v>
      </c>
      <c r="DL69" s="115">
        <f t="shared" si="189"/>
        <v>23559.337509498429</v>
      </c>
      <c r="DM69" s="115">
        <f>DM56*DM$3</f>
        <v>23559.337509498429</v>
      </c>
      <c r="DN69" s="115">
        <f t="shared" si="189"/>
        <v>23559.337509498429</v>
      </c>
      <c r="DO69" s="115">
        <f t="shared" si="189"/>
        <v>23559.337509498429</v>
      </c>
      <c r="DP69" s="115">
        <f t="shared" si="189"/>
        <v>23559.337509498429</v>
      </c>
      <c r="DQ69" s="115">
        <f>DQ56*DQ$3</f>
        <v>23559.337509498429</v>
      </c>
      <c r="DR69" s="115">
        <f>DR56*DR$3</f>
        <v>23178.69039451519</v>
      </c>
      <c r="DS69" s="115">
        <f t="shared" ref="DS69" si="190">DS56*DS$3</f>
        <v>26297.538019849209</v>
      </c>
      <c r="DT69" s="115">
        <f t="shared" si="177"/>
        <v>26297.538019849209</v>
      </c>
      <c r="DU69" s="115">
        <f t="shared" si="177"/>
        <v>26297.538019849209</v>
      </c>
      <c r="DV69" s="115">
        <f t="shared" ref="DV69" si="191">DV56*DV$3</f>
        <v>27447.961402509151</v>
      </c>
      <c r="DW69" s="115">
        <f t="shared" si="177"/>
        <v>27447.961402509151</v>
      </c>
      <c r="DX69" s="115">
        <f t="shared" ref="DX69:EC69" si="192">DX56*DX$3</f>
        <v>421430.73444573075</v>
      </c>
      <c r="DY69" s="115">
        <f t="shared" si="192"/>
        <v>421430.73444573075</v>
      </c>
      <c r="DZ69" s="115">
        <f t="shared" si="192"/>
        <v>421430.73444573075</v>
      </c>
      <c r="EA69" s="115">
        <f t="shared" si="192"/>
        <v>421430.73444573075</v>
      </c>
      <c r="EB69" s="115">
        <f t="shared" si="192"/>
        <v>421430.73444573075</v>
      </c>
      <c r="EC69" s="115">
        <f t="shared" si="192"/>
        <v>421430.73444573075</v>
      </c>
      <c r="ED69" s="115">
        <f>ED56*ED$3</f>
        <v>421430.73444573075</v>
      </c>
      <c r="EF69" s="74" t="s">
        <v>226</v>
      </c>
    </row>
    <row r="70" spans="1:155" s="24" customFormat="1" x14ac:dyDescent="0.3">
      <c r="A70" s="24" t="s">
        <v>25</v>
      </c>
      <c r="D70" s="118">
        <f>SUM(D67:D69)</f>
        <v>1468.2614383433247</v>
      </c>
      <c r="E70" s="118">
        <f t="shared" ref="E70:P70" si="193">SUM(E67:E69)</f>
        <v>1835.3267979291559</v>
      </c>
      <c r="F70" s="118">
        <f t="shared" si="193"/>
        <v>1104.6744517852974</v>
      </c>
      <c r="G70" s="118">
        <f t="shared" si="193"/>
        <v>1468.2614383433247</v>
      </c>
      <c r="H70" s="118">
        <f t="shared" si="193"/>
        <v>1468.2614383433247</v>
      </c>
      <c r="I70" s="118">
        <f t="shared" ref="I70" si="194">SUM(I67:I69)</f>
        <v>1468.2614383433247</v>
      </c>
      <c r="J70" s="118">
        <f t="shared" si="193"/>
        <v>1468.2614383433247</v>
      </c>
      <c r="K70" s="118">
        <f t="shared" si="193"/>
        <v>1468.2614383433247</v>
      </c>
      <c r="L70" s="118">
        <f t="shared" si="193"/>
        <v>1468.2614383433247</v>
      </c>
      <c r="M70" s="118">
        <f t="shared" si="193"/>
        <v>1468.2614383433247</v>
      </c>
      <c r="N70" s="118">
        <f t="shared" si="193"/>
        <v>1468.2614383433247</v>
      </c>
      <c r="O70" s="118">
        <f t="shared" si="193"/>
        <v>1468.2614383433247</v>
      </c>
      <c r="P70" s="118">
        <f t="shared" si="193"/>
        <v>1468.2614383433247</v>
      </c>
      <c r="Q70" s="118">
        <f t="shared" ref="Q70:BD70" si="195">SUM(Q67:Q69)</f>
        <v>1468.2614383433247</v>
      </c>
      <c r="R70" s="118">
        <f t="shared" si="195"/>
        <v>1468.2614383433247</v>
      </c>
      <c r="S70" s="118">
        <f t="shared" si="195"/>
        <v>1835.3267979291559</v>
      </c>
      <c r="T70" s="118">
        <f t="shared" si="195"/>
        <v>1104.6744517852974</v>
      </c>
      <c r="U70" s="118">
        <f t="shared" si="195"/>
        <v>1468.2614383433247</v>
      </c>
      <c r="V70" s="118">
        <f t="shared" si="195"/>
        <v>1468.2614383433247</v>
      </c>
      <c r="W70" s="118">
        <f t="shared" si="195"/>
        <v>1468.2614383433247</v>
      </c>
      <c r="X70" s="118">
        <f t="shared" ref="X70:Y70" si="196">SUM(X67:X69)</f>
        <v>2508.1944586286486</v>
      </c>
      <c r="Y70" s="118">
        <f t="shared" si="196"/>
        <v>3234.5156651357079</v>
      </c>
      <c r="Z70" s="118">
        <f t="shared" si="195"/>
        <v>3234.5156651357079</v>
      </c>
      <c r="AA70" s="118">
        <f t="shared" ref="AA70" si="197">SUM(AA67:AA69)</f>
        <v>3234.5156651357079</v>
      </c>
      <c r="AB70" s="118">
        <f t="shared" ref="AB70:AC70" si="198">SUM(AB67:AB69)</f>
        <v>2508.1944586286486</v>
      </c>
      <c r="AC70" s="118">
        <f t="shared" si="198"/>
        <v>3234.5156651357079</v>
      </c>
      <c r="AD70" s="118">
        <f t="shared" ref="AD70" si="199">SUM(AD67:AD69)</f>
        <v>3234.5156651357079</v>
      </c>
      <c r="AE70" s="118">
        <f t="shared" ref="AE70" si="200">SUM(AE67:AE69)</f>
        <v>3234.5156651357079</v>
      </c>
      <c r="AF70" s="118">
        <f t="shared" si="195"/>
        <v>1468.2614383433247</v>
      </c>
      <c r="AG70" s="118">
        <f t="shared" si="195"/>
        <v>1158.9546481715483</v>
      </c>
      <c r="AH70" s="118">
        <f t="shared" si="195"/>
        <v>1412.984368351287</v>
      </c>
      <c r="AI70" s="118">
        <f t="shared" si="195"/>
        <v>1483.9804566951814</v>
      </c>
      <c r="AJ70" s="118">
        <f t="shared" si="195"/>
        <v>1664.3395014576229</v>
      </c>
      <c r="AK70" s="118">
        <f t="shared" si="195"/>
        <v>4570.7318656800235</v>
      </c>
      <c r="AL70" s="118">
        <f t="shared" si="195"/>
        <v>4253.2386736812514</v>
      </c>
      <c r="AM70" s="118">
        <f t="shared" si="195"/>
        <v>4570.7318656800235</v>
      </c>
      <c r="AN70" s="118">
        <f t="shared" si="195"/>
        <v>4253.2386736812514</v>
      </c>
      <c r="AO70" s="118">
        <f t="shared" si="195"/>
        <v>78358.122609938073</v>
      </c>
      <c r="AP70" s="118">
        <f t="shared" si="195"/>
        <v>81668.355058701243</v>
      </c>
      <c r="AQ70" s="118">
        <f t="shared" si="195"/>
        <v>85454.146863391696</v>
      </c>
      <c r="AR70" s="118">
        <f t="shared" si="195"/>
        <v>74334.428387985943</v>
      </c>
      <c r="AS70" s="118">
        <f t="shared" si="195"/>
        <v>74334.428387985943</v>
      </c>
      <c r="AT70" s="118">
        <f t="shared" si="195"/>
        <v>74334.428387985943</v>
      </c>
      <c r="AU70" s="118">
        <f t="shared" si="195"/>
        <v>72593.300567385086</v>
      </c>
      <c r="AV70" s="118">
        <f t="shared" si="195"/>
        <v>74334.428387985943</v>
      </c>
      <c r="AW70" s="118">
        <f t="shared" si="195"/>
        <v>74334.428387985943</v>
      </c>
      <c r="AX70" s="118">
        <f t="shared" si="195"/>
        <v>74334.428387985943</v>
      </c>
      <c r="AY70" s="118">
        <f t="shared" si="195"/>
        <v>137252.27285677669</v>
      </c>
      <c r="AZ70" s="118">
        <f t="shared" si="195"/>
        <v>137252.27285677669</v>
      </c>
      <c r="BA70" s="118">
        <f t="shared" si="195"/>
        <v>137252.27285677669</v>
      </c>
      <c r="BB70" s="118">
        <f t="shared" si="195"/>
        <v>137252.27285677669</v>
      </c>
      <c r="BC70" s="118">
        <f t="shared" si="195"/>
        <v>78358.122609938073</v>
      </c>
      <c r="BD70" s="118">
        <f t="shared" si="195"/>
        <v>78358.122609938073</v>
      </c>
      <c r="BE70" s="118">
        <f t="shared" ref="BE70:CJ70" si="201">SUM(BE67:BE69)</f>
        <v>78358.122609938073</v>
      </c>
      <c r="BF70" s="118">
        <f t="shared" si="201"/>
        <v>78358.122609938073</v>
      </c>
      <c r="BG70" s="118">
        <f t="shared" si="201"/>
        <v>78358.122609938073</v>
      </c>
      <c r="BH70" s="118">
        <f t="shared" si="201"/>
        <v>78358.122609938073</v>
      </c>
      <c r="BI70" s="118">
        <f t="shared" si="201"/>
        <v>78358.122609938073</v>
      </c>
      <c r="BJ70" s="118">
        <f t="shared" si="201"/>
        <v>81668.355058701243</v>
      </c>
      <c r="BK70" s="118">
        <f t="shared" si="201"/>
        <v>85454.146863391696</v>
      </c>
      <c r="BL70" s="118">
        <f t="shared" si="201"/>
        <v>74334.428387985943</v>
      </c>
      <c r="BM70" s="118">
        <f t="shared" si="201"/>
        <v>74334.428387985943</v>
      </c>
      <c r="BN70" s="118">
        <f t="shared" si="201"/>
        <v>74334.428387985943</v>
      </c>
      <c r="BO70" s="118">
        <f t="shared" si="201"/>
        <v>74334.428387985943</v>
      </c>
      <c r="BP70" s="118">
        <f t="shared" si="201"/>
        <v>74334.428387985943</v>
      </c>
      <c r="BQ70" s="118">
        <f t="shared" si="201"/>
        <v>72593.300567385086</v>
      </c>
      <c r="BR70" s="118">
        <f t="shared" si="201"/>
        <v>74334.428387985943</v>
      </c>
      <c r="BS70" s="118">
        <f t="shared" si="201"/>
        <v>74334.428387985943</v>
      </c>
      <c r="BT70" s="118">
        <f t="shared" si="201"/>
        <v>74334.428387985943</v>
      </c>
      <c r="BU70" s="118">
        <f t="shared" si="201"/>
        <v>74334.428387985943</v>
      </c>
      <c r="BV70" s="118">
        <f t="shared" si="201"/>
        <v>74334.428387985943</v>
      </c>
      <c r="BW70" s="118">
        <f t="shared" si="201"/>
        <v>74334.428387985943</v>
      </c>
      <c r="BX70" s="118">
        <f t="shared" si="201"/>
        <v>74334.428387985943</v>
      </c>
      <c r="BY70" s="118">
        <f t="shared" si="201"/>
        <v>74334.428387985943</v>
      </c>
      <c r="BZ70" s="118">
        <f t="shared" si="201"/>
        <v>72593.300567385086</v>
      </c>
      <c r="CA70" s="118">
        <f t="shared" si="201"/>
        <v>74334.428387985943</v>
      </c>
      <c r="CB70" s="118">
        <f t="shared" si="201"/>
        <v>74334.428387985943</v>
      </c>
      <c r="CC70" s="118">
        <f t="shared" si="201"/>
        <v>74334.428387985943</v>
      </c>
      <c r="CD70" s="118">
        <f t="shared" si="201"/>
        <v>137252.27285677669</v>
      </c>
      <c r="CE70" s="118">
        <f t="shared" si="201"/>
        <v>137252.27285677669</v>
      </c>
      <c r="CF70" s="118">
        <f t="shared" si="201"/>
        <v>137252.27285677669</v>
      </c>
      <c r="CG70" s="118">
        <f t="shared" si="201"/>
        <v>137252.27285677669</v>
      </c>
      <c r="CH70" s="118">
        <f t="shared" si="201"/>
        <v>78358.122609938073</v>
      </c>
      <c r="CI70" s="118">
        <f t="shared" si="201"/>
        <v>81668.355058701243</v>
      </c>
      <c r="CJ70" s="118">
        <f t="shared" si="201"/>
        <v>85454.146863391696</v>
      </c>
      <c r="CK70" s="118">
        <f t="shared" ref="CK70:DF70" si="202">SUM(CK67:CK69)</f>
        <v>74334.428387985943</v>
      </c>
      <c r="CL70" s="118">
        <f t="shared" si="202"/>
        <v>74334.428387985943</v>
      </c>
      <c r="CM70" s="118">
        <f t="shared" si="202"/>
        <v>137252.27285677669</v>
      </c>
      <c r="CN70" s="118">
        <f t="shared" si="202"/>
        <v>97093.735317494473</v>
      </c>
      <c r="CO70" s="118">
        <f t="shared" si="202"/>
        <v>101248.37769139239</v>
      </c>
      <c r="CP70" s="118">
        <f t="shared" si="202"/>
        <v>103190.23540667188</v>
      </c>
      <c r="CQ70" s="118">
        <f t="shared" si="202"/>
        <v>92400.355853429006</v>
      </c>
      <c r="CR70" s="118">
        <f t="shared" si="202"/>
        <v>171290.06144055602</v>
      </c>
      <c r="CS70" s="118">
        <f t="shared" si="202"/>
        <v>97093.735317494473</v>
      </c>
      <c r="CT70" s="118">
        <f t="shared" si="202"/>
        <v>101248.37769139239</v>
      </c>
      <c r="CU70" s="118">
        <f t="shared" si="202"/>
        <v>103190.23540667188</v>
      </c>
      <c r="CV70" s="118">
        <f t="shared" si="202"/>
        <v>92400.355853429006</v>
      </c>
      <c r="CW70" s="118">
        <f t="shared" si="202"/>
        <v>92400.355853429006</v>
      </c>
      <c r="CX70" s="118">
        <f t="shared" si="202"/>
        <v>171290.06144055602</v>
      </c>
      <c r="CY70" s="118">
        <f t="shared" si="202"/>
        <v>97093.735317494473</v>
      </c>
      <c r="CZ70" s="118">
        <f t="shared" si="202"/>
        <v>101248.37769139239</v>
      </c>
      <c r="DA70" s="118">
        <f t="shared" si="202"/>
        <v>103190.23540667188</v>
      </c>
      <c r="DB70" s="118">
        <f t="shared" si="202"/>
        <v>92400.355853429006</v>
      </c>
      <c r="DC70" s="118">
        <f t="shared" si="202"/>
        <v>92400.355853429006</v>
      </c>
      <c r="DD70" s="118">
        <f t="shared" si="202"/>
        <v>171290.06144055602</v>
      </c>
      <c r="DE70" s="118">
        <f t="shared" si="202"/>
        <v>189711.04993326007</v>
      </c>
      <c r="DF70" s="118">
        <f t="shared" si="202"/>
        <v>189957.11564494082</v>
      </c>
      <c r="DG70" s="118"/>
      <c r="DH70" s="118">
        <f>SUM(DH67:DH69)</f>
        <v>207050.54699212243</v>
      </c>
      <c r="DI70" s="118">
        <f>SUM(DI67:DI69)</f>
        <v>207050.54699212243</v>
      </c>
      <c r="DJ70" s="118">
        <f>SUM(DJ67:DJ69)</f>
        <v>321212.54416692659</v>
      </c>
      <c r="DK70" s="118">
        <f t="shared" ref="DK70:DP70" si="203">SUM(DK67:DK69)</f>
        <v>650699.89023742836</v>
      </c>
      <c r="DL70" s="118">
        <f t="shared" si="203"/>
        <v>650699.89023742836</v>
      </c>
      <c r="DM70" s="118">
        <f>SUM(DM67:DM69)</f>
        <v>650699.89023742836</v>
      </c>
      <c r="DN70" s="118">
        <f t="shared" si="203"/>
        <v>650699.89023742836</v>
      </c>
      <c r="DO70" s="118">
        <f t="shared" si="203"/>
        <v>650699.89023742836</v>
      </c>
      <c r="DP70" s="118">
        <f t="shared" si="203"/>
        <v>650699.89023742836</v>
      </c>
      <c r="DQ70" s="118">
        <f t="shared" ref="DQ70:DW70" si="204">SUM(DQ67:DQ69)</f>
        <v>650699.89023742836</v>
      </c>
      <c r="DR70" s="118">
        <f t="shared" si="204"/>
        <v>628777.50598100375</v>
      </c>
      <c r="DS70" s="118">
        <f t="shared" si="204"/>
        <v>847000.85401705699</v>
      </c>
      <c r="DT70" s="118">
        <f t="shared" si="204"/>
        <v>847000.85401705699</v>
      </c>
      <c r="DU70" s="118">
        <f t="shared" si="204"/>
        <v>847000.85401705699</v>
      </c>
      <c r="DV70" s="118">
        <f t="shared" si="204"/>
        <v>884054.11683043069</v>
      </c>
      <c r="DW70" s="118">
        <f t="shared" si="204"/>
        <v>882658.27260885888</v>
      </c>
      <c r="DX70" s="118">
        <f t="shared" ref="DX70:EC70" si="205">SUM(DX67:DX69)</f>
        <v>12431894.144430455</v>
      </c>
      <c r="DY70" s="118">
        <f t="shared" si="205"/>
        <v>12431894.144430455</v>
      </c>
      <c r="DZ70" s="118">
        <f t="shared" si="205"/>
        <v>12431894.144430455</v>
      </c>
      <c r="EA70" s="118">
        <f t="shared" si="205"/>
        <v>12431894.144430455</v>
      </c>
      <c r="EB70" s="118">
        <f t="shared" si="205"/>
        <v>12431894.144430455</v>
      </c>
      <c r="EC70" s="118">
        <f t="shared" si="205"/>
        <v>12431894.144430455</v>
      </c>
      <c r="ED70" s="118">
        <f>SUM(ED67:ED69)</f>
        <v>12431894.144430455</v>
      </c>
      <c r="EG70" s="75"/>
      <c r="EH70" s="21"/>
      <c r="EI70" s="21"/>
      <c r="EJ70" s="21"/>
      <c r="EK70" s="41"/>
      <c r="EL70" s="21"/>
      <c r="EM70" s="21"/>
      <c r="EN70" s="21"/>
      <c r="EO70" s="21"/>
      <c r="EP70" s="21"/>
      <c r="EQ70" s="21"/>
      <c r="ER70" s="21"/>
      <c r="ES70" s="21"/>
      <c r="ET70" s="21"/>
      <c r="EU70" s="21"/>
      <c r="EV70" s="21"/>
      <c r="EW70" s="21"/>
      <c r="EX70" s="21"/>
      <c r="EY70" s="21"/>
    </row>
    <row r="71" spans="1:155" x14ac:dyDescent="0.3">
      <c r="EY71" s="24"/>
    </row>
    <row r="72" spans="1:155" x14ac:dyDescent="0.3">
      <c r="A72" s="21" t="s">
        <v>175</v>
      </c>
      <c r="B72" s="21" t="s">
        <v>169</v>
      </c>
      <c r="EX72" s="24"/>
    </row>
    <row r="73" spans="1:155" x14ac:dyDescent="0.3">
      <c r="A73" s="21" t="s">
        <v>134</v>
      </c>
      <c r="D73" s="21">
        <f t="shared" ref="D73:R73" ca="1" si="206">D61*D$4*(1+D$34)</f>
        <v>343.25617654749425</v>
      </c>
      <c r="E73" s="21">
        <f t="shared" ca="1" si="206"/>
        <v>343.25617654749425</v>
      </c>
      <c r="F73" s="21">
        <f t="shared" ca="1" si="206"/>
        <v>304.20177499281266</v>
      </c>
      <c r="G73" s="21">
        <f t="shared" ca="1" si="206"/>
        <v>343.25617654749425</v>
      </c>
      <c r="H73" s="21">
        <f t="shared" ca="1" si="206"/>
        <v>343.25617654749425</v>
      </c>
      <c r="I73" s="21">
        <f t="shared" ref="I73" ca="1" si="207">I61*I$4*(1+I$34)</f>
        <v>343.25617654749425</v>
      </c>
      <c r="J73" s="21">
        <f t="shared" ca="1" si="206"/>
        <v>343.25617654749425</v>
      </c>
      <c r="K73" s="21">
        <f t="shared" ca="1" si="206"/>
        <v>343.25617654749425</v>
      </c>
      <c r="L73" s="21">
        <f t="shared" ca="1" si="206"/>
        <v>343.25617654749425</v>
      </c>
      <c r="M73" s="21">
        <f t="shared" ca="1" si="206"/>
        <v>343.25617654749425</v>
      </c>
      <c r="N73" s="21">
        <f t="shared" ca="1" si="206"/>
        <v>343.25617654749425</v>
      </c>
      <c r="O73" s="21">
        <f t="shared" ca="1" si="206"/>
        <v>343.25617654749425</v>
      </c>
      <c r="P73" s="21">
        <f t="shared" ca="1" si="206"/>
        <v>343.25617654749425</v>
      </c>
      <c r="Q73" s="21">
        <f t="shared" ca="1" si="206"/>
        <v>257.44213241062067</v>
      </c>
      <c r="R73" s="21">
        <f t="shared" ca="1" si="206"/>
        <v>429.07022068436783</v>
      </c>
      <c r="S73" s="21">
        <f t="shared" ref="S73:V75" ca="1" si="208">S61*S$4*(1+S$34)</f>
        <v>343.25617654749425</v>
      </c>
      <c r="T73" s="21">
        <f t="shared" ca="1" si="208"/>
        <v>304.20177499281266</v>
      </c>
      <c r="U73" s="21">
        <f t="shared" ca="1" si="208"/>
        <v>343.25617654749425</v>
      </c>
      <c r="V73" s="21">
        <f t="shared" ca="1" si="208"/>
        <v>343.25617654749425</v>
      </c>
      <c r="W73" s="21">
        <f t="shared" ref="W73:AX73" ca="1" si="209">W61*W$4*(1+W$34)</f>
        <v>343.25617654749425</v>
      </c>
      <c r="X73" s="21">
        <f t="shared" ref="X73:AA75" ca="1" si="210">X61*X$4*(1+X$34)</f>
        <v>660.30221644652033</v>
      </c>
      <c r="Y73" s="21">
        <f t="shared" ca="1" si="210"/>
        <v>745.07393715445505</v>
      </c>
      <c r="Z73" s="21">
        <f t="shared" ca="1" si="210"/>
        <v>745.07393715445505</v>
      </c>
      <c r="AA73" s="21">
        <f t="shared" ca="1" si="210"/>
        <v>745.07393715445505</v>
      </c>
      <c r="AB73" s="21">
        <f t="shared" ref="AB73:AC73" ca="1" si="211">AB61*AB$4*(1+AB$34)</f>
        <v>660.30221644652033</v>
      </c>
      <c r="AC73" s="21">
        <f t="shared" ca="1" si="211"/>
        <v>745.07393715445505</v>
      </c>
      <c r="AD73" s="21">
        <f t="shared" ref="AD73" ca="1" si="212">AD61*AD$4*(1+AD$34)</f>
        <v>745.07393715445505</v>
      </c>
      <c r="AE73" s="21">
        <f ca="1">AE61*AE$4*(1+AE$34)</f>
        <v>745.07393715445505</v>
      </c>
      <c r="AF73" s="21">
        <f t="shared" ca="1" si="209"/>
        <v>343.25617654749425</v>
      </c>
      <c r="AG73" s="21">
        <f t="shared" ca="1" si="209"/>
        <v>0</v>
      </c>
      <c r="AH73" s="21">
        <f t="shared" ca="1" si="209"/>
        <v>502.70144909072638</v>
      </c>
      <c r="AI73" s="21">
        <f t="shared" ca="1" si="209"/>
        <v>0</v>
      </c>
      <c r="AJ73" s="21">
        <f t="shared" ca="1" si="209"/>
        <v>653.51188381794429</v>
      </c>
      <c r="AK73" s="21">
        <f t="shared" ca="1" si="209"/>
        <v>0</v>
      </c>
      <c r="AL73" s="21">
        <f t="shared" ca="1" si="209"/>
        <v>1352.221301550735</v>
      </c>
      <c r="AM73" s="21">
        <f t="shared" ca="1" si="209"/>
        <v>0</v>
      </c>
      <c r="AN73" s="21">
        <f t="shared" ca="1" si="209"/>
        <v>3515.775384031911</v>
      </c>
      <c r="AO73" s="21">
        <f t="shared" ca="1" si="209"/>
        <v>0</v>
      </c>
      <c r="AP73" s="21">
        <f t="shared" ca="1" si="209"/>
        <v>2227.1189197752783</v>
      </c>
      <c r="AQ73" s="21">
        <f t="shared" ca="1" si="209"/>
        <v>15886.913137104893</v>
      </c>
      <c r="AR73" s="21">
        <f t="shared" ca="1" si="209"/>
        <v>62410.213917726229</v>
      </c>
      <c r="AS73" s="21">
        <f t="shared" ca="1" si="209"/>
        <v>62410.213917726229</v>
      </c>
      <c r="AT73" s="21">
        <f t="shared" ca="1" si="209"/>
        <v>62410.213917726229</v>
      </c>
      <c r="AU73" s="21">
        <f t="shared" ca="1" si="209"/>
        <v>55309.413635056844</v>
      </c>
      <c r="AV73" s="21">
        <f t="shared" ca="1" si="209"/>
        <v>46807.660438294668</v>
      </c>
      <c r="AW73" s="21">
        <f t="shared" ca="1" si="209"/>
        <v>78012.76739715779</v>
      </c>
      <c r="AX73" s="21">
        <f t="shared" ca="1" si="209"/>
        <v>62410.213917726229</v>
      </c>
      <c r="AY73" s="21">
        <f t="shared" ref="AY73:BH75" ca="1" si="213">AY61*AY$4*(1+AY$34)</f>
        <v>2227.1189197752783</v>
      </c>
      <c r="AZ73" s="21">
        <f t="shared" ca="1" si="213"/>
        <v>2227.1189197752783</v>
      </c>
      <c r="BA73" s="21">
        <f t="shared" ca="1" si="213"/>
        <v>2227.1189197752783</v>
      </c>
      <c r="BB73" s="21">
        <f t="shared" ca="1" si="213"/>
        <v>2227.1189197752783</v>
      </c>
      <c r="BC73" s="21">
        <f t="shared" ca="1" si="213"/>
        <v>0</v>
      </c>
      <c r="BD73" s="21">
        <f t="shared" ref="BD73:BE75" ca="1" si="214">BD61*BD$4*(1+BD$34)</f>
        <v>0</v>
      </c>
      <c r="BE73" s="21">
        <f t="shared" ca="1" si="214"/>
        <v>0</v>
      </c>
      <c r="BF73" s="21">
        <f t="shared" ca="1" si="213"/>
        <v>0</v>
      </c>
      <c r="BG73" s="21">
        <f t="shared" ca="1" si="213"/>
        <v>0</v>
      </c>
      <c r="BH73" s="21">
        <f t="shared" ca="1" si="213"/>
        <v>0</v>
      </c>
      <c r="BI73" s="21">
        <f t="shared" ref="BI73:BT73" ca="1" si="215">BI61*BI$4*(1+BI$34)</f>
        <v>0</v>
      </c>
      <c r="BJ73" s="21">
        <f t="shared" ca="1" si="215"/>
        <v>2227.1189197752783</v>
      </c>
      <c r="BK73" s="21">
        <f t="shared" ca="1" si="215"/>
        <v>15886.913137104893</v>
      </c>
      <c r="BL73" s="21">
        <f t="shared" ca="1" si="215"/>
        <v>72811.916237347265</v>
      </c>
      <c r="BM73" s="21">
        <f t="shared" ca="1" si="215"/>
        <v>72811.916237347265</v>
      </c>
      <c r="BN73" s="21">
        <f t="shared" ca="1" si="215"/>
        <v>72811.916237347265</v>
      </c>
      <c r="BO73" s="21">
        <f t="shared" ca="1" si="215"/>
        <v>72811.916237347265</v>
      </c>
      <c r="BP73" s="21">
        <f t="shared" ca="1" si="215"/>
        <v>72811.916237347265</v>
      </c>
      <c r="BQ73" s="21">
        <f t="shared" ca="1" si="215"/>
        <v>64527.649240899649</v>
      </c>
      <c r="BR73" s="21">
        <f t="shared" ca="1" si="215"/>
        <v>54608.937178010448</v>
      </c>
      <c r="BS73" s="21">
        <f t="shared" ca="1" si="215"/>
        <v>91014.895296684088</v>
      </c>
      <c r="BT73" s="21">
        <f t="shared" ca="1" si="215"/>
        <v>72811.916237347265</v>
      </c>
      <c r="BU73" s="21">
        <f t="shared" ref="BU73:CB73" ca="1" si="216">BU61*BU$4*(1+BU$34)</f>
        <v>145623.83247469453</v>
      </c>
      <c r="BV73" s="21">
        <f t="shared" ca="1" si="216"/>
        <v>145623.83247469453</v>
      </c>
      <c r="BW73" s="21">
        <f t="shared" ca="1" si="216"/>
        <v>145623.83247469453</v>
      </c>
      <c r="BX73" s="21">
        <f t="shared" ca="1" si="216"/>
        <v>145623.83247469453</v>
      </c>
      <c r="BY73" s="21">
        <f t="shared" ca="1" si="216"/>
        <v>145623.83247469453</v>
      </c>
      <c r="BZ73" s="21">
        <f t="shared" ca="1" si="216"/>
        <v>129055.2984817993</v>
      </c>
      <c r="CA73" s="21">
        <f t="shared" ca="1" si="216"/>
        <v>109217.8743560209</v>
      </c>
      <c r="CB73" s="21">
        <f t="shared" ca="1" si="216"/>
        <v>182029.79059336818</v>
      </c>
      <c r="CC73" s="21">
        <f t="shared" ref="CC73:CG75" ca="1" si="217">CC61*CC$4*(1+CC$34)</f>
        <v>145623.83247469453</v>
      </c>
      <c r="CD73" s="21">
        <f t="shared" ca="1" si="217"/>
        <v>2227.1189197752783</v>
      </c>
      <c r="CE73" s="21">
        <f t="shared" ca="1" si="217"/>
        <v>2227.1189197752783</v>
      </c>
      <c r="CF73" s="21">
        <f t="shared" ca="1" si="217"/>
        <v>2227.1189197752783</v>
      </c>
      <c r="CG73" s="21">
        <f t="shared" ca="1" si="217"/>
        <v>2227.1189197752783</v>
      </c>
      <c r="CH73" s="21">
        <f t="shared" ref="CH73:CL75" ca="1" si="218">CH61*CH$4*(1+CH$34)</f>
        <v>0</v>
      </c>
      <c r="CI73" s="21">
        <f t="shared" ca="1" si="218"/>
        <v>2227.1189197752783</v>
      </c>
      <c r="CJ73" s="21">
        <f t="shared" ca="1" si="218"/>
        <v>15886.913137104893</v>
      </c>
      <c r="CK73" s="21">
        <f t="shared" ca="1" si="218"/>
        <v>72811.916237347265</v>
      </c>
      <c r="CL73" s="21">
        <f t="shared" ca="1" si="218"/>
        <v>145623.83247469453</v>
      </c>
      <c r="CM73" s="21">
        <f t="shared" ref="CM73:CX73" ca="1" si="219">CM61*CM$4*(1+CM$34)</f>
        <v>2227.1189197752783</v>
      </c>
      <c r="CN73" s="21">
        <f t="shared" ca="1" si="219"/>
        <v>0</v>
      </c>
      <c r="CO73" s="21">
        <f t="shared" ca="1" si="219"/>
        <v>3134.4636648689102</v>
      </c>
      <c r="CP73" s="21">
        <f t="shared" ca="1" si="219"/>
        <v>16700.844716568008</v>
      </c>
      <c r="CQ73" s="21">
        <f t="shared" ca="1" si="219"/>
        <v>62410.213917726229</v>
      </c>
      <c r="CR73" s="21">
        <f t="shared" ca="1" si="219"/>
        <v>3134.4636648689102</v>
      </c>
      <c r="CS73" s="21">
        <f t="shared" ca="1" si="219"/>
        <v>0</v>
      </c>
      <c r="CT73" s="21">
        <f t="shared" ca="1" si="219"/>
        <v>3134.4636648689102</v>
      </c>
      <c r="CU73" s="21">
        <f t="shared" ca="1" si="219"/>
        <v>16700.844716568008</v>
      </c>
      <c r="CV73" s="21">
        <f t="shared" ca="1" si="219"/>
        <v>72811.916237347265</v>
      </c>
      <c r="CW73" s="21">
        <f t="shared" ca="1" si="219"/>
        <v>145623.83247469453</v>
      </c>
      <c r="CX73" s="21">
        <f t="shared" ca="1" si="219"/>
        <v>3134.4636648689102</v>
      </c>
      <c r="CY73" s="21">
        <f t="shared" ref="CY73:DC75" ca="1" si="220">CY61*CY$4*(1+CY$34)</f>
        <v>0</v>
      </c>
      <c r="CZ73" s="21">
        <f t="shared" ca="1" si="220"/>
        <v>3134.4636648689102</v>
      </c>
      <c r="DA73" s="21">
        <f t="shared" ca="1" si="220"/>
        <v>16700.844716568008</v>
      </c>
      <c r="DB73" s="21">
        <f t="shared" ca="1" si="220"/>
        <v>72811.916237347265</v>
      </c>
      <c r="DC73" s="21">
        <f t="shared" ca="1" si="220"/>
        <v>145623.83247469453</v>
      </c>
      <c r="DD73" s="21">
        <f t="shared" ref="DD73:DF75" ca="1" si="221">DD61*DD$4*(1+DD$34)</f>
        <v>3134.4636648689102</v>
      </c>
      <c r="DE73" s="21">
        <f t="shared" ca="1" si="221"/>
        <v>0</v>
      </c>
      <c r="DF73" s="21">
        <f t="shared" ca="1" si="221"/>
        <v>6717.0477057658654</v>
      </c>
      <c r="DH73" s="21">
        <f t="shared" ref="DH73:DJ75" ca="1" si="222">DH61*DH$4*(1+DH$34)</f>
        <v>156025.53479431558</v>
      </c>
      <c r="DI73" s="21">
        <f t="shared" ca="1" si="222"/>
        <v>312051.06958863116</v>
      </c>
      <c r="DJ73" s="21">
        <f t="shared" ca="1" si="222"/>
        <v>6717.0477057658654</v>
      </c>
      <c r="DK73" s="21">
        <f t="shared" ref="DK73:DP73" ca="1" si="223">DK61*DK$4*(1+DK$34)</f>
        <v>0</v>
      </c>
      <c r="DL73" s="21">
        <f t="shared" ca="1" si="223"/>
        <v>0</v>
      </c>
      <c r="DM73" s="21">
        <f ca="1">DM61*DM$4*(1+DM$34)</f>
        <v>0</v>
      </c>
      <c r="DN73" s="21">
        <f t="shared" ca="1" si="223"/>
        <v>0</v>
      </c>
      <c r="DO73" s="21">
        <f t="shared" ca="1" si="223"/>
        <v>0</v>
      </c>
      <c r="DP73" s="21">
        <f t="shared" ca="1" si="223"/>
        <v>0</v>
      </c>
      <c r="DQ73" s="21">
        <f t="shared" ref="DQ73:DS75" ca="1" si="224">DQ61*DQ$4*(1+DQ$34)</f>
        <v>0</v>
      </c>
      <c r="DR73" s="21">
        <f t="shared" ca="1" si="224"/>
        <v>13515.164984869392</v>
      </c>
      <c r="DS73" s="21">
        <f t="shared" ca="1" si="224"/>
        <v>439242.86200825527</v>
      </c>
      <c r="DT73" s="21">
        <f t="shared" ref="DT73:DW75" ca="1" si="225">DT61*DT$4*(1+DT$34)</f>
        <v>439242.86200825527</v>
      </c>
      <c r="DU73" s="21">
        <f t="shared" ca="1" si="225"/>
        <v>219621.43100412763</v>
      </c>
      <c r="DV73" s="21">
        <f t="shared" ref="DV73" ca="1" si="226">DV61*DV$4*(1+DV$34)</f>
        <v>13515.164984869392</v>
      </c>
      <c r="DW73" s="21">
        <f t="shared" ca="1" si="225"/>
        <v>13515.164984869392</v>
      </c>
      <c r="DX73" s="21">
        <f t="shared" ref="DX73:EC73" ca="1" si="227">DX61*DX$4*(1+DX$34)</f>
        <v>0</v>
      </c>
      <c r="DY73" s="21">
        <f t="shared" ca="1" si="227"/>
        <v>0</v>
      </c>
      <c r="DZ73" s="21">
        <f t="shared" ca="1" si="227"/>
        <v>0</v>
      </c>
      <c r="EA73" s="21">
        <f t="shared" ca="1" si="227"/>
        <v>0</v>
      </c>
      <c r="EB73" s="21">
        <f t="shared" ca="1" si="227"/>
        <v>0</v>
      </c>
      <c r="EC73" s="21">
        <f t="shared" ca="1" si="227"/>
        <v>0</v>
      </c>
      <c r="ED73" s="21">
        <f ca="1">ED61*ED$4*(1+ED$34)</f>
        <v>0</v>
      </c>
    </row>
    <row r="74" spans="1:155" x14ac:dyDescent="0.3">
      <c r="A74" s="21" t="s">
        <v>132</v>
      </c>
      <c r="D74" s="115">
        <f>D62*D$4*(1+D$34)</f>
        <v>71.352318551911353</v>
      </c>
      <c r="E74" s="115">
        <f t="shared" ref="E74:R74" si="228">E62*E$4*(1+E$34)</f>
        <v>71.352318551911353</v>
      </c>
      <c r="F74" s="115">
        <f t="shared" si="228"/>
        <v>71.352318551911353</v>
      </c>
      <c r="G74" s="115">
        <f t="shared" si="228"/>
        <v>71.352318551911353</v>
      </c>
      <c r="H74" s="115">
        <f t="shared" si="228"/>
        <v>71.352318551911353</v>
      </c>
      <c r="I74" s="115">
        <f t="shared" ref="I74" si="229">I62*I$4*(1+I$34)</f>
        <v>71.352318551911353</v>
      </c>
      <c r="J74" s="115">
        <f t="shared" si="228"/>
        <v>71.352318551911353</v>
      </c>
      <c r="K74" s="115">
        <f t="shared" si="228"/>
        <v>71.352318551911353</v>
      </c>
      <c r="L74" s="115">
        <f t="shared" si="228"/>
        <v>71.352318551911353</v>
      </c>
      <c r="M74" s="115">
        <f t="shared" si="228"/>
        <v>71.352318551911353</v>
      </c>
      <c r="N74" s="115">
        <f t="shared" si="228"/>
        <v>71.352318551911353</v>
      </c>
      <c r="O74" s="115">
        <f t="shared" si="228"/>
        <v>71.352318551911353</v>
      </c>
      <c r="P74" s="115">
        <f t="shared" si="228"/>
        <v>71.352318551911353</v>
      </c>
      <c r="Q74" s="115">
        <f>Q62*Q$4*(1+Q$34)</f>
        <v>53.514238913933511</v>
      </c>
      <c r="R74" s="115">
        <f t="shared" si="228"/>
        <v>89.190398189889194</v>
      </c>
      <c r="S74" s="115">
        <f t="shared" si="208"/>
        <v>71.352318551911353</v>
      </c>
      <c r="T74" s="115">
        <f t="shared" si="208"/>
        <v>71.352318551911353</v>
      </c>
      <c r="U74" s="115">
        <f t="shared" si="208"/>
        <v>71.352318551911353</v>
      </c>
      <c r="V74" s="115">
        <f t="shared" si="208"/>
        <v>71.352318551911353</v>
      </c>
      <c r="W74" s="115">
        <f t="shared" ref="W74:AX74" si="230">W62*W$4*(1+W$34)</f>
        <v>71.352318551911353</v>
      </c>
      <c r="X74" s="115">
        <f t="shared" si="210"/>
        <v>154.87777508707305</v>
      </c>
      <c r="Y74" s="115">
        <f t="shared" si="210"/>
        <v>154.87777508707305</v>
      </c>
      <c r="Z74" s="115">
        <f t="shared" si="210"/>
        <v>154.87777508707305</v>
      </c>
      <c r="AA74" s="115">
        <f t="shared" si="210"/>
        <v>154.87777508707305</v>
      </c>
      <c r="AB74" s="115">
        <f t="shared" ref="AB74:AC74" si="231">AB62*AB$4*(1+AB$34)</f>
        <v>154.87777508707305</v>
      </c>
      <c r="AC74" s="115">
        <f t="shared" si="231"/>
        <v>154.87777508707305</v>
      </c>
      <c r="AD74" s="115">
        <f t="shared" ref="AD74" si="232">AD62*AD$4*(1+AD$34)</f>
        <v>154.87777508707305</v>
      </c>
      <c r="AE74" s="115">
        <f t="shared" ref="AE74" si="233">AE62*AE$4*(1+AE$34)</f>
        <v>154.87777508707305</v>
      </c>
      <c r="AF74" s="115">
        <f t="shared" si="230"/>
        <v>71.352318551911353</v>
      </c>
      <c r="AG74" s="115">
        <f t="shared" si="230"/>
        <v>0</v>
      </c>
      <c r="AH74" s="115">
        <f t="shared" si="230"/>
        <v>104.49604809096856</v>
      </c>
      <c r="AI74" s="115">
        <f t="shared" si="230"/>
        <v>0</v>
      </c>
      <c r="AJ74" s="115">
        <f t="shared" si="230"/>
        <v>135.84486251825913</v>
      </c>
      <c r="AK74" s="115">
        <f t="shared" si="230"/>
        <v>0</v>
      </c>
      <c r="AL74" s="115">
        <f t="shared" si="230"/>
        <v>281.08489126510528</v>
      </c>
      <c r="AM74" s="115">
        <f t="shared" si="230"/>
        <v>0</v>
      </c>
      <c r="AN74" s="115">
        <f t="shared" si="230"/>
        <v>730.82071728927372</v>
      </c>
      <c r="AO74" s="115">
        <f t="shared" si="230"/>
        <v>0</v>
      </c>
      <c r="AP74" s="115">
        <f t="shared" si="230"/>
        <v>462.94898525972172</v>
      </c>
      <c r="AQ74" s="115">
        <f t="shared" si="230"/>
        <v>3302.3967649083474</v>
      </c>
      <c r="AR74" s="115">
        <f t="shared" si="230"/>
        <v>12973.148827620245</v>
      </c>
      <c r="AS74" s="115">
        <f t="shared" si="230"/>
        <v>12973.148827620245</v>
      </c>
      <c r="AT74" s="115">
        <f t="shared" si="230"/>
        <v>12973.148827620245</v>
      </c>
      <c r="AU74" s="115">
        <f t="shared" si="230"/>
        <v>12973.148827620245</v>
      </c>
      <c r="AV74" s="115">
        <f t="shared" si="230"/>
        <v>9729.8616207151827</v>
      </c>
      <c r="AW74" s="115">
        <f t="shared" si="230"/>
        <v>16216.436034525306</v>
      </c>
      <c r="AX74" s="115">
        <f t="shared" si="230"/>
        <v>12973.148827620245</v>
      </c>
      <c r="AY74" s="115">
        <f t="shared" si="213"/>
        <v>462.94898525972172</v>
      </c>
      <c r="AZ74" s="115">
        <f t="shared" si="213"/>
        <v>462.94898525972172</v>
      </c>
      <c r="BA74" s="115">
        <f t="shared" si="213"/>
        <v>462.94898525972172</v>
      </c>
      <c r="BB74" s="115">
        <f t="shared" si="213"/>
        <v>462.94898525972172</v>
      </c>
      <c r="BC74" s="115">
        <f t="shared" si="213"/>
        <v>0</v>
      </c>
      <c r="BD74" s="115">
        <f t="shared" si="214"/>
        <v>0</v>
      </c>
      <c r="BE74" s="115">
        <f t="shared" si="214"/>
        <v>0</v>
      </c>
      <c r="BF74" s="115">
        <f t="shared" si="213"/>
        <v>0</v>
      </c>
      <c r="BG74" s="115">
        <f t="shared" si="213"/>
        <v>0</v>
      </c>
      <c r="BH74" s="115">
        <f t="shared" si="213"/>
        <v>0</v>
      </c>
      <c r="BI74" s="115">
        <f t="shared" ref="BI74:BT74" si="234">BI62*BI$4*(1+BI$34)</f>
        <v>0</v>
      </c>
      <c r="BJ74" s="115">
        <f t="shared" si="234"/>
        <v>462.94898525972172</v>
      </c>
      <c r="BK74" s="115">
        <f t="shared" si="234"/>
        <v>3302.3967649083474</v>
      </c>
      <c r="BL74" s="115">
        <f t="shared" si="234"/>
        <v>15135.340298890285</v>
      </c>
      <c r="BM74" s="115">
        <f t="shared" si="234"/>
        <v>15135.340298890285</v>
      </c>
      <c r="BN74" s="115">
        <f t="shared" si="234"/>
        <v>15135.340298890285</v>
      </c>
      <c r="BO74" s="115">
        <f t="shared" si="234"/>
        <v>15135.340298890285</v>
      </c>
      <c r="BP74" s="115">
        <f t="shared" si="234"/>
        <v>15135.340298890285</v>
      </c>
      <c r="BQ74" s="115">
        <f t="shared" si="234"/>
        <v>15135.340298890285</v>
      </c>
      <c r="BR74" s="115">
        <f t="shared" si="234"/>
        <v>11351.505224167715</v>
      </c>
      <c r="BS74" s="115">
        <f t="shared" si="234"/>
        <v>18919.175373612856</v>
      </c>
      <c r="BT74" s="115">
        <f t="shared" si="234"/>
        <v>15135.340298890285</v>
      </c>
      <c r="BU74" s="115">
        <f t="shared" ref="BU74:CB75" si="235">BU62*BU$4*(1+BU$34)</f>
        <v>30270.680597780571</v>
      </c>
      <c r="BV74" s="115">
        <f t="shared" si="235"/>
        <v>30270.680597780571</v>
      </c>
      <c r="BW74" s="115">
        <f t="shared" si="235"/>
        <v>30270.680597780571</v>
      </c>
      <c r="BX74" s="115">
        <f t="shared" si="235"/>
        <v>30270.680597780571</v>
      </c>
      <c r="BY74" s="115">
        <f t="shared" si="235"/>
        <v>30270.680597780571</v>
      </c>
      <c r="BZ74" s="115">
        <f t="shared" si="235"/>
        <v>30270.680597780571</v>
      </c>
      <c r="CA74" s="115">
        <f t="shared" si="235"/>
        <v>22703.01044833543</v>
      </c>
      <c r="CB74" s="115">
        <f t="shared" si="235"/>
        <v>37838.350747225712</v>
      </c>
      <c r="CC74" s="115">
        <f t="shared" si="217"/>
        <v>30270.680597780571</v>
      </c>
      <c r="CD74" s="115">
        <f t="shared" si="217"/>
        <v>462.94898525972172</v>
      </c>
      <c r="CE74" s="115">
        <f t="shared" si="217"/>
        <v>462.94898525972172</v>
      </c>
      <c r="CF74" s="115">
        <f t="shared" si="217"/>
        <v>462.94898525972172</v>
      </c>
      <c r="CG74" s="115">
        <f t="shared" si="217"/>
        <v>462.94898525972172</v>
      </c>
      <c r="CH74" s="115">
        <f t="shared" ref="CH74:CK75" si="236">CH62*CH$4*(1+CH$34)</f>
        <v>0</v>
      </c>
      <c r="CI74" s="115">
        <f t="shared" si="236"/>
        <v>462.94898525972172</v>
      </c>
      <c r="CJ74" s="115">
        <f t="shared" si="236"/>
        <v>3302.3967649083474</v>
      </c>
      <c r="CK74" s="115">
        <f t="shared" si="236"/>
        <v>15135.340298890285</v>
      </c>
      <c r="CL74" s="115">
        <f t="shared" si="218"/>
        <v>30270.680597780571</v>
      </c>
      <c r="CM74" s="115">
        <f t="shared" ref="CM74:CX74" si="237">CM62*CM$4*(1+CM$34)</f>
        <v>462.94898525972172</v>
      </c>
      <c r="CN74" s="115">
        <f t="shared" si="237"/>
        <v>0</v>
      </c>
      <c r="CO74" s="115">
        <f t="shared" si="237"/>
        <v>651.55783110627499</v>
      </c>
      <c r="CP74" s="115">
        <f t="shared" si="237"/>
        <v>3471.5879093225453</v>
      </c>
      <c r="CQ74" s="115">
        <f t="shared" si="237"/>
        <v>12973.148827620245</v>
      </c>
      <c r="CR74" s="115">
        <f t="shared" si="237"/>
        <v>651.55783110627499</v>
      </c>
      <c r="CS74" s="115">
        <f t="shared" si="237"/>
        <v>0</v>
      </c>
      <c r="CT74" s="115">
        <f t="shared" si="237"/>
        <v>651.55783110627499</v>
      </c>
      <c r="CU74" s="115">
        <f t="shared" si="237"/>
        <v>3471.5879093225453</v>
      </c>
      <c r="CV74" s="115">
        <f t="shared" si="237"/>
        <v>15135.340298890285</v>
      </c>
      <c r="CW74" s="115">
        <f t="shared" si="237"/>
        <v>30270.680597780571</v>
      </c>
      <c r="CX74" s="115">
        <f t="shared" si="237"/>
        <v>651.55783110627499</v>
      </c>
      <c r="CY74" s="115">
        <f t="shared" ref="CY74:DB75" si="238">CY62*CY$4*(1+CY$34)</f>
        <v>0</v>
      </c>
      <c r="CZ74" s="115">
        <f t="shared" si="238"/>
        <v>651.55783110627499</v>
      </c>
      <c r="DA74" s="115">
        <f t="shared" si="238"/>
        <v>3471.5879093225453</v>
      </c>
      <c r="DB74" s="115">
        <f t="shared" si="238"/>
        <v>15135.340298890285</v>
      </c>
      <c r="DC74" s="115">
        <f t="shared" si="220"/>
        <v>30270.680597780571</v>
      </c>
      <c r="DD74" s="115">
        <f t="shared" si="221"/>
        <v>651.55783110627499</v>
      </c>
      <c r="DE74" s="115">
        <f t="shared" si="221"/>
        <v>0</v>
      </c>
      <c r="DF74" s="115">
        <f t="shared" si="221"/>
        <v>1396.2659971651717</v>
      </c>
      <c r="DG74" s="115"/>
      <c r="DH74" s="115">
        <f t="shared" si="222"/>
        <v>32432.872069050612</v>
      </c>
      <c r="DI74" s="115">
        <f t="shared" si="222"/>
        <v>64865.744138101225</v>
      </c>
      <c r="DJ74" s="115">
        <f t="shared" si="222"/>
        <v>1396.2659971651717</v>
      </c>
      <c r="DK74" s="115">
        <f t="shared" ref="DK74:DP74" si="239">DK62*DK$4*(1+DK$34)</f>
        <v>0</v>
      </c>
      <c r="DL74" s="115">
        <f t="shared" si="239"/>
        <v>0</v>
      </c>
      <c r="DM74" s="115">
        <f>DM62*DM$4*(1+DM$34)</f>
        <v>0</v>
      </c>
      <c r="DN74" s="115">
        <f t="shared" si="239"/>
        <v>0</v>
      </c>
      <c r="DO74" s="115">
        <f t="shared" si="239"/>
        <v>0</v>
      </c>
      <c r="DP74" s="115">
        <f t="shared" si="239"/>
        <v>0</v>
      </c>
      <c r="DQ74" s="115">
        <f t="shared" si="224"/>
        <v>0</v>
      </c>
      <c r="DR74" s="115">
        <f t="shared" si="224"/>
        <v>4324.3829425400818</v>
      </c>
      <c r="DS74" s="115">
        <f t="shared" si="224"/>
        <v>140542.44563255264</v>
      </c>
      <c r="DT74" s="115">
        <f t="shared" si="225"/>
        <v>140542.44563255264</v>
      </c>
      <c r="DU74" s="115">
        <f t="shared" si="225"/>
        <v>70271.22281627632</v>
      </c>
      <c r="DV74" s="115">
        <f t="shared" ref="DV74" si="240">DV62*DV$4*(1+DV$34)</f>
        <v>4324.3829425400818</v>
      </c>
      <c r="DW74" s="115">
        <f t="shared" si="225"/>
        <v>4324.3829425400818</v>
      </c>
      <c r="DX74" s="115">
        <f t="shared" ref="DX74:EC74" si="241">DX62*DX$4*(1+DX$34)</f>
        <v>0</v>
      </c>
      <c r="DY74" s="115">
        <f t="shared" si="241"/>
        <v>0</v>
      </c>
      <c r="DZ74" s="115">
        <f t="shared" si="241"/>
        <v>0</v>
      </c>
      <c r="EA74" s="115">
        <f t="shared" si="241"/>
        <v>0</v>
      </c>
      <c r="EB74" s="115">
        <f t="shared" si="241"/>
        <v>0</v>
      </c>
      <c r="EC74" s="115">
        <f t="shared" si="241"/>
        <v>0</v>
      </c>
      <c r="ED74" s="115">
        <f>ED62*ED$4*(1+ED$34)</f>
        <v>0</v>
      </c>
    </row>
    <row r="75" spans="1:155" x14ac:dyDescent="0.3">
      <c r="A75" s="21" t="s">
        <v>133</v>
      </c>
      <c r="D75" s="115">
        <f>D63*D$4*(1+D$34)</f>
        <v>5.2424889708338469</v>
      </c>
      <c r="E75" s="115">
        <f t="shared" ref="E75:R75" si="242">E63*E$4*(1+E$34)</f>
        <v>5.2424889708338469</v>
      </c>
      <c r="F75" s="115">
        <f t="shared" si="242"/>
        <v>5.2424889708338469</v>
      </c>
      <c r="G75" s="115">
        <f t="shared" si="242"/>
        <v>5.2424889708338469</v>
      </c>
      <c r="H75" s="115">
        <f t="shared" si="242"/>
        <v>5.2424889708338469</v>
      </c>
      <c r="I75" s="115">
        <f t="shared" ref="I75" si="243">I63*I$4*(1+I$34)</f>
        <v>5.2424889708338469</v>
      </c>
      <c r="J75" s="115">
        <f t="shared" si="242"/>
        <v>5.2424889708338469</v>
      </c>
      <c r="K75" s="115">
        <f t="shared" si="242"/>
        <v>5.2424889708338469</v>
      </c>
      <c r="L75" s="115">
        <f t="shared" si="242"/>
        <v>5.2424889708338469</v>
      </c>
      <c r="M75" s="115">
        <f t="shared" si="242"/>
        <v>5.2424889708338469</v>
      </c>
      <c r="N75" s="115">
        <f t="shared" si="242"/>
        <v>5.2424889708338469</v>
      </c>
      <c r="O75" s="115">
        <f t="shared" si="242"/>
        <v>5.2424889708338469</v>
      </c>
      <c r="P75" s="115">
        <f t="shared" si="242"/>
        <v>5.2424889708338469</v>
      </c>
      <c r="Q75" s="115">
        <f>Q63*Q$4*(1+Q$34)</f>
        <v>3.9318667281253847</v>
      </c>
      <c r="R75" s="115">
        <f t="shared" si="242"/>
        <v>6.5531112135423086</v>
      </c>
      <c r="S75" s="115">
        <f t="shared" si="208"/>
        <v>5.2424889708338469</v>
      </c>
      <c r="T75" s="115">
        <f t="shared" si="208"/>
        <v>5.2424889708338469</v>
      </c>
      <c r="U75" s="115">
        <f t="shared" si="208"/>
        <v>5.2424889708338469</v>
      </c>
      <c r="V75" s="115">
        <f t="shared" si="208"/>
        <v>5.2424889708338469</v>
      </c>
      <c r="W75" s="115">
        <f t="shared" ref="W75:AX75" si="244">W63*W$4*(1+W$34)</f>
        <v>5.2424889708338469</v>
      </c>
      <c r="X75" s="115">
        <f t="shared" si="210"/>
        <v>11.379378332752378</v>
      </c>
      <c r="Y75" s="115">
        <f t="shared" si="210"/>
        <v>11.379378332752378</v>
      </c>
      <c r="Z75" s="115">
        <f t="shared" si="210"/>
        <v>11.379378332752378</v>
      </c>
      <c r="AA75" s="115">
        <f t="shared" si="210"/>
        <v>11.379378332752378</v>
      </c>
      <c r="AB75" s="115">
        <f t="shared" ref="AB75:AC75" si="245">AB63*AB$4*(1+AB$34)</f>
        <v>11.379378332752378</v>
      </c>
      <c r="AC75" s="115">
        <f t="shared" si="245"/>
        <v>11.379378332752378</v>
      </c>
      <c r="AD75" s="115">
        <f t="shared" ref="AD75" si="246">AD63*AD$4*(1+AD$34)</f>
        <v>11.379378332752378</v>
      </c>
      <c r="AE75" s="115">
        <f t="shared" ref="AE75" si="247">AE63*AE$4*(1+AE$34)</f>
        <v>11.379378332752378</v>
      </c>
      <c r="AF75" s="115">
        <f t="shared" si="244"/>
        <v>5.2424889708338469</v>
      </c>
      <c r="AG75" s="115">
        <f t="shared" si="244"/>
        <v>0</v>
      </c>
      <c r="AH75" s="115">
        <f t="shared" si="244"/>
        <v>7.6776675338737279</v>
      </c>
      <c r="AI75" s="115">
        <f t="shared" si="244"/>
        <v>0</v>
      </c>
      <c r="AJ75" s="115">
        <f t="shared" si="244"/>
        <v>9.9809677940358466</v>
      </c>
      <c r="AK75" s="115">
        <f t="shared" si="244"/>
        <v>0</v>
      </c>
      <c r="AL75" s="115">
        <f t="shared" si="244"/>
        <v>20.652229279042427</v>
      </c>
      <c r="AM75" s="115">
        <f t="shared" si="244"/>
        <v>0</v>
      </c>
      <c r="AN75" s="115">
        <f t="shared" si="244"/>
        <v>53.695796125510313</v>
      </c>
      <c r="AO75" s="115">
        <f t="shared" si="244"/>
        <v>0</v>
      </c>
      <c r="AP75" s="115">
        <f t="shared" si="244"/>
        <v>34.014381011558577</v>
      </c>
      <c r="AQ75" s="115">
        <f t="shared" si="244"/>
        <v>242.63792640114036</v>
      </c>
      <c r="AR75" s="115">
        <f t="shared" si="244"/>
        <v>953.17981287888119</v>
      </c>
      <c r="AS75" s="115">
        <f t="shared" si="244"/>
        <v>953.17981287888119</v>
      </c>
      <c r="AT75" s="115">
        <f t="shared" si="244"/>
        <v>953.17981287888119</v>
      </c>
      <c r="AU75" s="115">
        <f t="shared" si="244"/>
        <v>953.17981287888119</v>
      </c>
      <c r="AV75" s="115">
        <f t="shared" si="244"/>
        <v>714.88485965916084</v>
      </c>
      <c r="AW75" s="115">
        <f t="shared" si="244"/>
        <v>1191.4747660986015</v>
      </c>
      <c r="AX75" s="115">
        <f t="shared" si="244"/>
        <v>953.17981287888119</v>
      </c>
      <c r="AY75" s="115">
        <f t="shared" si="213"/>
        <v>34.014381011558577</v>
      </c>
      <c r="AZ75" s="115">
        <f t="shared" si="213"/>
        <v>34.014381011558577</v>
      </c>
      <c r="BA75" s="115">
        <f t="shared" si="213"/>
        <v>34.014381011558577</v>
      </c>
      <c r="BB75" s="115">
        <f t="shared" si="213"/>
        <v>34.014381011558577</v>
      </c>
      <c r="BC75" s="115">
        <f t="shared" si="213"/>
        <v>0</v>
      </c>
      <c r="BD75" s="115">
        <f t="shared" si="214"/>
        <v>0</v>
      </c>
      <c r="BE75" s="115">
        <f t="shared" si="214"/>
        <v>0</v>
      </c>
      <c r="BF75" s="115">
        <f t="shared" si="213"/>
        <v>0</v>
      </c>
      <c r="BG75" s="115">
        <f t="shared" si="213"/>
        <v>0</v>
      </c>
      <c r="BH75" s="115">
        <f t="shared" si="213"/>
        <v>0</v>
      </c>
      <c r="BI75" s="115">
        <f t="shared" ref="BI75:BT75" si="248">BI63*BI$4*(1+BI$34)</f>
        <v>0</v>
      </c>
      <c r="BJ75" s="115">
        <f t="shared" si="248"/>
        <v>34.014381011558577</v>
      </c>
      <c r="BK75" s="115">
        <f t="shared" si="248"/>
        <v>242.63792640114036</v>
      </c>
      <c r="BL75" s="115">
        <f t="shared" si="248"/>
        <v>1112.0431150253614</v>
      </c>
      <c r="BM75" s="115">
        <f t="shared" si="248"/>
        <v>1112.0431150253614</v>
      </c>
      <c r="BN75" s="115">
        <f t="shared" si="248"/>
        <v>1112.0431150253614</v>
      </c>
      <c r="BO75" s="115">
        <f t="shared" si="248"/>
        <v>1112.0431150253614</v>
      </c>
      <c r="BP75" s="115">
        <f t="shared" si="248"/>
        <v>1112.0431150253614</v>
      </c>
      <c r="BQ75" s="115">
        <f t="shared" si="248"/>
        <v>1112.0431150253614</v>
      </c>
      <c r="BR75" s="115">
        <f t="shared" si="248"/>
        <v>834.03233626902102</v>
      </c>
      <c r="BS75" s="115">
        <f t="shared" si="248"/>
        <v>1390.0538937817016</v>
      </c>
      <c r="BT75" s="115">
        <f t="shared" si="248"/>
        <v>1112.0431150253614</v>
      </c>
      <c r="BU75" s="115">
        <f t="shared" si="235"/>
        <v>2224.0862300507229</v>
      </c>
      <c r="BV75" s="115">
        <f t="shared" si="235"/>
        <v>2224.0862300507229</v>
      </c>
      <c r="BW75" s="115">
        <f t="shared" si="235"/>
        <v>2224.0862300507229</v>
      </c>
      <c r="BX75" s="115">
        <f t="shared" si="235"/>
        <v>2224.0862300507229</v>
      </c>
      <c r="BY75" s="115">
        <f t="shared" si="235"/>
        <v>2224.0862300507229</v>
      </c>
      <c r="BZ75" s="115">
        <f t="shared" si="235"/>
        <v>2224.0862300507229</v>
      </c>
      <c r="CA75" s="115">
        <f t="shared" si="235"/>
        <v>1668.064672538042</v>
      </c>
      <c r="CB75" s="115">
        <f t="shared" si="235"/>
        <v>2780.1077875634032</v>
      </c>
      <c r="CC75" s="115">
        <f t="shared" si="217"/>
        <v>2224.0862300507229</v>
      </c>
      <c r="CD75" s="115">
        <f t="shared" si="217"/>
        <v>34.014381011558577</v>
      </c>
      <c r="CE75" s="115">
        <f t="shared" si="217"/>
        <v>34.014381011558577</v>
      </c>
      <c r="CF75" s="115">
        <f t="shared" si="217"/>
        <v>34.014381011558577</v>
      </c>
      <c r="CG75" s="115">
        <f t="shared" si="217"/>
        <v>34.014381011558577</v>
      </c>
      <c r="CH75" s="115">
        <f t="shared" si="236"/>
        <v>0</v>
      </c>
      <c r="CI75" s="115">
        <f t="shared" si="236"/>
        <v>34.014381011558577</v>
      </c>
      <c r="CJ75" s="115">
        <f t="shared" si="236"/>
        <v>242.63792640114036</v>
      </c>
      <c r="CK75" s="115">
        <f t="shared" si="236"/>
        <v>1112.0431150253614</v>
      </c>
      <c r="CL75" s="115">
        <f t="shared" si="218"/>
        <v>2224.0862300507229</v>
      </c>
      <c r="CM75" s="115">
        <f t="shared" ref="CM75:CX75" si="249">CM63*CM$4*(1+CM$34)</f>
        <v>34.014381011558577</v>
      </c>
      <c r="CN75" s="115">
        <f t="shared" si="249"/>
        <v>0</v>
      </c>
      <c r="CO75" s="115">
        <f t="shared" si="249"/>
        <v>47.872091794045403</v>
      </c>
      <c r="CP75" s="115">
        <f t="shared" si="249"/>
        <v>255.06895494450686</v>
      </c>
      <c r="CQ75" s="115">
        <f t="shared" si="249"/>
        <v>953.17981287888119</v>
      </c>
      <c r="CR75" s="115">
        <f t="shared" si="249"/>
        <v>47.872091794045403</v>
      </c>
      <c r="CS75" s="115">
        <f t="shared" si="249"/>
        <v>0</v>
      </c>
      <c r="CT75" s="115">
        <f t="shared" si="249"/>
        <v>47.872091794045403</v>
      </c>
      <c r="CU75" s="115">
        <f t="shared" si="249"/>
        <v>255.06895494450686</v>
      </c>
      <c r="CV75" s="115">
        <f t="shared" si="249"/>
        <v>1112.0431150253614</v>
      </c>
      <c r="CW75" s="115">
        <f t="shared" si="249"/>
        <v>2224.0862300507229</v>
      </c>
      <c r="CX75" s="115">
        <f t="shared" si="249"/>
        <v>47.872091794045403</v>
      </c>
      <c r="CY75" s="115">
        <f t="shared" si="238"/>
        <v>0</v>
      </c>
      <c r="CZ75" s="115">
        <f t="shared" si="238"/>
        <v>47.872091794045403</v>
      </c>
      <c r="DA75" s="115">
        <f t="shared" si="238"/>
        <v>255.06895494450686</v>
      </c>
      <c r="DB75" s="115">
        <f t="shared" si="238"/>
        <v>1112.0431150253614</v>
      </c>
      <c r="DC75" s="115">
        <f t="shared" si="220"/>
        <v>2224.0862300507229</v>
      </c>
      <c r="DD75" s="115">
        <f t="shared" si="221"/>
        <v>47.872091794045403</v>
      </c>
      <c r="DE75" s="115">
        <f t="shared" si="221"/>
        <v>0</v>
      </c>
      <c r="DF75" s="115">
        <f t="shared" si="221"/>
        <v>102.58824434924622</v>
      </c>
      <c r="DG75" s="115"/>
      <c r="DH75" s="115">
        <f t="shared" si="222"/>
        <v>2382.9495321972031</v>
      </c>
      <c r="DI75" s="115">
        <f t="shared" si="222"/>
        <v>4765.8990643944062</v>
      </c>
      <c r="DJ75" s="115">
        <f t="shared" si="222"/>
        <v>102.58824434924622</v>
      </c>
      <c r="DK75" s="115">
        <f t="shared" ref="DK75:DP75" si="250">DK63*DK$4*(1+DK$34)</f>
        <v>0</v>
      </c>
      <c r="DL75" s="115">
        <f t="shared" si="250"/>
        <v>0</v>
      </c>
      <c r="DM75" s="115">
        <f>DM63*DM$4*(1+DM$34)</f>
        <v>0</v>
      </c>
      <c r="DN75" s="115">
        <f t="shared" si="250"/>
        <v>0</v>
      </c>
      <c r="DO75" s="115">
        <f t="shared" si="250"/>
        <v>0</v>
      </c>
      <c r="DP75" s="115">
        <f t="shared" si="250"/>
        <v>0</v>
      </c>
      <c r="DQ75" s="115">
        <f t="shared" si="224"/>
        <v>0</v>
      </c>
      <c r="DR75" s="115">
        <f t="shared" si="224"/>
        <v>390.93962063606909</v>
      </c>
      <c r="DS75" s="115">
        <f t="shared" si="224"/>
        <v>12705.537670672245</v>
      </c>
      <c r="DT75" s="115">
        <f t="shared" si="225"/>
        <v>12705.537670672245</v>
      </c>
      <c r="DU75" s="115">
        <f t="shared" si="225"/>
        <v>6352.7688353361227</v>
      </c>
      <c r="DV75" s="115">
        <f t="shared" ref="DV75" si="251">DV63*DV$4*(1+DV$34)</f>
        <v>390.93962063606909</v>
      </c>
      <c r="DW75" s="115">
        <f t="shared" si="225"/>
        <v>390.93962063606909</v>
      </c>
      <c r="DX75" s="115">
        <f t="shared" ref="DX75:EC75" si="252">DX63*DX$4*(1+DX$34)</f>
        <v>0</v>
      </c>
      <c r="DY75" s="115">
        <f t="shared" si="252"/>
        <v>0</v>
      </c>
      <c r="DZ75" s="115">
        <f t="shared" si="252"/>
        <v>0</v>
      </c>
      <c r="EA75" s="115">
        <f t="shared" si="252"/>
        <v>0</v>
      </c>
      <c r="EB75" s="115">
        <f t="shared" si="252"/>
        <v>0</v>
      </c>
      <c r="EC75" s="115">
        <f t="shared" si="252"/>
        <v>0</v>
      </c>
      <c r="ED75" s="115">
        <f>ED63*ED$4*(1+ED$34)</f>
        <v>0</v>
      </c>
    </row>
    <row r="76" spans="1:155" s="24" customFormat="1" x14ac:dyDescent="0.3">
      <c r="A76" s="24" t="s">
        <v>25</v>
      </c>
      <c r="D76" s="118">
        <f ca="1">SUM(D73:D75)</f>
        <v>419.85098407023946</v>
      </c>
      <c r="E76" s="118">
        <f t="shared" ref="E76:P76" ca="1" si="253">SUM(E73:E75)</f>
        <v>419.85098407023946</v>
      </c>
      <c r="F76" s="118">
        <f t="shared" ca="1" si="253"/>
        <v>380.79658251555787</v>
      </c>
      <c r="G76" s="118">
        <f t="shared" ca="1" si="253"/>
        <v>419.85098407023946</v>
      </c>
      <c r="H76" s="118">
        <f t="shared" ca="1" si="253"/>
        <v>419.85098407023946</v>
      </c>
      <c r="I76" s="118">
        <f t="shared" ref="I76" ca="1" si="254">SUM(I73:I75)</f>
        <v>419.85098407023946</v>
      </c>
      <c r="J76" s="118">
        <f t="shared" ca="1" si="253"/>
        <v>419.85098407023946</v>
      </c>
      <c r="K76" s="118">
        <f t="shared" ca="1" si="253"/>
        <v>419.85098407023946</v>
      </c>
      <c r="L76" s="118">
        <f t="shared" ca="1" si="253"/>
        <v>419.85098407023946</v>
      </c>
      <c r="M76" s="118">
        <f t="shared" ca="1" si="253"/>
        <v>419.85098407023946</v>
      </c>
      <c r="N76" s="118">
        <f t="shared" ca="1" si="253"/>
        <v>419.85098407023946</v>
      </c>
      <c r="O76" s="118">
        <f t="shared" ca="1" si="253"/>
        <v>419.85098407023946</v>
      </c>
      <c r="P76" s="118">
        <f t="shared" ca="1" si="253"/>
        <v>419.85098407023946</v>
      </c>
      <c r="Q76" s="118">
        <f t="shared" ref="Q76:BD76" ca="1" si="255">SUM(Q73:Q75)</f>
        <v>314.88823805267958</v>
      </c>
      <c r="R76" s="118">
        <f t="shared" ca="1" si="255"/>
        <v>524.81373008779929</v>
      </c>
      <c r="S76" s="118">
        <f t="shared" ca="1" si="255"/>
        <v>419.85098407023946</v>
      </c>
      <c r="T76" s="118">
        <f t="shared" ca="1" si="255"/>
        <v>380.79658251555787</v>
      </c>
      <c r="U76" s="118">
        <f t="shared" ca="1" si="255"/>
        <v>419.85098407023946</v>
      </c>
      <c r="V76" s="118">
        <f t="shared" ca="1" si="255"/>
        <v>419.85098407023946</v>
      </c>
      <c r="W76" s="118">
        <f t="shared" ca="1" si="255"/>
        <v>419.85098407023946</v>
      </c>
      <c r="X76" s="118">
        <f t="shared" ref="X76:Y76" ca="1" si="256">SUM(X73:X75)</f>
        <v>826.55936986634572</v>
      </c>
      <c r="Y76" s="118">
        <f t="shared" ca="1" si="256"/>
        <v>911.33109057428044</v>
      </c>
      <c r="Z76" s="118">
        <f t="shared" ca="1" si="255"/>
        <v>911.33109057428044</v>
      </c>
      <c r="AA76" s="118">
        <f t="shared" ref="AA76" ca="1" si="257">SUM(AA73:AA75)</f>
        <v>911.33109057428044</v>
      </c>
      <c r="AB76" s="118">
        <f t="shared" ref="AB76:AC76" ca="1" si="258">SUM(AB73:AB75)</f>
        <v>826.55936986634572</v>
      </c>
      <c r="AC76" s="118">
        <f t="shared" ca="1" si="258"/>
        <v>911.33109057428044</v>
      </c>
      <c r="AD76" s="118">
        <f t="shared" ref="AD76" ca="1" si="259">SUM(AD73:AD75)</f>
        <v>911.33109057428044</v>
      </c>
      <c r="AE76" s="118">
        <f t="shared" ref="AE76" ca="1" si="260">SUM(AE73:AE75)</f>
        <v>911.33109057428044</v>
      </c>
      <c r="AF76" s="118">
        <f t="shared" ca="1" si="255"/>
        <v>419.85098407023946</v>
      </c>
      <c r="AG76" s="118">
        <f t="shared" ca="1" si="255"/>
        <v>0</v>
      </c>
      <c r="AH76" s="118">
        <f t="shared" ca="1" si="255"/>
        <v>614.87516471556876</v>
      </c>
      <c r="AI76" s="118">
        <f t="shared" ca="1" si="255"/>
        <v>0</v>
      </c>
      <c r="AJ76" s="118">
        <f t="shared" ca="1" si="255"/>
        <v>799.33771413023919</v>
      </c>
      <c r="AK76" s="118">
        <f t="shared" ca="1" si="255"/>
        <v>0</v>
      </c>
      <c r="AL76" s="118">
        <f t="shared" ca="1" si="255"/>
        <v>1653.9584220948827</v>
      </c>
      <c r="AM76" s="118">
        <f t="shared" ca="1" si="255"/>
        <v>0</v>
      </c>
      <c r="AN76" s="118">
        <f t="shared" ca="1" si="255"/>
        <v>4300.2918974466947</v>
      </c>
      <c r="AO76" s="118">
        <f t="shared" ca="1" si="255"/>
        <v>0</v>
      </c>
      <c r="AP76" s="118">
        <f t="shared" ca="1" si="255"/>
        <v>2724.0822860465587</v>
      </c>
      <c r="AQ76" s="118">
        <f t="shared" ca="1" si="255"/>
        <v>19431.947828414381</v>
      </c>
      <c r="AR76" s="118">
        <f t="shared" ca="1" si="255"/>
        <v>76336.542558225352</v>
      </c>
      <c r="AS76" s="118">
        <f t="shared" ca="1" si="255"/>
        <v>76336.542558225352</v>
      </c>
      <c r="AT76" s="118">
        <f t="shared" ca="1" si="255"/>
        <v>76336.542558225352</v>
      </c>
      <c r="AU76" s="118">
        <f t="shared" ca="1" si="255"/>
        <v>69235.742275555967</v>
      </c>
      <c r="AV76" s="118">
        <f t="shared" ca="1" si="255"/>
        <v>57252.40691866901</v>
      </c>
      <c r="AW76" s="118">
        <f t="shared" ca="1" si="255"/>
        <v>95420.678197781701</v>
      </c>
      <c r="AX76" s="118">
        <f t="shared" ca="1" si="255"/>
        <v>76336.542558225352</v>
      </c>
      <c r="AY76" s="118">
        <f t="shared" ca="1" si="255"/>
        <v>2724.0822860465587</v>
      </c>
      <c r="AZ76" s="118">
        <f t="shared" ca="1" si="255"/>
        <v>2724.0822860465587</v>
      </c>
      <c r="BA76" s="118">
        <f t="shared" ca="1" si="255"/>
        <v>2724.0822860465587</v>
      </c>
      <c r="BB76" s="118">
        <f t="shared" ca="1" si="255"/>
        <v>2724.0822860465587</v>
      </c>
      <c r="BC76" s="118">
        <f t="shared" ca="1" si="255"/>
        <v>0</v>
      </c>
      <c r="BD76" s="118">
        <f t="shared" ca="1" si="255"/>
        <v>0</v>
      </c>
      <c r="BE76" s="118">
        <f t="shared" ref="BE76:CJ76" ca="1" si="261">SUM(BE73:BE75)</f>
        <v>0</v>
      </c>
      <c r="BF76" s="118">
        <f t="shared" ca="1" si="261"/>
        <v>0</v>
      </c>
      <c r="BG76" s="118">
        <f t="shared" ca="1" si="261"/>
        <v>0</v>
      </c>
      <c r="BH76" s="118">
        <f t="shared" ca="1" si="261"/>
        <v>0</v>
      </c>
      <c r="BI76" s="118">
        <f t="shared" ca="1" si="261"/>
        <v>0</v>
      </c>
      <c r="BJ76" s="118">
        <f t="shared" ca="1" si="261"/>
        <v>2724.0822860465587</v>
      </c>
      <c r="BK76" s="118">
        <f t="shared" ca="1" si="261"/>
        <v>19431.947828414381</v>
      </c>
      <c r="BL76" s="118">
        <f t="shared" ca="1" si="261"/>
        <v>89059.299651262903</v>
      </c>
      <c r="BM76" s="118">
        <f t="shared" ca="1" si="261"/>
        <v>89059.299651262903</v>
      </c>
      <c r="BN76" s="118">
        <f t="shared" ca="1" si="261"/>
        <v>89059.299651262903</v>
      </c>
      <c r="BO76" s="118">
        <f t="shared" ca="1" si="261"/>
        <v>89059.299651262903</v>
      </c>
      <c r="BP76" s="118">
        <f t="shared" ca="1" si="261"/>
        <v>89059.299651262903</v>
      </c>
      <c r="BQ76" s="118">
        <f t="shared" ca="1" si="261"/>
        <v>80775.032654815295</v>
      </c>
      <c r="BR76" s="118">
        <f t="shared" ca="1" si="261"/>
        <v>66794.474738447185</v>
      </c>
      <c r="BS76" s="118">
        <f t="shared" ca="1" si="261"/>
        <v>111324.12456407865</v>
      </c>
      <c r="BT76" s="118">
        <f t="shared" ca="1" si="261"/>
        <v>89059.299651262903</v>
      </c>
      <c r="BU76" s="118">
        <f t="shared" ca="1" si="261"/>
        <v>178118.59930252581</v>
      </c>
      <c r="BV76" s="118">
        <f t="shared" ca="1" si="261"/>
        <v>178118.59930252581</v>
      </c>
      <c r="BW76" s="118">
        <f t="shared" ca="1" si="261"/>
        <v>178118.59930252581</v>
      </c>
      <c r="BX76" s="118">
        <f t="shared" ca="1" si="261"/>
        <v>178118.59930252581</v>
      </c>
      <c r="BY76" s="118">
        <f t="shared" ca="1" si="261"/>
        <v>178118.59930252581</v>
      </c>
      <c r="BZ76" s="118">
        <f t="shared" ca="1" si="261"/>
        <v>161550.06530963059</v>
      </c>
      <c r="CA76" s="118">
        <f t="shared" ca="1" si="261"/>
        <v>133588.94947689437</v>
      </c>
      <c r="CB76" s="118">
        <f t="shared" ca="1" si="261"/>
        <v>222648.2491281573</v>
      </c>
      <c r="CC76" s="118">
        <f t="shared" ca="1" si="261"/>
        <v>178118.59930252581</v>
      </c>
      <c r="CD76" s="118">
        <f t="shared" ca="1" si="261"/>
        <v>2724.0822860465587</v>
      </c>
      <c r="CE76" s="118">
        <f t="shared" ca="1" si="261"/>
        <v>2724.0822860465587</v>
      </c>
      <c r="CF76" s="118">
        <f t="shared" ca="1" si="261"/>
        <v>2724.0822860465587</v>
      </c>
      <c r="CG76" s="118">
        <f t="shared" ca="1" si="261"/>
        <v>2724.0822860465587</v>
      </c>
      <c r="CH76" s="118">
        <f t="shared" ca="1" si="261"/>
        <v>0</v>
      </c>
      <c r="CI76" s="118">
        <f t="shared" ca="1" si="261"/>
        <v>2724.0822860465587</v>
      </c>
      <c r="CJ76" s="118">
        <f t="shared" ca="1" si="261"/>
        <v>19431.947828414381</v>
      </c>
      <c r="CK76" s="118">
        <f t="shared" ref="CK76:DF76" ca="1" si="262">SUM(CK73:CK75)</f>
        <v>89059.299651262903</v>
      </c>
      <c r="CL76" s="118">
        <f t="shared" ca="1" si="262"/>
        <v>178118.59930252581</v>
      </c>
      <c r="CM76" s="118">
        <f t="shared" ca="1" si="262"/>
        <v>2724.0822860465587</v>
      </c>
      <c r="CN76" s="118">
        <f t="shared" ca="1" si="262"/>
        <v>0</v>
      </c>
      <c r="CO76" s="118">
        <f t="shared" ca="1" si="262"/>
        <v>3833.8935877692306</v>
      </c>
      <c r="CP76" s="118">
        <f t="shared" ca="1" si="262"/>
        <v>20427.501580835058</v>
      </c>
      <c r="CQ76" s="118">
        <f t="shared" ca="1" si="262"/>
        <v>76336.542558225352</v>
      </c>
      <c r="CR76" s="118">
        <f t="shared" ca="1" si="262"/>
        <v>3833.8935877692306</v>
      </c>
      <c r="CS76" s="118">
        <f t="shared" ca="1" si="262"/>
        <v>0</v>
      </c>
      <c r="CT76" s="118">
        <f t="shared" ca="1" si="262"/>
        <v>3833.8935877692306</v>
      </c>
      <c r="CU76" s="118">
        <f t="shared" ca="1" si="262"/>
        <v>20427.501580835058</v>
      </c>
      <c r="CV76" s="118">
        <f t="shared" ca="1" si="262"/>
        <v>89059.299651262903</v>
      </c>
      <c r="CW76" s="118">
        <f t="shared" ca="1" si="262"/>
        <v>178118.59930252581</v>
      </c>
      <c r="CX76" s="118">
        <f t="shared" ca="1" si="262"/>
        <v>3833.8935877692306</v>
      </c>
      <c r="CY76" s="118">
        <f t="shared" ca="1" si="262"/>
        <v>0</v>
      </c>
      <c r="CZ76" s="118">
        <f t="shared" ca="1" si="262"/>
        <v>3833.8935877692306</v>
      </c>
      <c r="DA76" s="118">
        <f t="shared" ca="1" si="262"/>
        <v>20427.501580835058</v>
      </c>
      <c r="DB76" s="118">
        <f t="shared" ca="1" si="262"/>
        <v>89059.299651262903</v>
      </c>
      <c r="DC76" s="118">
        <f t="shared" ca="1" si="262"/>
        <v>178118.59930252581</v>
      </c>
      <c r="DD76" s="118">
        <f t="shared" ca="1" si="262"/>
        <v>3833.8935877692306</v>
      </c>
      <c r="DE76" s="118">
        <f t="shared" ca="1" si="262"/>
        <v>0</v>
      </c>
      <c r="DF76" s="118">
        <f t="shared" ca="1" si="262"/>
        <v>8215.9019472802829</v>
      </c>
      <c r="DG76" s="118"/>
      <c r="DH76" s="118">
        <f ca="1">SUM(DH73:DH75)</f>
        <v>190841.3563955634</v>
      </c>
      <c r="DI76" s="118">
        <f ca="1">SUM(DI73:DI75)</f>
        <v>381682.7127911268</v>
      </c>
      <c r="DJ76" s="118">
        <f ca="1">SUM(DJ73:DJ75)</f>
        <v>8215.9019472802829</v>
      </c>
      <c r="DK76" s="118">
        <f t="shared" ref="DK76:DP76" ca="1" si="263">SUM(DK73:DK75)</f>
        <v>0</v>
      </c>
      <c r="DL76" s="118">
        <f t="shared" ca="1" si="263"/>
        <v>0</v>
      </c>
      <c r="DM76" s="118">
        <f ca="1">SUM(DM73:DM75)</f>
        <v>0</v>
      </c>
      <c r="DN76" s="118">
        <f t="shared" ca="1" si="263"/>
        <v>0</v>
      </c>
      <c r="DO76" s="118">
        <f t="shared" ca="1" si="263"/>
        <v>0</v>
      </c>
      <c r="DP76" s="118">
        <f t="shared" ca="1" si="263"/>
        <v>0</v>
      </c>
      <c r="DQ76" s="118">
        <f t="shared" ref="DQ76:DW76" ca="1" si="264">SUM(DQ73:DQ75)</f>
        <v>0</v>
      </c>
      <c r="DR76" s="118">
        <f t="shared" ca="1" si="264"/>
        <v>18230.487548045545</v>
      </c>
      <c r="DS76" s="118">
        <f t="shared" ca="1" si="264"/>
        <v>592490.84531148023</v>
      </c>
      <c r="DT76" s="118">
        <f t="shared" ca="1" si="264"/>
        <v>592490.84531148023</v>
      </c>
      <c r="DU76" s="118">
        <f t="shared" ca="1" si="264"/>
        <v>296245.42265574011</v>
      </c>
      <c r="DV76" s="118">
        <f t="shared" ca="1" si="264"/>
        <v>18230.487548045545</v>
      </c>
      <c r="DW76" s="118">
        <f t="shared" ca="1" si="264"/>
        <v>18230.487548045545</v>
      </c>
      <c r="DX76" s="118">
        <f t="shared" ref="DX76:EC76" ca="1" si="265">SUM(DX73:DX75)</f>
        <v>0</v>
      </c>
      <c r="DY76" s="118">
        <f t="shared" ca="1" si="265"/>
        <v>0</v>
      </c>
      <c r="DZ76" s="118">
        <f t="shared" ca="1" si="265"/>
        <v>0</v>
      </c>
      <c r="EA76" s="118">
        <f t="shared" ca="1" si="265"/>
        <v>0</v>
      </c>
      <c r="EB76" s="118">
        <f t="shared" ca="1" si="265"/>
        <v>0</v>
      </c>
      <c r="EC76" s="118">
        <f t="shared" ca="1" si="265"/>
        <v>0</v>
      </c>
      <c r="ED76" s="118">
        <f ca="1">SUM(ED73:ED75)</f>
        <v>0</v>
      </c>
      <c r="EG76" s="75"/>
      <c r="EH76" s="21"/>
      <c r="EI76" s="21"/>
      <c r="EJ76" s="21"/>
      <c r="EK76" s="21"/>
      <c r="EL76" s="21"/>
      <c r="EM76" s="21"/>
      <c r="EN76" s="21"/>
      <c r="EO76" s="21"/>
      <c r="EP76" s="21"/>
      <c r="EQ76" s="21"/>
      <c r="ER76" s="21"/>
      <c r="ES76" s="21"/>
      <c r="ET76" s="21"/>
      <c r="EU76" s="21"/>
      <c r="EV76" s="21"/>
      <c r="EW76" s="21"/>
      <c r="EX76" s="21"/>
      <c r="EY76" s="21"/>
    </row>
    <row r="77" spans="1:155" x14ac:dyDescent="0.3">
      <c r="EY77" s="24"/>
    </row>
    <row r="78" spans="1:155" x14ac:dyDescent="0.3">
      <c r="A78" s="21" t="s">
        <v>176</v>
      </c>
      <c r="B78" s="21" t="s">
        <v>169</v>
      </c>
    </row>
    <row r="79" spans="1:155" x14ac:dyDescent="0.3">
      <c r="A79" s="21" t="s">
        <v>134</v>
      </c>
      <c r="D79" s="115">
        <f ca="1">D67+D73</f>
        <v>1697.3667290479561</v>
      </c>
      <c r="E79" s="115">
        <f t="shared" ref="E79:R79" ca="1" si="266">E67+E73</f>
        <v>2035.8943671730717</v>
      </c>
      <c r="F79" s="115">
        <f t="shared" ca="1" si="266"/>
        <v>1294.7253409352472</v>
      </c>
      <c r="G79" s="115">
        <f t="shared" ca="1" si="266"/>
        <v>1697.3667290479561</v>
      </c>
      <c r="H79" s="115">
        <f t="shared" ca="1" si="266"/>
        <v>1697.3667290479561</v>
      </c>
      <c r="I79" s="115">
        <f t="shared" ref="I79" ca="1" si="267">I67+I73</f>
        <v>1697.3667290479561</v>
      </c>
      <c r="J79" s="115">
        <f t="shared" ca="1" si="266"/>
        <v>1697.3667290479561</v>
      </c>
      <c r="K79" s="115">
        <f t="shared" ca="1" si="266"/>
        <v>1697.3667290479561</v>
      </c>
      <c r="L79" s="115">
        <f t="shared" ca="1" si="266"/>
        <v>1697.3667290479561</v>
      </c>
      <c r="M79" s="115">
        <f t="shared" ca="1" si="266"/>
        <v>1697.3667290479561</v>
      </c>
      <c r="N79" s="115">
        <f t="shared" ca="1" si="266"/>
        <v>1697.3667290479561</v>
      </c>
      <c r="O79" s="115">
        <f t="shared" ca="1" si="266"/>
        <v>1697.3667290479561</v>
      </c>
      <c r="P79" s="115">
        <f t="shared" ca="1" si="266"/>
        <v>1697.3667290479561</v>
      </c>
      <c r="Q79" s="115">
        <f ca="1">Q67+Q73</f>
        <v>1611.5526849110825</v>
      </c>
      <c r="R79" s="115">
        <f t="shared" ca="1" si="266"/>
        <v>1783.1807731848296</v>
      </c>
      <c r="S79" s="115">
        <f ca="1">S67+S73</f>
        <v>2035.8943671730717</v>
      </c>
      <c r="T79" s="115">
        <f ca="1">T67+T73</f>
        <v>1294.7253409352472</v>
      </c>
      <c r="U79" s="115">
        <f t="shared" ref="T79:V81" ca="1" si="268">U67+U73</f>
        <v>1697.3667290479561</v>
      </c>
      <c r="V79" s="115">
        <f t="shared" ca="1" si="268"/>
        <v>1697.3667290479561</v>
      </c>
      <c r="W79" s="115">
        <f t="shared" ref="W79:AX79" ca="1" si="269">W67+W73</f>
        <v>1697.3667290479561</v>
      </c>
      <c r="X79" s="115">
        <f t="shared" ref="X79:Y79" ca="1" si="270">X67+X73</f>
        <v>2910.0485947027391</v>
      </c>
      <c r="Y79" s="115">
        <f t="shared" ca="1" si="270"/>
        <v>3721.1415219177334</v>
      </c>
      <c r="Z79" s="115">
        <f t="shared" ca="1" si="269"/>
        <v>3721.1415219177334</v>
      </c>
      <c r="AA79" s="115">
        <f t="shared" ref="AA79" ca="1" si="271">AA67+AA73</f>
        <v>3721.1415219177334</v>
      </c>
      <c r="AB79" s="115">
        <f t="shared" ref="AB79:AC79" ca="1" si="272">AB67+AB73</f>
        <v>2910.0485947027391</v>
      </c>
      <c r="AC79" s="115">
        <f t="shared" ca="1" si="272"/>
        <v>3721.1415219177334</v>
      </c>
      <c r="AD79" s="115">
        <f t="shared" ref="AD79" ca="1" si="273">AD67+AD73</f>
        <v>3721.1415219177334</v>
      </c>
      <c r="AE79" s="115">
        <f t="shared" ref="AE79" ca="1" si="274">AE67+AE73</f>
        <v>3721.1415219177334</v>
      </c>
      <c r="AF79" s="115">
        <f t="shared" ca="1" si="269"/>
        <v>1697.3667290479561</v>
      </c>
      <c r="AG79" s="115">
        <f t="shared" ca="1" si="269"/>
        <v>942.38279997491838</v>
      </c>
      <c r="AH79" s="115">
        <f t="shared" ca="1" si="269"/>
        <v>1671.2989312023669</v>
      </c>
      <c r="AI79" s="115">
        <f t="shared" ca="1" si="269"/>
        <v>1204.5838059100074</v>
      </c>
      <c r="AJ79" s="115">
        <f t="shared" ca="1" si="269"/>
        <v>1994.3951280797792</v>
      </c>
      <c r="AK79" s="115">
        <f t="shared" ca="1" si="269"/>
        <v>3584.6359126805655</v>
      </c>
      <c r="AL79" s="115">
        <f t="shared" ca="1" si="269"/>
        <v>4736.1407770158485</v>
      </c>
      <c r="AM79" s="115">
        <f t="shared" ca="1" si="269"/>
        <v>3584.6359126805655</v>
      </c>
      <c r="AN79" s="115">
        <f t="shared" ca="1" si="269"/>
        <v>6899.6948594970245</v>
      </c>
      <c r="AO79" s="115">
        <f t="shared" ca="1" si="269"/>
        <v>62684.431314174537</v>
      </c>
      <c r="AP79" s="115">
        <f t="shared" ca="1" si="269"/>
        <v>67305.235886344206</v>
      </c>
      <c r="AQ79" s="115">
        <f t="shared" ca="1" si="269"/>
        <v>83911.592992690625</v>
      </c>
      <c r="AR79" s="115">
        <f t="shared" ca="1" si="269"/>
        <v>122135.67090664085</v>
      </c>
      <c r="AS79" s="115">
        <f t="shared" ca="1" si="269"/>
        <v>122135.67090664085</v>
      </c>
      <c r="AT79" s="115">
        <f t="shared" ca="1" si="269"/>
        <v>122135.67090664085</v>
      </c>
      <c r="AU79" s="115">
        <f t="shared" ca="1" si="269"/>
        <v>113293.74280337061</v>
      </c>
      <c r="AV79" s="115">
        <f t="shared" ca="1" si="269"/>
        <v>106533.11742720929</v>
      </c>
      <c r="AW79" s="115">
        <f t="shared" ca="1" si="269"/>
        <v>137738.22438607243</v>
      </c>
      <c r="AX79" s="115">
        <f t="shared" ca="1" si="269"/>
        <v>122135.67090664085</v>
      </c>
      <c r="AY79" s="115">
        <f t="shared" ref="AY79:BH81" ca="1" si="275">AY67+AY73</f>
        <v>121870.17700394744</v>
      </c>
      <c r="AZ79" s="115">
        <f t="shared" ca="1" si="275"/>
        <v>121870.17700394744</v>
      </c>
      <c r="BA79" s="115">
        <f t="shared" ca="1" si="275"/>
        <v>121870.17700394744</v>
      </c>
      <c r="BB79" s="115">
        <f t="shared" ca="1" si="275"/>
        <v>121870.17700394744</v>
      </c>
      <c r="BC79" s="115">
        <f t="shared" ca="1" si="275"/>
        <v>62684.431314174537</v>
      </c>
      <c r="BD79" s="115">
        <f t="shared" ref="BD79:BE81" ca="1" si="276">BD67+BD73</f>
        <v>62684.431314174537</v>
      </c>
      <c r="BE79" s="115">
        <f t="shared" ca="1" si="276"/>
        <v>62684.431314174537</v>
      </c>
      <c r="BF79" s="115">
        <f t="shared" ca="1" si="275"/>
        <v>62684.431314174537</v>
      </c>
      <c r="BG79" s="115">
        <f t="shared" ca="1" si="275"/>
        <v>62684.431314174537</v>
      </c>
      <c r="BH79" s="115">
        <f t="shared" ca="1" si="275"/>
        <v>62684.431314174537</v>
      </c>
      <c r="BI79" s="115">
        <f t="shared" ref="BI79:BT79" ca="1" si="277">BI67+BI73</f>
        <v>62684.431314174537</v>
      </c>
      <c r="BJ79" s="115">
        <f t="shared" ca="1" si="277"/>
        <v>67305.235886344206</v>
      </c>
      <c r="BK79" s="115">
        <f t="shared" ca="1" si="277"/>
        <v>83911.592992690625</v>
      </c>
      <c r="BL79" s="115">
        <f t="shared" ca="1" si="277"/>
        <v>132537.37322626187</v>
      </c>
      <c r="BM79" s="115">
        <f t="shared" ca="1" si="277"/>
        <v>132537.37322626187</v>
      </c>
      <c r="BN79" s="115">
        <f t="shared" ca="1" si="277"/>
        <v>132537.37322626187</v>
      </c>
      <c r="BO79" s="115">
        <f t="shared" ca="1" si="277"/>
        <v>132537.37322626187</v>
      </c>
      <c r="BP79" s="115">
        <f t="shared" ca="1" si="277"/>
        <v>132537.37322626187</v>
      </c>
      <c r="BQ79" s="115">
        <f t="shared" ca="1" si="277"/>
        <v>122511.97840921341</v>
      </c>
      <c r="BR79" s="115">
        <f t="shared" ca="1" si="277"/>
        <v>114334.39416692508</v>
      </c>
      <c r="BS79" s="115">
        <f t="shared" ca="1" si="277"/>
        <v>150740.3522855987</v>
      </c>
      <c r="BT79" s="115">
        <f t="shared" ca="1" si="277"/>
        <v>132537.37322626187</v>
      </c>
      <c r="BU79" s="115">
        <f t="shared" ref="BU79:CC79" ca="1" si="278">BU67+BU73</f>
        <v>205349.28946360917</v>
      </c>
      <c r="BV79" s="115">
        <f t="shared" ca="1" si="278"/>
        <v>205349.28946360917</v>
      </c>
      <c r="BW79" s="115">
        <f t="shared" ca="1" si="278"/>
        <v>205349.28946360917</v>
      </c>
      <c r="BX79" s="115">
        <f t="shared" ca="1" si="278"/>
        <v>205349.28946360917</v>
      </c>
      <c r="BY79" s="115">
        <f t="shared" ca="1" si="278"/>
        <v>205349.28946360917</v>
      </c>
      <c r="BZ79" s="115">
        <f t="shared" ca="1" si="278"/>
        <v>187039.62765011305</v>
      </c>
      <c r="CA79" s="115">
        <f t="shared" ca="1" si="278"/>
        <v>168943.33134493552</v>
      </c>
      <c r="CB79" s="115">
        <f t="shared" ca="1" si="278"/>
        <v>241755.24758228281</v>
      </c>
      <c r="CC79" s="115">
        <f t="shared" ca="1" si="278"/>
        <v>205349.28946360917</v>
      </c>
      <c r="CD79" s="115">
        <f t="shared" ref="CD79:CG81" ca="1" si="279">CD67+CD73</f>
        <v>121870.17700394744</v>
      </c>
      <c r="CE79" s="115">
        <f t="shared" ca="1" si="279"/>
        <v>121870.17700394744</v>
      </c>
      <c r="CF79" s="115">
        <f t="shared" ca="1" si="279"/>
        <v>121870.17700394744</v>
      </c>
      <c r="CG79" s="115">
        <f t="shared" ca="1" si="279"/>
        <v>121870.17700394744</v>
      </c>
      <c r="CH79" s="115">
        <f t="shared" ref="CH79:CL81" ca="1" si="280">CH67+CH73</f>
        <v>62684.431314174537</v>
      </c>
      <c r="CI79" s="115">
        <f t="shared" ca="1" si="280"/>
        <v>67305.235886344206</v>
      </c>
      <c r="CJ79" s="115">
        <f t="shared" ca="1" si="280"/>
        <v>83911.592992690625</v>
      </c>
      <c r="CK79" s="115">
        <f t="shared" ca="1" si="280"/>
        <v>132537.37322626187</v>
      </c>
      <c r="CL79" s="115">
        <f t="shared" ca="1" si="280"/>
        <v>205349.28946360917</v>
      </c>
      <c r="CM79" s="115">
        <f t="shared" ref="CM79:CX79" ca="1" si="281">CM67+CM73</f>
        <v>121870.17700394744</v>
      </c>
      <c r="CN79" s="115">
        <f t="shared" ca="1" si="281"/>
        <v>77180.806856519514</v>
      </c>
      <c r="CO79" s="115">
        <f t="shared" ca="1" si="281"/>
        <v>83377.473618946198</v>
      </c>
      <c r="CP79" s="115">
        <f t="shared" ca="1" si="281"/>
        <v>97889.128048562357</v>
      </c>
      <c r="CQ79" s="115">
        <f t="shared" ca="1" si="281"/>
        <v>136164.77954079979</v>
      </c>
      <c r="CR79" s="115">
        <f t="shared" ca="1" si="281"/>
        <v>151991.7143930922</v>
      </c>
      <c r="CS79" s="115">
        <f t="shared" ca="1" si="281"/>
        <v>77180.806856519514</v>
      </c>
      <c r="CT79" s="115">
        <f t="shared" ca="1" si="281"/>
        <v>83377.473618946198</v>
      </c>
      <c r="CU79" s="115">
        <f t="shared" ca="1" si="281"/>
        <v>97889.128048562357</v>
      </c>
      <c r="CV79" s="115">
        <f t="shared" ca="1" si="281"/>
        <v>146566.48186042081</v>
      </c>
      <c r="CW79" s="115">
        <f t="shared" ca="1" si="281"/>
        <v>219378.39809776808</v>
      </c>
      <c r="CX79" s="115">
        <f t="shared" ca="1" si="281"/>
        <v>151991.7143930922</v>
      </c>
      <c r="CY79" s="115">
        <f t="shared" ref="CY79:DC81" ca="1" si="282">CY67+CY73</f>
        <v>77180.806856519514</v>
      </c>
      <c r="CZ79" s="115">
        <f t="shared" ca="1" si="282"/>
        <v>83377.473618946198</v>
      </c>
      <c r="DA79" s="115">
        <f t="shared" ca="1" si="282"/>
        <v>97889.128048562357</v>
      </c>
      <c r="DB79" s="115">
        <f t="shared" ca="1" si="282"/>
        <v>146566.48186042081</v>
      </c>
      <c r="DC79" s="115">
        <f t="shared" ca="1" si="282"/>
        <v>219378.39809776808</v>
      </c>
      <c r="DD79" s="115">
        <f t="shared" ref="DD79:DF81" ca="1" si="283">DD67+DD73</f>
        <v>151991.7143930922</v>
      </c>
      <c r="DE79" s="115">
        <f t="shared" ca="1" si="283"/>
        <v>152426.34457363901</v>
      </c>
      <c r="DF79" s="115">
        <f t="shared" ca="1" si="283"/>
        <v>158853.20963244716</v>
      </c>
      <c r="DG79" s="115"/>
      <c r="DH79" s="115">
        <f t="shared" ref="DH79:DJ81" ca="1" si="284">DH67+DH73</f>
        <v>324341.69578224514</v>
      </c>
      <c r="DI79" s="115">
        <f t="shared" ca="1" si="284"/>
        <v>480367.23057656072</v>
      </c>
      <c r="DJ79" s="115">
        <f t="shared" ca="1" si="284"/>
        <v>285108.27107163297</v>
      </c>
      <c r="DK79" s="115">
        <f t="shared" ref="DK79:DP79" ca="1" si="285">DK67+DK73</f>
        <v>541620.89322372235</v>
      </c>
      <c r="DL79" s="115">
        <f t="shared" ca="1" si="285"/>
        <v>541620.89322372235</v>
      </c>
      <c r="DM79" s="115">
        <f ca="1">DM67+DM73</f>
        <v>541620.89322372235</v>
      </c>
      <c r="DN79" s="115">
        <f t="shared" ca="1" si="285"/>
        <v>541620.89322372235</v>
      </c>
      <c r="DO79" s="115">
        <f t="shared" ca="1" si="285"/>
        <v>541620.89322372235</v>
      </c>
      <c r="DP79" s="115">
        <f t="shared" ca="1" si="285"/>
        <v>541620.89322372235</v>
      </c>
      <c r="DQ79" s="115">
        <f t="shared" ref="DQ79:DS81" ca="1" si="286">DQ67+DQ73</f>
        <v>541620.89322372235</v>
      </c>
      <c r="DR79" s="115">
        <f t="shared" ca="1" si="286"/>
        <v>534976.05820859177</v>
      </c>
      <c r="DS79" s="115">
        <f t="shared" ca="1" si="286"/>
        <v>1164486.9361507315</v>
      </c>
      <c r="DT79" s="115">
        <f t="shared" ref="DT79:DW81" ca="1" si="287">DT67+DT73</f>
        <v>1164486.9361507315</v>
      </c>
      <c r="DU79" s="115">
        <f t="shared" ca="1" si="287"/>
        <v>944865.50514660391</v>
      </c>
      <c r="DV79" s="115">
        <f t="shared" ref="DV79" ca="1" si="288">DV67+DV73</f>
        <v>770486.07760170451</v>
      </c>
      <c r="DW79" s="115">
        <f t="shared" ca="1" si="287"/>
        <v>769090.2333801327</v>
      </c>
      <c r="DX79" s="115">
        <f t="shared" ref="DX79:EC79" ca="1" si="289">DX67+DX73</f>
        <v>10480683.003388975</v>
      </c>
      <c r="DY79" s="115">
        <f t="shared" ca="1" si="289"/>
        <v>10480683.003388975</v>
      </c>
      <c r="DZ79" s="115">
        <f t="shared" ca="1" si="289"/>
        <v>10480683.003388975</v>
      </c>
      <c r="EA79" s="115">
        <f t="shared" ca="1" si="289"/>
        <v>10480683.003388975</v>
      </c>
      <c r="EB79" s="115">
        <f t="shared" ca="1" si="289"/>
        <v>10480683.003388975</v>
      </c>
      <c r="EC79" s="115">
        <f t="shared" ca="1" si="289"/>
        <v>10480683.003388975</v>
      </c>
      <c r="ED79" s="115">
        <f ca="1">ED67+ED73</f>
        <v>10480683.003388975</v>
      </c>
    </row>
    <row r="80" spans="1:155" x14ac:dyDescent="0.3">
      <c r="A80" s="21" t="s">
        <v>132</v>
      </c>
      <c r="D80" s="115">
        <f>D68+D74</f>
        <v>160.84841914548991</v>
      </c>
      <c r="E80" s="115">
        <f t="shared" ref="E80:R80" si="290">E68+E74</f>
        <v>183.22244429388456</v>
      </c>
      <c r="F80" s="115">
        <f t="shared" si="290"/>
        <v>160.84841914548991</v>
      </c>
      <c r="G80" s="115">
        <f t="shared" si="290"/>
        <v>160.84841914548991</v>
      </c>
      <c r="H80" s="115">
        <f t="shared" si="290"/>
        <v>160.84841914548991</v>
      </c>
      <c r="I80" s="115">
        <f t="shared" ref="I80" si="291">I68+I74</f>
        <v>160.84841914548991</v>
      </c>
      <c r="J80" s="115">
        <f t="shared" si="290"/>
        <v>160.84841914548991</v>
      </c>
      <c r="K80" s="115">
        <f t="shared" si="290"/>
        <v>160.84841914548991</v>
      </c>
      <c r="L80" s="115">
        <f t="shared" si="290"/>
        <v>160.84841914548991</v>
      </c>
      <c r="M80" s="115">
        <f t="shared" si="290"/>
        <v>160.84841914548991</v>
      </c>
      <c r="N80" s="115">
        <f t="shared" si="290"/>
        <v>160.84841914548991</v>
      </c>
      <c r="O80" s="115">
        <f t="shared" si="290"/>
        <v>160.84841914548991</v>
      </c>
      <c r="P80" s="115">
        <f t="shared" si="290"/>
        <v>160.84841914548991</v>
      </c>
      <c r="Q80" s="115">
        <f>Q68+Q74</f>
        <v>143.01033950751207</v>
      </c>
      <c r="R80" s="115">
        <f t="shared" si="290"/>
        <v>178.68649878346775</v>
      </c>
      <c r="S80" s="115">
        <f>S68+S74</f>
        <v>183.22244429388456</v>
      </c>
      <c r="T80" s="115">
        <f t="shared" si="268"/>
        <v>160.84841914548991</v>
      </c>
      <c r="U80" s="115">
        <f t="shared" si="268"/>
        <v>160.84841914548991</v>
      </c>
      <c r="V80" s="115">
        <f t="shared" si="268"/>
        <v>160.84841914548991</v>
      </c>
      <c r="W80" s="115">
        <f t="shared" ref="W80:AX80" si="292">W68+W74</f>
        <v>160.84841914548991</v>
      </c>
      <c r="X80" s="115">
        <f t="shared" ref="X80:Y80" si="293">X68+X74</f>
        <v>357.50515925883087</v>
      </c>
      <c r="Y80" s="115">
        <f t="shared" si="293"/>
        <v>357.50515925883087</v>
      </c>
      <c r="Z80" s="115">
        <f t="shared" si="292"/>
        <v>357.50515925883087</v>
      </c>
      <c r="AA80" s="115">
        <f t="shared" ref="AA80" si="294">AA68+AA74</f>
        <v>357.50515925883087</v>
      </c>
      <c r="AB80" s="115">
        <f t="shared" ref="AB80:AC80" si="295">AB68+AB74</f>
        <v>357.50515925883087</v>
      </c>
      <c r="AC80" s="115">
        <f t="shared" si="295"/>
        <v>357.50515925883087</v>
      </c>
      <c r="AD80" s="115">
        <f t="shared" ref="AD80" si="296">AD68+AD74</f>
        <v>357.50515925883087</v>
      </c>
      <c r="AE80" s="115">
        <f t="shared" ref="AE80" si="297">AE68+AE74</f>
        <v>357.50515925883087</v>
      </c>
      <c r="AF80" s="115">
        <f t="shared" si="292"/>
        <v>160.84841914548991</v>
      </c>
      <c r="AG80" s="115">
        <f t="shared" si="292"/>
        <v>169.7957555811179</v>
      </c>
      <c r="AH80" s="115">
        <f t="shared" si="292"/>
        <v>296.0992335867241</v>
      </c>
      <c r="AI80" s="115">
        <f t="shared" si="292"/>
        <v>219.05139482316429</v>
      </c>
      <c r="AJ80" s="115">
        <f t="shared" si="292"/>
        <v>389.43968587745644</v>
      </c>
      <c r="AK80" s="115">
        <f t="shared" si="292"/>
        <v>773.11482913978739</v>
      </c>
      <c r="AL80" s="115">
        <f t="shared" si="292"/>
        <v>962.64489701555544</v>
      </c>
      <c r="AM80" s="115">
        <f t="shared" si="292"/>
        <v>773.11482913978739</v>
      </c>
      <c r="AN80" s="115">
        <f t="shared" si="292"/>
        <v>1412.3807230397238</v>
      </c>
      <c r="AO80" s="115">
        <f t="shared" si="292"/>
        <v>12288.421964673304</v>
      </c>
      <c r="AP80" s="115">
        <f t="shared" si="292"/>
        <v>13469.958139869175</v>
      </c>
      <c r="AQ80" s="115">
        <f t="shared" si="292"/>
        <v>16967.374667667144</v>
      </c>
      <c r="AR80" s="115">
        <f t="shared" si="292"/>
        <v>24426.813547312355</v>
      </c>
      <c r="AS80" s="115">
        <f t="shared" si="292"/>
        <v>24426.813547312355</v>
      </c>
      <c r="AT80" s="115">
        <f t="shared" si="292"/>
        <v>24426.813547312355</v>
      </c>
      <c r="AU80" s="115">
        <f t="shared" si="292"/>
        <v>24426.813547312355</v>
      </c>
      <c r="AV80" s="115">
        <f t="shared" si="292"/>
        <v>21183.526340407294</v>
      </c>
      <c r="AW80" s="115">
        <f t="shared" si="292"/>
        <v>27670.100754217419</v>
      </c>
      <c r="AX80" s="115">
        <f t="shared" si="292"/>
        <v>24426.813547312355</v>
      </c>
      <c r="AY80" s="115">
        <f t="shared" si="275"/>
        <v>14268.851979585741</v>
      </c>
      <c r="AZ80" s="115">
        <f t="shared" si="275"/>
        <v>14268.851979585741</v>
      </c>
      <c r="BA80" s="115">
        <f t="shared" si="275"/>
        <v>14268.851979585741</v>
      </c>
      <c r="BB80" s="115">
        <f t="shared" si="275"/>
        <v>14268.851979585741</v>
      </c>
      <c r="BC80" s="115">
        <f t="shared" si="275"/>
        <v>12288.421964673304</v>
      </c>
      <c r="BD80" s="115">
        <f t="shared" si="276"/>
        <v>12288.421964673304</v>
      </c>
      <c r="BE80" s="115">
        <f t="shared" si="276"/>
        <v>12288.421964673304</v>
      </c>
      <c r="BF80" s="115">
        <f t="shared" si="275"/>
        <v>12288.421964673304</v>
      </c>
      <c r="BG80" s="115">
        <f t="shared" si="275"/>
        <v>12288.421964673304</v>
      </c>
      <c r="BH80" s="115">
        <f t="shared" si="275"/>
        <v>12288.421964673304</v>
      </c>
      <c r="BI80" s="115">
        <f t="shared" ref="BI80:BT80" si="298">BI68+BI74</f>
        <v>12288.421964673304</v>
      </c>
      <c r="BJ80" s="115">
        <f t="shared" si="298"/>
        <v>13469.958139869175</v>
      </c>
      <c r="BK80" s="115">
        <f t="shared" si="298"/>
        <v>16967.374667667144</v>
      </c>
      <c r="BL80" s="115">
        <f t="shared" si="298"/>
        <v>26589.005018582397</v>
      </c>
      <c r="BM80" s="115">
        <f t="shared" si="298"/>
        <v>26589.005018582397</v>
      </c>
      <c r="BN80" s="115">
        <f t="shared" si="298"/>
        <v>26589.005018582397</v>
      </c>
      <c r="BO80" s="115">
        <f t="shared" si="298"/>
        <v>26589.005018582397</v>
      </c>
      <c r="BP80" s="115">
        <f t="shared" si="298"/>
        <v>26589.005018582397</v>
      </c>
      <c r="BQ80" s="115">
        <f t="shared" si="298"/>
        <v>26589.005018582397</v>
      </c>
      <c r="BR80" s="115">
        <f t="shared" si="298"/>
        <v>22805.169943859826</v>
      </c>
      <c r="BS80" s="115">
        <f t="shared" si="298"/>
        <v>30372.840093304967</v>
      </c>
      <c r="BT80" s="115">
        <f t="shared" si="298"/>
        <v>26589.005018582397</v>
      </c>
      <c r="BU80" s="115">
        <f t="shared" ref="BU80:CC80" si="299">BU68+BU74</f>
        <v>41724.345317472682</v>
      </c>
      <c r="BV80" s="115">
        <f t="shared" si="299"/>
        <v>41724.345317472682</v>
      </c>
      <c r="BW80" s="115">
        <f t="shared" si="299"/>
        <v>41724.345317472682</v>
      </c>
      <c r="BX80" s="115">
        <f t="shared" si="299"/>
        <v>41724.345317472682</v>
      </c>
      <c r="BY80" s="115">
        <f t="shared" si="299"/>
        <v>41724.345317472682</v>
      </c>
      <c r="BZ80" s="115">
        <f t="shared" si="299"/>
        <v>41724.345317472682</v>
      </c>
      <c r="CA80" s="115">
        <f t="shared" si="299"/>
        <v>34156.675168027541</v>
      </c>
      <c r="CB80" s="115">
        <f t="shared" si="299"/>
        <v>49292.015466917823</v>
      </c>
      <c r="CC80" s="115">
        <f t="shared" si="299"/>
        <v>41724.345317472682</v>
      </c>
      <c r="CD80" s="115">
        <f t="shared" si="279"/>
        <v>14268.851979585741</v>
      </c>
      <c r="CE80" s="115">
        <f t="shared" si="279"/>
        <v>14268.851979585741</v>
      </c>
      <c r="CF80" s="115">
        <f t="shared" si="279"/>
        <v>14268.851979585741</v>
      </c>
      <c r="CG80" s="115">
        <f t="shared" si="279"/>
        <v>14268.851979585741</v>
      </c>
      <c r="CH80" s="115">
        <f t="shared" ref="CH80:CK81" si="300">CH68+CH74</f>
        <v>12288.421964673304</v>
      </c>
      <c r="CI80" s="115">
        <f t="shared" si="300"/>
        <v>13469.958139869175</v>
      </c>
      <c r="CJ80" s="115">
        <f t="shared" si="300"/>
        <v>16967.374667667144</v>
      </c>
      <c r="CK80" s="115">
        <f t="shared" si="300"/>
        <v>26589.005018582397</v>
      </c>
      <c r="CL80" s="115">
        <f t="shared" si="280"/>
        <v>41724.345317472682</v>
      </c>
      <c r="CM80" s="115">
        <f t="shared" ref="CM80:CX80" si="301">CM68+CM74</f>
        <v>14268.851979585741</v>
      </c>
      <c r="CN80" s="115">
        <f t="shared" si="301"/>
        <v>15612.050975315107</v>
      </c>
      <c r="CO80" s="115">
        <f t="shared" si="301"/>
        <v>17120.098483621958</v>
      </c>
      <c r="CP80" s="115">
        <f t="shared" si="301"/>
        <v>20721.46645026558</v>
      </c>
      <c r="CQ80" s="115">
        <f t="shared" si="301"/>
        <v>27591.743381496795</v>
      </c>
      <c r="CR80" s="115">
        <f t="shared" si="301"/>
        <v>18239.236361006737</v>
      </c>
      <c r="CS80" s="115">
        <f t="shared" si="301"/>
        <v>15612.050975315107</v>
      </c>
      <c r="CT80" s="115">
        <f t="shared" si="301"/>
        <v>17120.098483621958</v>
      </c>
      <c r="CU80" s="115">
        <f t="shared" si="301"/>
        <v>20721.46645026558</v>
      </c>
      <c r="CV80" s="115">
        <f t="shared" si="301"/>
        <v>29753.934852766834</v>
      </c>
      <c r="CW80" s="115">
        <f t="shared" si="301"/>
        <v>44889.275151657122</v>
      </c>
      <c r="CX80" s="115">
        <f t="shared" si="301"/>
        <v>18239.236361006737</v>
      </c>
      <c r="CY80" s="115">
        <f t="shared" ref="CY80:DB81" si="302">CY68+CY74</f>
        <v>15612.050975315107</v>
      </c>
      <c r="CZ80" s="115">
        <f t="shared" si="302"/>
        <v>17120.098483621958</v>
      </c>
      <c r="DA80" s="115">
        <f t="shared" si="302"/>
        <v>20721.46645026558</v>
      </c>
      <c r="DB80" s="115">
        <f t="shared" si="302"/>
        <v>29753.934852766834</v>
      </c>
      <c r="DC80" s="115">
        <f t="shared" si="282"/>
        <v>44889.275151657122</v>
      </c>
      <c r="DD80" s="115">
        <f t="shared" si="283"/>
        <v>18239.236361006737</v>
      </c>
      <c r="DE80" s="115">
        <f t="shared" si="283"/>
        <v>29231.798919720943</v>
      </c>
      <c r="DF80" s="115">
        <f t="shared" si="283"/>
        <v>31048.492114568267</v>
      </c>
      <c r="DG80" s="115"/>
      <c r="DH80" s="115">
        <f t="shared" si="284"/>
        <v>62801.243550930725</v>
      </c>
      <c r="DI80" s="115">
        <f t="shared" si="284"/>
        <v>95234.115619981341</v>
      </c>
      <c r="DJ80" s="115">
        <f t="shared" si="284"/>
        <v>34968.859023180114</v>
      </c>
      <c r="DK80" s="115">
        <f t="shared" ref="DK80:DP80" si="303">DK68+DK74</f>
        <v>85519.65950420755</v>
      </c>
      <c r="DL80" s="115">
        <f t="shared" si="303"/>
        <v>85519.65950420755</v>
      </c>
      <c r="DM80" s="115">
        <f>DM68+DM74</f>
        <v>85519.65950420755</v>
      </c>
      <c r="DN80" s="115">
        <f t="shared" si="303"/>
        <v>85519.65950420755</v>
      </c>
      <c r="DO80" s="115">
        <f t="shared" si="303"/>
        <v>85519.65950420755</v>
      </c>
      <c r="DP80" s="115">
        <f t="shared" si="303"/>
        <v>85519.65950420755</v>
      </c>
      <c r="DQ80" s="115">
        <f t="shared" si="286"/>
        <v>85519.65950420755</v>
      </c>
      <c r="DR80" s="115">
        <f t="shared" si="286"/>
        <v>88462.305305306305</v>
      </c>
      <c r="DS80" s="115">
        <f t="shared" si="286"/>
        <v>236001.68748728407</v>
      </c>
      <c r="DT80" s="115">
        <f t="shared" si="287"/>
        <v>236001.68748728407</v>
      </c>
      <c r="DU80" s="115">
        <f t="shared" si="287"/>
        <v>165730.46467100776</v>
      </c>
      <c r="DV80" s="115">
        <f t="shared" ref="DV80" si="304">DV68+DV74</f>
        <v>103959.62575362655</v>
      </c>
      <c r="DW80" s="115">
        <f t="shared" si="287"/>
        <v>103959.62575362655</v>
      </c>
      <c r="DX80" s="115">
        <f t="shared" ref="DX80:EC80" si="305">DX68+DX74</f>
        <v>1529780.4065957495</v>
      </c>
      <c r="DY80" s="115">
        <f t="shared" si="305"/>
        <v>1529780.4065957495</v>
      </c>
      <c r="DZ80" s="115">
        <f t="shared" si="305"/>
        <v>1529780.4065957495</v>
      </c>
      <c r="EA80" s="115">
        <f t="shared" si="305"/>
        <v>1529780.4065957495</v>
      </c>
      <c r="EB80" s="115">
        <f t="shared" si="305"/>
        <v>1529780.4065957495</v>
      </c>
      <c r="EC80" s="115">
        <f t="shared" si="305"/>
        <v>1529780.4065957495</v>
      </c>
      <c r="ED80" s="115">
        <f>ED68+ED74</f>
        <v>1529780.4065957495</v>
      </c>
    </row>
    <row r="81" spans="1:154" x14ac:dyDescent="0.3">
      <c r="A81" s="21" t="s">
        <v>133</v>
      </c>
      <c r="D81" s="115">
        <f>D69+D75</f>
        <v>29.897274220118014</v>
      </c>
      <c r="E81" s="115">
        <f t="shared" ref="E81:R81" si="306">E69+E75</f>
        <v>36.060970532439057</v>
      </c>
      <c r="F81" s="115">
        <f t="shared" si="306"/>
        <v>29.897274220118014</v>
      </c>
      <c r="G81" s="115">
        <f t="shared" si="306"/>
        <v>29.897274220118014</v>
      </c>
      <c r="H81" s="115">
        <f t="shared" si="306"/>
        <v>29.897274220118014</v>
      </c>
      <c r="I81" s="115">
        <f t="shared" ref="I81" si="307">I69+I75</f>
        <v>29.897274220118014</v>
      </c>
      <c r="J81" s="115">
        <f t="shared" si="306"/>
        <v>29.897274220118014</v>
      </c>
      <c r="K81" s="115">
        <f t="shared" si="306"/>
        <v>29.897274220118014</v>
      </c>
      <c r="L81" s="115">
        <f t="shared" si="306"/>
        <v>29.897274220118014</v>
      </c>
      <c r="M81" s="115">
        <f t="shared" si="306"/>
        <v>29.897274220118014</v>
      </c>
      <c r="N81" s="115">
        <f t="shared" si="306"/>
        <v>29.897274220118014</v>
      </c>
      <c r="O81" s="115">
        <f t="shared" si="306"/>
        <v>29.897274220118014</v>
      </c>
      <c r="P81" s="115">
        <f t="shared" si="306"/>
        <v>29.897274220118014</v>
      </c>
      <c r="Q81" s="115">
        <f>Q69+Q75</f>
        <v>28.586651977409552</v>
      </c>
      <c r="R81" s="115">
        <f t="shared" si="306"/>
        <v>31.207896462826476</v>
      </c>
      <c r="S81" s="115">
        <f>S69+S75</f>
        <v>36.060970532439057</v>
      </c>
      <c r="T81" s="115">
        <f t="shared" si="268"/>
        <v>29.897274220118014</v>
      </c>
      <c r="U81" s="115">
        <f t="shared" si="268"/>
        <v>29.897274220118014</v>
      </c>
      <c r="V81" s="115">
        <f t="shared" si="268"/>
        <v>29.897274220118014</v>
      </c>
      <c r="W81" s="115">
        <f t="shared" ref="W81:AX81" si="308">W69+W75</f>
        <v>29.897274220118014</v>
      </c>
      <c r="X81" s="115">
        <f t="shared" ref="X81:Y81" si="309">X69+X75</f>
        <v>67.20007453342393</v>
      </c>
      <c r="Y81" s="115">
        <f t="shared" si="309"/>
        <v>67.20007453342393</v>
      </c>
      <c r="Z81" s="115">
        <f t="shared" si="308"/>
        <v>67.20007453342393</v>
      </c>
      <c r="AA81" s="115">
        <f t="shared" ref="AA81" si="310">AA69+AA75</f>
        <v>67.20007453342393</v>
      </c>
      <c r="AB81" s="115">
        <f t="shared" ref="AB81:AC81" si="311">AB69+AB75</f>
        <v>67.20007453342393</v>
      </c>
      <c r="AC81" s="115">
        <f t="shared" si="311"/>
        <v>67.20007453342393</v>
      </c>
      <c r="AD81" s="115">
        <f t="shared" ref="AD81" si="312">AD69+AD75</f>
        <v>67.20007453342393</v>
      </c>
      <c r="AE81" s="115">
        <f t="shared" ref="AE81" si="313">AE69+AE75</f>
        <v>67.20007453342393</v>
      </c>
      <c r="AF81" s="115">
        <f t="shared" si="308"/>
        <v>29.897274220118014</v>
      </c>
      <c r="AG81" s="115">
        <f t="shared" si="308"/>
        <v>46.776092615511942</v>
      </c>
      <c r="AH81" s="115">
        <f t="shared" si="308"/>
        <v>60.461368277764656</v>
      </c>
      <c r="AI81" s="115">
        <f t="shared" si="308"/>
        <v>60.345255962009759</v>
      </c>
      <c r="AJ81" s="115">
        <f t="shared" si="308"/>
        <v>79.842401630626625</v>
      </c>
      <c r="AK81" s="115">
        <f t="shared" si="308"/>
        <v>212.98112385967036</v>
      </c>
      <c r="AL81" s="115">
        <f t="shared" si="308"/>
        <v>208.41142174472972</v>
      </c>
      <c r="AM81" s="115">
        <f t="shared" si="308"/>
        <v>212.98112385967036</v>
      </c>
      <c r="AN81" s="115">
        <f t="shared" si="308"/>
        <v>241.4549885911976</v>
      </c>
      <c r="AO81" s="115">
        <f t="shared" si="308"/>
        <v>3385.2693310902214</v>
      </c>
      <c r="AP81" s="115">
        <f t="shared" si="308"/>
        <v>3617.243318534438</v>
      </c>
      <c r="AQ81" s="115">
        <f t="shared" si="308"/>
        <v>4007.1270314483049</v>
      </c>
      <c r="AR81" s="115">
        <f t="shared" si="308"/>
        <v>4108.4864922580837</v>
      </c>
      <c r="AS81" s="115">
        <f t="shared" si="308"/>
        <v>4108.4864922580837</v>
      </c>
      <c r="AT81" s="115">
        <f t="shared" si="308"/>
        <v>4108.4864922580837</v>
      </c>
      <c r="AU81" s="115">
        <f t="shared" si="308"/>
        <v>4108.4864922580837</v>
      </c>
      <c r="AV81" s="115">
        <f t="shared" si="308"/>
        <v>3870.1915390383638</v>
      </c>
      <c r="AW81" s="115">
        <f t="shared" si="308"/>
        <v>4346.7814454778045</v>
      </c>
      <c r="AX81" s="115">
        <f t="shared" si="308"/>
        <v>4108.4864922580837</v>
      </c>
      <c r="AY81" s="115">
        <f t="shared" si="275"/>
        <v>3837.3261592900853</v>
      </c>
      <c r="AZ81" s="115">
        <f t="shared" si="275"/>
        <v>3837.3261592900853</v>
      </c>
      <c r="BA81" s="115">
        <f t="shared" si="275"/>
        <v>3837.3261592900853</v>
      </c>
      <c r="BB81" s="115">
        <f t="shared" si="275"/>
        <v>3837.3261592900853</v>
      </c>
      <c r="BC81" s="115">
        <f t="shared" si="275"/>
        <v>3385.2693310902214</v>
      </c>
      <c r="BD81" s="115">
        <f t="shared" si="276"/>
        <v>3385.2693310902214</v>
      </c>
      <c r="BE81" s="115">
        <f t="shared" si="276"/>
        <v>3385.2693310902214</v>
      </c>
      <c r="BF81" s="115">
        <f t="shared" si="275"/>
        <v>3385.2693310902214</v>
      </c>
      <c r="BG81" s="115">
        <f t="shared" si="275"/>
        <v>3385.2693310902214</v>
      </c>
      <c r="BH81" s="115">
        <f t="shared" si="275"/>
        <v>3385.2693310902214</v>
      </c>
      <c r="BI81" s="115">
        <f t="shared" ref="BI81:BT81" si="314">BI69+BI75</f>
        <v>3385.2693310902214</v>
      </c>
      <c r="BJ81" s="115">
        <f t="shared" si="314"/>
        <v>3617.243318534438</v>
      </c>
      <c r="BK81" s="115">
        <f t="shared" si="314"/>
        <v>4007.1270314483049</v>
      </c>
      <c r="BL81" s="115">
        <f t="shared" si="314"/>
        <v>4267.3497944045639</v>
      </c>
      <c r="BM81" s="115">
        <f t="shared" si="314"/>
        <v>4267.3497944045639</v>
      </c>
      <c r="BN81" s="115">
        <f t="shared" si="314"/>
        <v>4267.3497944045639</v>
      </c>
      <c r="BO81" s="115">
        <f t="shared" si="314"/>
        <v>4267.3497944045639</v>
      </c>
      <c r="BP81" s="115">
        <f t="shared" si="314"/>
        <v>4267.3497944045639</v>
      </c>
      <c r="BQ81" s="115">
        <f t="shared" si="314"/>
        <v>4267.3497944045639</v>
      </c>
      <c r="BR81" s="115">
        <f t="shared" si="314"/>
        <v>3989.3390156482237</v>
      </c>
      <c r="BS81" s="115">
        <f t="shared" si="314"/>
        <v>4545.3605731609041</v>
      </c>
      <c r="BT81" s="115">
        <f t="shared" si="314"/>
        <v>4267.3497944045639</v>
      </c>
      <c r="BU81" s="115">
        <f t="shared" ref="BU81:CC81" si="315">BU69+BU75</f>
        <v>5379.3929094299256</v>
      </c>
      <c r="BV81" s="115">
        <f t="shared" si="315"/>
        <v>5379.3929094299256</v>
      </c>
      <c r="BW81" s="115">
        <f t="shared" si="315"/>
        <v>5379.3929094299256</v>
      </c>
      <c r="BX81" s="115">
        <f t="shared" si="315"/>
        <v>5379.3929094299256</v>
      </c>
      <c r="BY81" s="115">
        <f t="shared" si="315"/>
        <v>5379.3929094299256</v>
      </c>
      <c r="BZ81" s="115">
        <f t="shared" si="315"/>
        <v>5379.3929094299256</v>
      </c>
      <c r="CA81" s="115">
        <f t="shared" si="315"/>
        <v>4823.3713519172452</v>
      </c>
      <c r="CB81" s="115">
        <f t="shared" si="315"/>
        <v>5935.4144669426059</v>
      </c>
      <c r="CC81" s="115">
        <f t="shared" si="315"/>
        <v>5379.3929094299256</v>
      </c>
      <c r="CD81" s="115">
        <f t="shared" si="279"/>
        <v>3837.3261592900853</v>
      </c>
      <c r="CE81" s="115">
        <f t="shared" si="279"/>
        <v>3837.3261592900853</v>
      </c>
      <c r="CF81" s="115">
        <f t="shared" si="279"/>
        <v>3837.3261592900853</v>
      </c>
      <c r="CG81" s="115">
        <f t="shared" si="279"/>
        <v>3837.3261592900853</v>
      </c>
      <c r="CH81" s="115">
        <f t="shared" si="300"/>
        <v>3385.2693310902214</v>
      </c>
      <c r="CI81" s="115">
        <f t="shared" si="300"/>
        <v>3617.243318534438</v>
      </c>
      <c r="CJ81" s="115">
        <f t="shared" si="300"/>
        <v>4007.1270314483049</v>
      </c>
      <c r="CK81" s="115">
        <f t="shared" si="300"/>
        <v>4267.3497944045639</v>
      </c>
      <c r="CL81" s="115">
        <f t="shared" si="280"/>
        <v>5379.3929094299256</v>
      </c>
      <c r="CM81" s="115">
        <f t="shared" ref="CM81:CX81" si="316">CM69+CM75</f>
        <v>3837.3261592900853</v>
      </c>
      <c r="CN81" s="115">
        <f t="shared" si="316"/>
        <v>4300.8774856598511</v>
      </c>
      <c r="CO81" s="115">
        <f t="shared" si="316"/>
        <v>4584.6991765934599</v>
      </c>
      <c r="CP81" s="115">
        <f t="shared" si="316"/>
        <v>5007.1424886790128</v>
      </c>
      <c r="CQ81" s="115">
        <f t="shared" si="316"/>
        <v>4980.3754893577925</v>
      </c>
      <c r="CR81" s="115">
        <f t="shared" si="316"/>
        <v>4893.0042742262976</v>
      </c>
      <c r="CS81" s="115">
        <f t="shared" si="316"/>
        <v>4300.8774856598511</v>
      </c>
      <c r="CT81" s="115">
        <f t="shared" si="316"/>
        <v>4584.6991765934599</v>
      </c>
      <c r="CU81" s="115">
        <f t="shared" si="316"/>
        <v>5007.1424886790128</v>
      </c>
      <c r="CV81" s="115">
        <f t="shared" si="316"/>
        <v>5139.2387915042727</v>
      </c>
      <c r="CW81" s="115">
        <f t="shared" si="316"/>
        <v>6251.2819065296344</v>
      </c>
      <c r="CX81" s="115">
        <f t="shared" si="316"/>
        <v>4893.0042742262976</v>
      </c>
      <c r="CY81" s="115">
        <f t="shared" si="302"/>
        <v>4300.8774856598511</v>
      </c>
      <c r="CZ81" s="115">
        <f t="shared" si="302"/>
        <v>4584.6991765934599</v>
      </c>
      <c r="DA81" s="115">
        <f t="shared" si="302"/>
        <v>5007.1424886790128</v>
      </c>
      <c r="DB81" s="115">
        <f t="shared" si="302"/>
        <v>5139.2387915042727</v>
      </c>
      <c r="DC81" s="115">
        <f t="shared" si="282"/>
        <v>6251.2819065296344</v>
      </c>
      <c r="DD81" s="115">
        <f t="shared" si="283"/>
        <v>4893.0042742262976</v>
      </c>
      <c r="DE81" s="115">
        <f t="shared" si="283"/>
        <v>8052.9064399001072</v>
      </c>
      <c r="DF81" s="115">
        <f t="shared" si="283"/>
        <v>8271.3158452056723</v>
      </c>
      <c r="DG81" s="115"/>
      <c r="DH81" s="115">
        <f t="shared" si="284"/>
        <v>10748.964054509936</v>
      </c>
      <c r="DI81" s="115">
        <f t="shared" si="284"/>
        <v>13131.913586707138</v>
      </c>
      <c r="DJ81" s="115">
        <f t="shared" si="284"/>
        <v>9351.3160193938238</v>
      </c>
      <c r="DK81" s="115">
        <f t="shared" ref="DK81:DP81" si="317">DK69+DK75</f>
        <v>23559.337509498429</v>
      </c>
      <c r="DL81" s="115">
        <f t="shared" si="317"/>
        <v>23559.337509498429</v>
      </c>
      <c r="DM81" s="115">
        <f>DM69+DM75</f>
        <v>23559.337509498429</v>
      </c>
      <c r="DN81" s="115">
        <f t="shared" si="317"/>
        <v>23559.337509498429</v>
      </c>
      <c r="DO81" s="115">
        <f t="shared" si="317"/>
        <v>23559.337509498429</v>
      </c>
      <c r="DP81" s="115">
        <f t="shared" si="317"/>
        <v>23559.337509498429</v>
      </c>
      <c r="DQ81" s="115">
        <f t="shared" si="286"/>
        <v>23559.337509498429</v>
      </c>
      <c r="DR81" s="115">
        <f t="shared" si="286"/>
        <v>23569.630015151259</v>
      </c>
      <c r="DS81" s="115">
        <f t="shared" si="286"/>
        <v>39003.075690521451</v>
      </c>
      <c r="DT81" s="115">
        <f t="shared" si="287"/>
        <v>39003.075690521451</v>
      </c>
      <c r="DU81" s="115">
        <f t="shared" si="287"/>
        <v>32650.306855185332</v>
      </c>
      <c r="DV81" s="115">
        <f t="shared" ref="DV81" si="318">DV69+DV75</f>
        <v>27838.901023145219</v>
      </c>
      <c r="DW81" s="115">
        <f t="shared" si="287"/>
        <v>27838.901023145219</v>
      </c>
      <c r="DX81" s="115">
        <f t="shared" ref="DX81:EC81" si="319">DX69+DX75</f>
        <v>421430.73444573075</v>
      </c>
      <c r="DY81" s="115">
        <f t="shared" si="319"/>
        <v>421430.73444573075</v>
      </c>
      <c r="DZ81" s="115">
        <f t="shared" si="319"/>
        <v>421430.73444573075</v>
      </c>
      <c r="EA81" s="115">
        <f t="shared" si="319"/>
        <v>421430.73444573075</v>
      </c>
      <c r="EB81" s="115">
        <f t="shared" si="319"/>
        <v>421430.73444573075</v>
      </c>
      <c r="EC81" s="115">
        <f t="shared" si="319"/>
        <v>421430.73444573075</v>
      </c>
      <c r="ED81" s="115">
        <f>ED69+ED75</f>
        <v>421430.73444573075</v>
      </c>
    </row>
    <row r="82" spans="1:154" s="24" customFormat="1" x14ac:dyDescent="0.3">
      <c r="A82" s="24" t="s">
        <v>25</v>
      </c>
      <c r="D82" s="118">
        <f ca="1">SUM(D79:D81)</f>
        <v>1888.1124224135642</v>
      </c>
      <c r="E82" s="118">
        <f t="shared" ref="E82:R82" ca="1" si="320">SUM(E79:E81)</f>
        <v>2255.1777819993954</v>
      </c>
      <c r="F82" s="118">
        <f t="shared" ca="1" si="320"/>
        <v>1485.4710343008553</v>
      </c>
      <c r="G82" s="118">
        <f t="shared" ca="1" si="320"/>
        <v>1888.1124224135642</v>
      </c>
      <c r="H82" s="118">
        <f t="shared" ca="1" si="320"/>
        <v>1888.1124224135642</v>
      </c>
      <c r="I82" s="118">
        <f t="shared" ref="I82" ca="1" si="321">SUM(I79:I81)</f>
        <v>1888.1124224135642</v>
      </c>
      <c r="J82" s="118">
        <f t="shared" ca="1" si="320"/>
        <v>1888.1124224135642</v>
      </c>
      <c r="K82" s="118">
        <f t="shared" ca="1" si="320"/>
        <v>1888.1124224135642</v>
      </c>
      <c r="L82" s="118">
        <f t="shared" ca="1" si="320"/>
        <v>1888.1124224135642</v>
      </c>
      <c r="M82" s="118">
        <f t="shared" ca="1" si="320"/>
        <v>1888.1124224135642</v>
      </c>
      <c r="N82" s="118">
        <f t="shared" ca="1" si="320"/>
        <v>1888.1124224135642</v>
      </c>
      <c r="O82" s="118">
        <f t="shared" ca="1" si="320"/>
        <v>1888.1124224135642</v>
      </c>
      <c r="P82" s="118">
        <f t="shared" ca="1" si="320"/>
        <v>1888.1124224135642</v>
      </c>
      <c r="Q82" s="118">
        <f ca="1">SUM(Q79:Q81)</f>
        <v>1783.149676396004</v>
      </c>
      <c r="R82" s="118">
        <f t="shared" ca="1" si="320"/>
        <v>1993.0751684311238</v>
      </c>
      <c r="S82" s="118">
        <f t="shared" ref="S82:BT82" ca="1" si="322">SUM(S79:S81)</f>
        <v>2255.1777819993954</v>
      </c>
      <c r="T82" s="118">
        <f t="shared" ca="1" si="322"/>
        <v>1485.4710343008553</v>
      </c>
      <c r="U82" s="118">
        <f t="shared" ca="1" si="322"/>
        <v>1888.1124224135642</v>
      </c>
      <c r="V82" s="118">
        <f t="shared" ca="1" si="322"/>
        <v>1888.1124224135642</v>
      </c>
      <c r="W82" s="118">
        <f t="shared" ca="1" si="322"/>
        <v>1888.1124224135642</v>
      </c>
      <c r="X82" s="118">
        <f t="shared" ref="X82:Y82" ca="1" si="323">SUM(X79:X81)</f>
        <v>3334.7538284949937</v>
      </c>
      <c r="Y82" s="118">
        <f t="shared" ca="1" si="323"/>
        <v>4145.8467557099875</v>
      </c>
      <c r="Z82" s="118">
        <f t="shared" ca="1" si="322"/>
        <v>4145.8467557099875</v>
      </c>
      <c r="AA82" s="118">
        <f t="shared" ref="AA82" ca="1" si="324">SUM(AA79:AA81)</f>
        <v>4145.8467557099875</v>
      </c>
      <c r="AB82" s="118">
        <f t="shared" ref="AB82:AC82" ca="1" si="325">SUM(AB79:AB81)</f>
        <v>3334.7538284949937</v>
      </c>
      <c r="AC82" s="118">
        <f t="shared" ca="1" si="325"/>
        <v>4145.8467557099875</v>
      </c>
      <c r="AD82" s="118">
        <f t="shared" ref="AD82" ca="1" si="326">SUM(AD79:AD81)</f>
        <v>4145.8467557099875</v>
      </c>
      <c r="AE82" s="118">
        <f t="shared" ref="AE82" ca="1" si="327">SUM(AE79:AE81)</f>
        <v>4145.8467557099875</v>
      </c>
      <c r="AF82" s="118">
        <f t="shared" ca="1" si="322"/>
        <v>1888.1124224135642</v>
      </c>
      <c r="AG82" s="118">
        <f t="shared" ca="1" si="322"/>
        <v>1158.9546481715483</v>
      </c>
      <c r="AH82" s="118">
        <f t="shared" ca="1" si="322"/>
        <v>2027.8595330668556</v>
      </c>
      <c r="AI82" s="118">
        <f t="shared" ca="1" si="322"/>
        <v>1483.9804566951814</v>
      </c>
      <c r="AJ82" s="118">
        <f t="shared" ca="1" si="322"/>
        <v>2463.6772155878621</v>
      </c>
      <c r="AK82" s="118">
        <f t="shared" ca="1" si="322"/>
        <v>4570.7318656800235</v>
      </c>
      <c r="AL82" s="118">
        <f t="shared" ca="1" si="322"/>
        <v>5907.1970957761332</v>
      </c>
      <c r="AM82" s="118">
        <f t="shared" ca="1" si="322"/>
        <v>4570.7318656800235</v>
      </c>
      <c r="AN82" s="118">
        <f t="shared" ca="1" si="322"/>
        <v>8553.530571127947</v>
      </c>
      <c r="AO82" s="118">
        <f t="shared" ca="1" si="322"/>
        <v>78358.122609938073</v>
      </c>
      <c r="AP82" s="118">
        <f t="shared" ca="1" si="322"/>
        <v>84392.437344747828</v>
      </c>
      <c r="AQ82" s="118">
        <f t="shared" ca="1" si="322"/>
        <v>104886.09469180608</v>
      </c>
      <c r="AR82" s="118">
        <f t="shared" ca="1" si="322"/>
        <v>150670.97094621131</v>
      </c>
      <c r="AS82" s="118">
        <f t="shared" ca="1" si="322"/>
        <v>150670.97094621131</v>
      </c>
      <c r="AT82" s="118">
        <f t="shared" ca="1" si="322"/>
        <v>150670.97094621131</v>
      </c>
      <c r="AU82" s="118">
        <f t="shared" ca="1" si="322"/>
        <v>141829.04284294107</v>
      </c>
      <c r="AV82" s="118">
        <f t="shared" ca="1" si="322"/>
        <v>131586.83530665495</v>
      </c>
      <c r="AW82" s="118">
        <f t="shared" ca="1" si="322"/>
        <v>169755.10658576764</v>
      </c>
      <c r="AX82" s="118">
        <f t="shared" ca="1" si="322"/>
        <v>150670.97094621131</v>
      </c>
      <c r="AY82" s="118">
        <f t="shared" ca="1" si="322"/>
        <v>139976.35514282327</v>
      </c>
      <c r="AZ82" s="118">
        <f t="shared" ca="1" si="322"/>
        <v>139976.35514282327</v>
      </c>
      <c r="BA82" s="118">
        <f t="shared" ca="1" si="322"/>
        <v>139976.35514282327</v>
      </c>
      <c r="BB82" s="118">
        <f t="shared" ca="1" si="322"/>
        <v>139976.35514282327</v>
      </c>
      <c r="BC82" s="118">
        <f t="shared" ca="1" si="322"/>
        <v>78358.122609938073</v>
      </c>
      <c r="BD82" s="118">
        <f t="shared" ca="1" si="322"/>
        <v>78358.122609938073</v>
      </c>
      <c r="BE82" s="118">
        <f t="shared" ca="1" si="322"/>
        <v>78358.122609938073</v>
      </c>
      <c r="BF82" s="118">
        <f t="shared" ca="1" si="322"/>
        <v>78358.122609938073</v>
      </c>
      <c r="BG82" s="118">
        <f t="shared" ca="1" si="322"/>
        <v>78358.122609938073</v>
      </c>
      <c r="BH82" s="118">
        <f t="shared" ca="1" si="322"/>
        <v>78358.122609938073</v>
      </c>
      <c r="BI82" s="118">
        <f t="shared" ca="1" si="322"/>
        <v>78358.122609938073</v>
      </c>
      <c r="BJ82" s="118">
        <f t="shared" ca="1" si="322"/>
        <v>84392.437344747828</v>
      </c>
      <c r="BK82" s="118">
        <f t="shared" ca="1" si="322"/>
        <v>104886.09469180608</v>
      </c>
      <c r="BL82" s="118">
        <f t="shared" ca="1" si="322"/>
        <v>163393.72803924882</v>
      </c>
      <c r="BM82" s="118">
        <f t="shared" ca="1" si="322"/>
        <v>163393.72803924882</v>
      </c>
      <c r="BN82" s="118">
        <f t="shared" ca="1" si="322"/>
        <v>163393.72803924882</v>
      </c>
      <c r="BO82" s="118">
        <f t="shared" ca="1" si="322"/>
        <v>163393.72803924882</v>
      </c>
      <c r="BP82" s="118">
        <f t="shared" ca="1" si="322"/>
        <v>163393.72803924882</v>
      </c>
      <c r="BQ82" s="118">
        <f t="shared" ca="1" si="322"/>
        <v>153368.33322220037</v>
      </c>
      <c r="BR82" s="118">
        <f t="shared" ca="1" si="322"/>
        <v>141128.90312643314</v>
      </c>
      <c r="BS82" s="118">
        <f t="shared" ca="1" si="322"/>
        <v>185658.55295206455</v>
      </c>
      <c r="BT82" s="118">
        <f t="shared" ca="1" si="322"/>
        <v>163393.72803924882</v>
      </c>
      <c r="BU82" s="118">
        <f t="shared" ref="BU82:CC82" ca="1" si="328">SUM(BU79:BU81)</f>
        <v>252453.02769051178</v>
      </c>
      <c r="BV82" s="118">
        <f t="shared" ca="1" si="328"/>
        <v>252453.02769051178</v>
      </c>
      <c r="BW82" s="118">
        <f t="shared" ca="1" si="328"/>
        <v>252453.02769051178</v>
      </c>
      <c r="BX82" s="118">
        <f t="shared" ca="1" si="328"/>
        <v>252453.02769051178</v>
      </c>
      <c r="BY82" s="118">
        <f t="shared" ca="1" si="328"/>
        <v>252453.02769051178</v>
      </c>
      <c r="BZ82" s="118">
        <f t="shared" ca="1" si="328"/>
        <v>234143.36587701566</v>
      </c>
      <c r="CA82" s="118">
        <f t="shared" ca="1" si="328"/>
        <v>207923.37786488031</v>
      </c>
      <c r="CB82" s="118">
        <f t="shared" ca="1" si="328"/>
        <v>296982.67751614325</v>
      </c>
      <c r="CC82" s="118">
        <f t="shared" ca="1" si="328"/>
        <v>252453.02769051178</v>
      </c>
      <c r="CD82" s="118">
        <f t="shared" ref="CD82:DF82" ca="1" si="329">SUM(CD79:CD81)</f>
        <v>139976.35514282327</v>
      </c>
      <c r="CE82" s="118">
        <f t="shared" ca="1" si="329"/>
        <v>139976.35514282327</v>
      </c>
      <c r="CF82" s="118">
        <f t="shared" ca="1" si="329"/>
        <v>139976.35514282327</v>
      </c>
      <c r="CG82" s="118">
        <f t="shared" ca="1" si="329"/>
        <v>139976.35514282327</v>
      </c>
      <c r="CH82" s="118">
        <f t="shared" ca="1" si="329"/>
        <v>78358.122609938073</v>
      </c>
      <c r="CI82" s="118">
        <f t="shared" ca="1" si="329"/>
        <v>84392.437344747828</v>
      </c>
      <c r="CJ82" s="118">
        <f t="shared" ca="1" si="329"/>
        <v>104886.09469180608</v>
      </c>
      <c r="CK82" s="118">
        <f t="shared" ca="1" si="329"/>
        <v>163393.72803924882</v>
      </c>
      <c r="CL82" s="118">
        <f t="shared" ca="1" si="329"/>
        <v>252453.02769051178</v>
      </c>
      <c r="CM82" s="118">
        <f t="shared" ca="1" si="329"/>
        <v>139976.35514282327</v>
      </c>
      <c r="CN82" s="118">
        <f t="shared" ca="1" si="329"/>
        <v>97093.735317494473</v>
      </c>
      <c r="CO82" s="118">
        <f t="shared" ca="1" si="329"/>
        <v>105082.27127916162</v>
      </c>
      <c r="CP82" s="118">
        <f t="shared" ca="1" si="329"/>
        <v>123617.73698750696</v>
      </c>
      <c r="CQ82" s="118">
        <f t="shared" ca="1" si="329"/>
        <v>168736.8984116544</v>
      </c>
      <c r="CR82" s="118">
        <f t="shared" ca="1" si="329"/>
        <v>175123.95502832523</v>
      </c>
      <c r="CS82" s="118">
        <f t="shared" ca="1" si="329"/>
        <v>97093.735317494473</v>
      </c>
      <c r="CT82" s="118">
        <f t="shared" ca="1" si="329"/>
        <v>105082.27127916162</v>
      </c>
      <c r="CU82" s="118">
        <f t="shared" ca="1" si="329"/>
        <v>123617.73698750696</v>
      </c>
      <c r="CV82" s="118">
        <f t="shared" ca="1" si="329"/>
        <v>181459.65550469191</v>
      </c>
      <c r="CW82" s="118">
        <f t="shared" ca="1" si="329"/>
        <v>270518.95515595481</v>
      </c>
      <c r="CX82" s="118">
        <f t="shared" ca="1" si="329"/>
        <v>175123.95502832523</v>
      </c>
      <c r="CY82" s="118">
        <f t="shared" ca="1" si="329"/>
        <v>97093.735317494473</v>
      </c>
      <c r="CZ82" s="118">
        <f t="shared" ca="1" si="329"/>
        <v>105082.27127916162</v>
      </c>
      <c r="DA82" s="118">
        <f t="shared" ca="1" si="329"/>
        <v>123617.73698750696</v>
      </c>
      <c r="DB82" s="118">
        <f t="shared" ca="1" si="329"/>
        <v>181459.65550469191</v>
      </c>
      <c r="DC82" s="118">
        <f t="shared" ca="1" si="329"/>
        <v>270518.95515595481</v>
      </c>
      <c r="DD82" s="118">
        <f t="shared" ca="1" si="329"/>
        <v>175123.95502832523</v>
      </c>
      <c r="DE82" s="118">
        <f t="shared" ca="1" si="329"/>
        <v>189711.04993326007</v>
      </c>
      <c r="DF82" s="118">
        <f t="shared" ca="1" si="329"/>
        <v>198173.01759222112</v>
      </c>
      <c r="DG82" s="118"/>
      <c r="DH82" s="118">
        <f ca="1">SUM(DH79:DH81)</f>
        <v>397891.90338768583</v>
      </c>
      <c r="DI82" s="118">
        <f ca="1">SUM(DI79:DI81)</f>
        <v>588733.25978324912</v>
      </c>
      <c r="DJ82" s="118">
        <f ca="1">SUM(DJ79:DJ81)</f>
        <v>329428.44611420692</v>
      </c>
      <c r="DK82" s="118">
        <f t="shared" ref="DK82:DP82" ca="1" si="330">SUM(DK79:DK81)</f>
        <v>650699.89023742836</v>
      </c>
      <c r="DL82" s="118">
        <f t="shared" ca="1" si="330"/>
        <v>650699.89023742836</v>
      </c>
      <c r="DM82" s="118">
        <f ca="1">SUM(DM79:DM81)</f>
        <v>650699.89023742836</v>
      </c>
      <c r="DN82" s="118">
        <f t="shared" ca="1" si="330"/>
        <v>650699.89023742836</v>
      </c>
      <c r="DO82" s="118">
        <f t="shared" ca="1" si="330"/>
        <v>650699.89023742836</v>
      </c>
      <c r="DP82" s="118">
        <f t="shared" ca="1" si="330"/>
        <v>650699.89023742836</v>
      </c>
      <c r="DQ82" s="118">
        <f t="shared" ref="DQ82:DW82" ca="1" si="331">SUM(DQ79:DQ81)</f>
        <v>650699.89023742836</v>
      </c>
      <c r="DR82" s="118">
        <f t="shared" ca="1" si="331"/>
        <v>647007.99352904933</v>
      </c>
      <c r="DS82" s="118">
        <f t="shared" ca="1" si="331"/>
        <v>1439491.6993285371</v>
      </c>
      <c r="DT82" s="118">
        <f t="shared" ca="1" si="331"/>
        <v>1439491.6993285371</v>
      </c>
      <c r="DU82" s="118">
        <f t="shared" ca="1" si="331"/>
        <v>1143246.276672797</v>
      </c>
      <c r="DV82" s="118">
        <f t="shared" ca="1" si="331"/>
        <v>902284.60437847627</v>
      </c>
      <c r="DW82" s="118">
        <f t="shared" ca="1" si="331"/>
        <v>900888.76015690446</v>
      </c>
      <c r="DX82" s="118">
        <f t="shared" ref="DX82:EC82" ca="1" si="332">SUM(DX79:DX81)</f>
        <v>12431894.144430455</v>
      </c>
      <c r="DY82" s="118">
        <f t="shared" ca="1" si="332"/>
        <v>12431894.144430455</v>
      </c>
      <c r="DZ82" s="118">
        <f t="shared" ca="1" si="332"/>
        <v>12431894.144430455</v>
      </c>
      <c r="EA82" s="118">
        <f t="shared" ca="1" si="332"/>
        <v>12431894.144430455</v>
      </c>
      <c r="EB82" s="118">
        <f t="shared" ca="1" si="332"/>
        <v>12431894.144430455</v>
      </c>
      <c r="EC82" s="118">
        <f t="shared" ca="1" si="332"/>
        <v>12431894.144430455</v>
      </c>
      <c r="ED82" s="118">
        <f ca="1">SUM(ED79:ED81)</f>
        <v>12431894.144430455</v>
      </c>
      <c r="EG82" s="75"/>
      <c r="EX82" s="21"/>
    </row>
    <row r="83" spans="1:154" x14ac:dyDescent="0.3">
      <c r="DR83" s="23"/>
      <c r="DS83" s="23"/>
      <c r="DT83" s="23"/>
      <c r="DU83" s="23"/>
      <c r="DV83" s="23"/>
      <c r="DW83" s="23"/>
      <c r="DX83" s="23"/>
      <c r="DY83" s="23"/>
      <c r="DZ83" s="23"/>
      <c r="EA83" s="23"/>
      <c r="EB83" s="23"/>
      <c r="EC83" s="23"/>
      <c r="ED83" s="23"/>
    </row>
    <row r="84" spans="1:154" x14ac:dyDescent="0.3">
      <c r="A84" s="21" t="s">
        <v>145</v>
      </c>
      <c r="B84" s="21" t="s">
        <v>341</v>
      </c>
      <c r="EH84" s="21" t="str">
        <f>A84&amp;" (default values from GREET2 account for changes in the power generation mix only)"</f>
        <v>GHG emission intensity of material production (default values from GREET2 account for changes in the power generation mix only)</v>
      </c>
    </row>
    <row r="85" spans="1:154" x14ac:dyDescent="0.3">
      <c r="A85" s="21" t="str">
        <f>A$5</f>
        <v>Vehicle production region</v>
      </c>
      <c r="D85" s="21" t="str">
        <f>D$5</f>
        <v>With Al smelting mostly form coal</v>
      </c>
      <c r="E85" s="21" t="str">
        <f t="shared" ref="E85:ED85" si="333">E$5</f>
        <v>With Al smelting mostly form coal</v>
      </c>
      <c r="F85" s="21" t="str">
        <f t="shared" si="333"/>
        <v>Default</v>
      </c>
      <c r="G85" s="21" t="str">
        <f t="shared" si="333"/>
        <v>With Al smelting mostly form coal</v>
      </c>
      <c r="H85" s="21" t="str">
        <f t="shared" si="333"/>
        <v>With Al smelting mostly form coal</v>
      </c>
      <c r="I85" s="21" t="str">
        <f t="shared" si="333"/>
        <v>With Al smelting mostly form coal</v>
      </c>
      <c r="J85" s="21" t="str">
        <f t="shared" si="333"/>
        <v>With Al smelting mostly form coal</v>
      </c>
      <c r="K85" s="21" t="str">
        <f t="shared" si="333"/>
        <v>With Al smelting mostly form coal</v>
      </c>
      <c r="L85" s="21" t="str">
        <f t="shared" si="333"/>
        <v>With Al smelting mostly form coal</v>
      </c>
      <c r="M85" s="21" t="str">
        <f t="shared" si="333"/>
        <v>With Al smelting mostly form coal</v>
      </c>
      <c r="N85" s="21" t="str">
        <f t="shared" si="333"/>
        <v>With Al smelting mostly form coal</v>
      </c>
      <c r="O85" s="21" t="str">
        <f t="shared" si="333"/>
        <v>With Al smelting mostly form coal</v>
      </c>
      <c r="P85" s="21" t="str">
        <f t="shared" si="333"/>
        <v>With Al smelting mostly form coal</v>
      </c>
      <c r="Q85" s="21" t="str">
        <f t="shared" si="333"/>
        <v>With Al smelting mostly form coal</v>
      </c>
      <c r="R85" s="21" t="str">
        <f t="shared" si="333"/>
        <v>With Al smelting mostly form coal</v>
      </c>
      <c r="S85" s="21" t="str">
        <f t="shared" si="333"/>
        <v>With Al smelting mostly form coal</v>
      </c>
      <c r="T85" s="21" t="str">
        <f t="shared" si="333"/>
        <v>Default</v>
      </c>
      <c r="U85" s="21" t="str">
        <f t="shared" si="333"/>
        <v>With Al smelting mostly form coal</v>
      </c>
      <c r="V85" s="21" t="str">
        <f t="shared" si="333"/>
        <v>With Al smelting mostly form coal</v>
      </c>
      <c r="W85" s="21" t="str">
        <f t="shared" si="333"/>
        <v>With Al smelting mostly form coal</v>
      </c>
      <c r="X85" s="21" t="str">
        <f>X$5</f>
        <v>Default</v>
      </c>
      <c r="Y85" s="21" t="str">
        <f>Y$5</f>
        <v>With Al smelting mostly form coal</v>
      </c>
      <c r="Z85" s="21" t="str">
        <f>Z$5</f>
        <v>With Al smelting mostly form coal</v>
      </c>
      <c r="AA85" s="21" t="str">
        <f>AA$5</f>
        <v>With Al smelting mostly form coal</v>
      </c>
      <c r="AB85" s="21" t="str">
        <f t="shared" ref="AB85:AD85" si="334">AB$5</f>
        <v>Default</v>
      </c>
      <c r="AC85" s="21" t="str">
        <f t="shared" si="334"/>
        <v>With Al smelting mostly form coal</v>
      </c>
      <c r="AD85" s="21" t="str">
        <f t="shared" si="334"/>
        <v>With Al smelting mostly form coal</v>
      </c>
      <c r="AE85" s="21" t="str">
        <f t="shared" si="333"/>
        <v>With Al smelting mostly form coal</v>
      </c>
      <c r="AF85" s="21" t="str">
        <f t="shared" si="333"/>
        <v>With Al smelting mostly form coal</v>
      </c>
      <c r="AG85" s="21" t="str">
        <f t="shared" si="333"/>
        <v>With Al smelting mostly form coal</v>
      </c>
      <c r="AH85" s="21" t="str">
        <f t="shared" si="333"/>
        <v>With Al smelting mostly form coal</v>
      </c>
      <c r="AI85" s="21" t="str">
        <f t="shared" si="333"/>
        <v>With Al smelting mostly form coal</v>
      </c>
      <c r="AJ85" s="21" t="str">
        <f t="shared" si="333"/>
        <v>With Al smelting mostly form coal</v>
      </c>
      <c r="AK85" s="21" t="str">
        <f t="shared" si="333"/>
        <v>With Al smelting mostly form coal</v>
      </c>
      <c r="AL85" s="21" t="str">
        <f t="shared" si="333"/>
        <v>With Al smelting mostly form coal</v>
      </c>
      <c r="AM85" s="21" t="str">
        <f t="shared" si="333"/>
        <v>With Al smelting mostly form coal</v>
      </c>
      <c r="AN85" s="21" t="str">
        <f t="shared" si="333"/>
        <v>With Al smelting mostly form coal</v>
      </c>
      <c r="AO85" s="21" t="str">
        <f t="shared" si="333"/>
        <v>With Al smelting mostly form coal</v>
      </c>
      <c r="AP85" s="21" t="str">
        <f t="shared" si="333"/>
        <v>With Al smelting mostly form coal</v>
      </c>
      <c r="AQ85" s="21" t="str">
        <f t="shared" si="333"/>
        <v>With Al smelting mostly form coal</v>
      </c>
      <c r="AR85" s="21" t="str">
        <f t="shared" si="333"/>
        <v>With Al smelting mostly form coal</v>
      </c>
      <c r="AS85" s="21" t="str">
        <f t="shared" si="333"/>
        <v>With Al smelting mostly form coal</v>
      </c>
      <c r="AT85" s="21" t="str">
        <f t="shared" si="333"/>
        <v>With Al smelting mostly form coal</v>
      </c>
      <c r="AU85" s="21" t="str">
        <f t="shared" si="333"/>
        <v>Default</v>
      </c>
      <c r="AV85" s="21" t="str">
        <f t="shared" si="333"/>
        <v>With Al smelting mostly form coal</v>
      </c>
      <c r="AW85" s="21" t="str">
        <f t="shared" si="333"/>
        <v>With Al smelting mostly form coal</v>
      </c>
      <c r="AX85" s="21" t="str">
        <f t="shared" si="333"/>
        <v>With Al smelting mostly form coal</v>
      </c>
      <c r="AY85" s="21" t="str">
        <f t="shared" si="333"/>
        <v>With Al smelting mostly form coal</v>
      </c>
      <c r="AZ85" s="21" t="str">
        <f t="shared" si="333"/>
        <v>With Al smelting mostly form coal</v>
      </c>
      <c r="BA85" s="21" t="str">
        <f t="shared" si="333"/>
        <v>With Al smelting mostly form coal</v>
      </c>
      <c r="BB85" s="21" t="str">
        <f t="shared" si="333"/>
        <v>With Al smelting mostly form coal</v>
      </c>
      <c r="BC85" s="21" t="str">
        <f t="shared" si="333"/>
        <v>With Al smelting mostly form coal</v>
      </c>
      <c r="BD85" s="21" t="str">
        <f t="shared" si="333"/>
        <v>With Al smelting mostly form coal</v>
      </c>
      <c r="BE85" s="21" t="str">
        <f t="shared" si="333"/>
        <v>With Al smelting mostly form coal</v>
      </c>
      <c r="BF85" s="21" t="str">
        <f t="shared" si="333"/>
        <v>With Al smelting mostly form coal</v>
      </c>
      <c r="BG85" s="21" t="str">
        <f t="shared" si="333"/>
        <v>With Al smelting mostly form coal</v>
      </c>
      <c r="BH85" s="21" t="str">
        <f t="shared" si="333"/>
        <v>With Al smelting mostly form coal</v>
      </c>
      <c r="BI85" s="21" t="str">
        <f t="shared" si="333"/>
        <v>With Al smelting mostly form coal</v>
      </c>
      <c r="BJ85" s="21" t="str">
        <f t="shared" si="333"/>
        <v>With Al smelting mostly form coal</v>
      </c>
      <c r="BK85" s="21" t="str">
        <f t="shared" si="333"/>
        <v>With Al smelting mostly form coal</v>
      </c>
      <c r="BL85" s="21" t="str">
        <f t="shared" si="333"/>
        <v>With Al smelting mostly form coal</v>
      </c>
      <c r="BM85" s="21" t="str">
        <f t="shared" si="333"/>
        <v>With Al smelting mostly form coal</v>
      </c>
      <c r="BN85" s="21" t="str">
        <f t="shared" si="333"/>
        <v>With Al smelting mostly form coal</v>
      </c>
      <c r="BO85" s="21" t="str">
        <f t="shared" si="333"/>
        <v>With Al smelting mostly form coal</v>
      </c>
      <c r="BP85" s="21" t="str">
        <f t="shared" si="333"/>
        <v>With Al smelting mostly form coal</v>
      </c>
      <c r="BQ85" s="21" t="str">
        <f t="shared" si="333"/>
        <v>Default</v>
      </c>
      <c r="BR85" s="21" t="str">
        <f t="shared" si="333"/>
        <v>With Al smelting mostly form coal</v>
      </c>
      <c r="BS85" s="21" t="str">
        <f t="shared" si="333"/>
        <v>With Al smelting mostly form coal</v>
      </c>
      <c r="BT85" s="21" t="str">
        <f t="shared" si="333"/>
        <v>With Al smelting mostly form coal</v>
      </c>
      <c r="BU85" s="21" t="str">
        <f t="shared" ref="BU85:CC85" si="335">BU$5</f>
        <v>With Al smelting mostly form coal</v>
      </c>
      <c r="BV85" s="21" t="str">
        <f t="shared" si="335"/>
        <v>With Al smelting mostly form coal</v>
      </c>
      <c r="BW85" s="21" t="str">
        <f t="shared" si="335"/>
        <v>With Al smelting mostly form coal</v>
      </c>
      <c r="BX85" s="21" t="str">
        <f t="shared" si="335"/>
        <v>With Al smelting mostly form coal</v>
      </c>
      <c r="BY85" s="21" t="str">
        <f t="shared" si="335"/>
        <v>With Al smelting mostly form coal</v>
      </c>
      <c r="BZ85" s="21" t="str">
        <f t="shared" si="335"/>
        <v>Default</v>
      </c>
      <c r="CA85" s="21" t="str">
        <f t="shared" si="335"/>
        <v>With Al smelting mostly form coal</v>
      </c>
      <c r="CB85" s="21" t="str">
        <f t="shared" si="335"/>
        <v>With Al smelting mostly form coal</v>
      </c>
      <c r="CC85" s="21" t="str">
        <f t="shared" si="335"/>
        <v>With Al smelting mostly form coal</v>
      </c>
      <c r="CD85" s="21" t="str">
        <f t="shared" si="333"/>
        <v>With Al smelting mostly form coal</v>
      </c>
      <c r="CE85" s="21" t="str">
        <f t="shared" si="333"/>
        <v>With Al smelting mostly form coal</v>
      </c>
      <c r="CF85" s="21" t="str">
        <f t="shared" si="333"/>
        <v>With Al smelting mostly form coal</v>
      </c>
      <c r="CG85" s="21" t="str">
        <f t="shared" si="333"/>
        <v>With Al smelting mostly form coal</v>
      </c>
      <c r="CH85" s="21" t="str">
        <f t="shared" si="333"/>
        <v>With Al smelting mostly form coal</v>
      </c>
      <c r="CI85" s="21" t="str">
        <f t="shared" si="333"/>
        <v>With Al smelting mostly form coal</v>
      </c>
      <c r="CJ85" s="21" t="str">
        <f t="shared" si="333"/>
        <v>With Al smelting mostly form coal</v>
      </c>
      <c r="CK85" s="21" t="str">
        <f t="shared" si="333"/>
        <v>With Al smelting mostly form coal</v>
      </c>
      <c r="CL85" s="21" t="str">
        <f t="shared" si="333"/>
        <v>With Al smelting mostly form coal</v>
      </c>
      <c r="CM85" s="21" t="str">
        <f t="shared" si="333"/>
        <v>With Al smelting mostly form coal</v>
      </c>
      <c r="CN85" s="21" t="str">
        <f t="shared" si="333"/>
        <v>With Al smelting mostly form coal</v>
      </c>
      <c r="CO85" s="21" t="str">
        <f t="shared" si="333"/>
        <v>With Al smelting mostly form coal</v>
      </c>
      <c r="CP85" s="21" t="str">
        <f t="shared" si="333"/>
        <v>With Al smelting mostly form coal</v>
      </c>
      <c r="CQ85" s="21" t="str">
        <f t="shared" si="333"/>
        <v>With Al smelting mostly form coal</v>
      </c>
      <c r="CR85" s="21" t="str">
        <f t="shared" si="333"/>
        <v>With Al smelting mostly form coal</v>
      </c>
      <c r="CS85" s="21" t="str">
        <f t="shared" si="333"/>
        <v>With Al smelting mostly form coal</v>
      </c>
      <c r="CT85" s="21" t="str">
        <f t="shared" si="333"/>
        <v>With Al smelting mostly form coal</v>
      </c>
      <c r="CU85" s="21" t="str">
        <f t="shared" si="333"/>
        <v>With Al smelting mostly form coal</v>
      </c>
      <c r="CV85" s="21" t="str">
        <f t="shared" si="333"/>
        <v>With Al smelting mostly form coal</v>
      </c>
      <c r="CW85" s="21" t="str">
        <f t="shared" si="333"/>
        <v>With Al smelting mostly form coal</v>
      </c>
      <c r="CX85" s="21" t="str">
        <f t="shared" si="333"/>
        <v>With Al smelting mostly form coal</v>
      </c>
      <c r="CY85" s="21" t="str">
        <f t="shared" si="333"/>
        <v>With Al smelting mostly form coal</v>
      </c>
      <c r="CZ85" s="21" t="str">
        <f t="shared" si="333"/>
        <v>With Al smelting mostly form coal</v>
      </c>
      <c r="DA85" s="21" t="str">
        <f t="shared" si="333"/>
        <v>With Al smelting mostly form coal</v>
      </c>
      <c r="DB85" s="21" t="str">
        <f t="shared" si="333"/>
        <v>With Al smelting mostly form coal</v>
      </c>
      <c r="DC85" s="21" t="str">
        <f t="shared" si="333"/>
        <v>With Al smelting mostly form coal</v>
      </c>
      <c r="DD85" s="21" t="str">
        <f t="shared" si="333"/>
        <v>With Al smelting mostly form coal</v>
      </c>
      <c r="DE85" s="21" t="str">
        <f t="shared" si="333"/>
        <v>With Al smelting mostly form coal</v>
      </c>
      <c r="DF85" s="21" t="str">
        <f t="shared" si="333"/>
        <v>With Al smelting mostly form coal</v>
      </c>
      <c r="DH85" s="21" t="str">
        <f t="shared" si="333"/>
        <v>With Al smelting mostly form coal</v>
      </c>
      <c r="DI85" s="21" t="str">
        <f t="shared" si="333"/>
        <v>With Al smelting mostly form coal</v>
      </c>
      <c r="DJ85" s="21" t="str">
        <f t="shared" si="333"/>
        <v>With Al smelting mostly form coal</v>
      </c>
      <c r="DK85" s="21" t="str">
        <f t="shared" si="333"/>
        <v>With Al smelting mostly form coal</v>
      </c>
      <c r="DL85" s="21" t="str">
        <f t="shared" si="333"/>
        <v>With Al smelting mostly form coal</v>
      </c>
      <c r="DM85" s="21" t="str">
        <f t="shared" si="333"/>
        <v>With Al smelting mostly form coal</v>
      </c>
      <c r="DN85" s="21" t="str">
        <f t="shared" si="333"/>
        <v>With Al smelting mostly form coal</v>
      </c>
      <c r="DO85" s="21" t="str">
        <f t="shared" si="333"/>
        <v>With Al smelting mostly form coal</v>
      </c>
      <c r="DP85" s="21" t="str">
        <f t="shared" si="333"/>
        <v>With Al smelting mostly form coal</v>
      </c>
      <c r="DQ85" s="21" t="str">
        <f t="shared" si="333"/>
        <v>With Al smelting mostly form coal</v>
      </c>
      <c r="DR85" s="21" t="str">
        <f t="shared" si="333"/>
        <v>With Al smelting mostly form coal</v>
      </c>
      <c r="DS85" s="21" t="str">
        <f t="shared" si="333"/>
        <v>With Al smelting mostly form coal</v>
      </c>
      <c r="DT85" s="21" t="str">
        <f t="shared" si="333"/>
        <v>With Al smelting mostly form coal</v>
      </c>
      <c r="DU85" s="21" t="str">
        <f t="shared" si="333"/>
        <v>With Al smelting mostly form coal</v>
      </c>
      <c r="DV85" s="21" t="str">
        <f t="shared" si="333"/>
        <v>With Al smelting mostly form coal</v>
      </c>
      <c r="DW85" s="21" t="str">
        <f t="shared" si="333"/>
        <v>With Al smelting mostly form coal</v>
      </c>
      <c r="DX85" s="21" t="str">
        <f t="shared" si="333"/>
        <v>With Al smelting mostly form coal</v>
      </c>
      <c r="DY85" s="21" t="str">
        <f t="shared" si="333"/>
        <v>With Al smelting mostly form coal</v>
      </c>
      <c r="DZ85" s="21" t="str">
        <f t="shared" si="333"/>
        <v>With Al smelting mostly form coal</v>
      </c>
      <c r="EA85" s="21" t="str">
        <f t="shared" si="333"/>
        <v>With Al smelting mostly form coal</v>
      </c>
      <c r="EB85" s="21" t="str">
        <f t="shared" si="333"/>
        <v>With Al smelting mostly form coal</v>
      </c>
      <c r="EC85" s="21" t="str">
        <f t="shared" si="333"/>
        <v>With Al smelting mostly form coal</v>
      </c>
      <c r="ED85" s="21" t="str">
        <f t="shared" si="333"/>
        <v>With Al smelting mostly form coal</v>
      </c>
      <c r="EH85" s="21" t="s">
        <v>915</v>
      </c>
      <c r="EI85" s="21" t="s">
        <v>951</v>
      </c>
      <c r="EJ85" s="21" t="s">
        <v>950</v>
      </c>
    </row>
    <row r="86" spans="1:154" x14ac:dyDescent="0.3">
      <c r="A86" s="21" t="s">
        <v>127</v>
      </c>
      <c r="D86" s="21">
        <f t="shared" ref="D86:M99" si="336">HLOOKUP(D$85,$EI$85:$EJ$99,ROW($EH86)-ROW($EH$85)+1,FALSE)</f>
        <v>2843.5660191643333</v>
      </c>
      <c r="E86" s="21">
        <f t="shared" si="336"/>
        <v>2843.5660191643333</v>
      </c>
      <c r="F86" s="21">
        <f t="shared" si="336"/>
        <v>2843.5660191643333</v>
      </c>
      <c r="G86" s="21">
        <f t="shared" si="336"/>
        <v>2843.5660191643333</v>
      </c>
      <c r="H86" s="21">
        <f t="shared" si="336"/>
        <v>2843.5660191643333</v>
      </c>
      <c r="I86" s="21">
        <f t="shared" si="336"/>
        <v>2843.5660191643333</v>
      </c>
      <c r="J86" s="21">
        <f t="shared" si="336"/>
        <v>2843.5660191643333</v>
      </c>
      <c r="K86" s="21">
        <f t="shared" si="336"/>
        <v>2843.5660191643333</v>
      </c>
      <c r="L86" s="21">
        <f t="shared" si="336"/>
        <v>2843.5660191643333</v>
      </c>
      <c r="M86" s="21">
        <f t="shared" si="336"/>
        <v>2843.5660191643333</v>
      </c>
      <c r="N86" s="21">
        <f t="shared" ref="N86:AA99" si="337">HLOOKUP(N$85,$EI$85:$EJ$99,ROW($EH86)-ROW($EH$85)+1,FALSE)</f>
        <v>2843.5660191643333</v>
      </c>
      <c r="O86" s="21">
        <f t="shared" si="337"/>
        <v>2843.5660191643333</v>
      </c>
      <c r="P86" s="21">
        <f t="shared" si="337"/>
        <v>2843.5660191643333</v>
      </c>
      <c r="Q86" s="21">
        <f t="shared" si="337"/>
        <v>2843.5660191643333</v>
      </c>
      <c r="R86" s="21">
        <f t="shared" si="337"/>
        <v>2843.5660191643333</v>
      </c>
      <c r="S86" s="21">
        <f t="shared" si="337"/>
        <v>2843.5660191643333</v>
      </c>
      <c r="T86" s="21">
        <f t="shared" si="337"/>
        <v>2843.5660191643333</v>
      </c>
      <c r="U86" s="21">
        <f t="shared" si="337"/>
        <v>2843.5660191643333</v>
      </c>
      <c r="V86" s="21">
        <f t="shared" si="337"/>
        <v>2843.5660191643333</v>
      </c>
      <c r="W86" s="21">
        <f t="shared" si="337"/>
        <v>2843.5660191643333</v>
      </c>
      <c r="X86" s="21">
        <f t="shared" si="337"/>
        <v>2843.5660191643333</v>
      </c>
      <c r="Y86" s="21">
        <f t="shared" si="337"/>
        <v>2843.5660191643333</v>
      </c>
      <c r="Z86" s="21">
        <f t="shared" si="337"/>
        <v>2843.5660191643333</v>
      </c>
      <c r="AA86" s="21">
        <f t="shared" si="337"/>
        <v>2843.5660191643333</v>
      </c>
      <c r="AB86" s="21">
        <f t="shared" ref="AB86:AD99" si="338">HLOOKUP(AB$85,$EI$85:$EJ$99,ROW($EH86)-ROW($EH$85)+1,FALSE)</f>
        <v>2843.5660191643333</v>
      </c>
      <c r="AC86" s="21">
        <f t="shared" si="338"/>
        <v>2843.5660191643333</v>
      </c>
      <c r="AD86" s="21">
        <f t="shared" si="338"/>
        <v>2843.5660191643333</v>
      </c>
      <c r="AE86" s="21">
        <f t="shared" ref="AE86:AF99" si="339">HLOOKUP(AE$85,$EI$85:$EJ$99,ROW($EH86)-ROW($EH$85)+1,FALSE)</f>
        <v>2843.5660191643333</v>
      </c>
      <c r="AF86" s="21">
        <f t="shared" si="339"/>
        <v>2843.5660191643333</v>
      </c>
      <c r="AG86" s="21">
        <f t="shared" ref="AG86:AP99" si="340">HLOOKUP(AG$85,$EI$85:$EJ$99,ROW($EH86)-ROW($EH$85)+1,FALSE)</f>
        <v>2843.5660191643333</v>
      </c>
      <c r="AH86" s="21">
        <f t="shared" si="340"/>
        <v>2843.5660191643333</v>
      </c>
      <c r="AI86" s="21">
        <f t="shared" si="340"/>
        <v>2843.5660191643333</v>
      </c>
      <c r="AJ86" s="21">
        <f t="shared" si="340"/>
        <v>2843.5660191643333</v>
      </c>
      <c r="AK86" s="21">
        <f t="shared" si="340"/>
        <v>2843.5660191643333</v>
      </c>
      <c r="AL86" s="21">
        <f t="shared" si="340"/>
        <v>2843.5660191643333</v>
      </c>
      <c r="AM86" s="21">
        <f t="shared" si="340"/>
        <v>2843.5660191643333</v>
      </c>
      <c r="AN86" s="21">
        <f t="shared" si="340"/>
        <v>2843.5660191643333</v>
      </c>
      <c r="AO86" s="21">
        <f t="shared" si="340"/>
        <v>2843.5660191643333</v>
      </c>
      <c r="AP86" s="21">
        <f t="shared" si="340"/>
        <v>2843.5660191643333</v>
      </c>
      <c r="AQ86" s="21">
        <f t="shared" ref="AQ86:AZ99" si="341">HLOOKUP(AQ$85,$EI$85:$EJ$99,ROW($EH86)-ROW($EH$85)+1,FALSE)</f>
        <v>2843.5660191643333</v>
      </c>
      <c r="AR86" s="21">
        <f t="shared" si="341"/>
        <v>2843.5660191643333</v>
      </c>
      <c r="AS86" s="21">
        <f t="shared" si="341"/>
        <v>2843.5660191643333</v>
      </c>
      <c r="AT86" s="21">
        <f t="shared" si="341"/>
        <v>2843.5660191643333</v>
      </c>
      <c r="AU86" s="21">
        <f t="shared" si="341"/>
        <v>2843.5660191643333</v>
      </c>
      <c r="AV86" s="21">
        <f t="shared" si="341"/>
        <v>2843.5660191643333</v>
      </c>
      <c r="AW86" s="21">
        <f t="shared" si="341"/>
        <v>2843.5660191643333</v>
      </c>
      <c r="AX86" s="21">
        <f t="shared" si="341"/>
        <v>2843.5660191643333</v>
      </c>
      <c r="AY86" s="21">
        <f t="shared" si="341"/>
        <v>2843.5660191643333</v>
      </c>
      <c r="AZ86" s="21">
        <f t="shared" si="341"/>
        <v>2843.5660191643333</v>
      </c>
      <c r="BA86" s="21">
        <f t="shared" ref="BA86:BJ99" si="342">HLOOKUP(BA$85,$EI$85:$EJ$99,ROW($EH86)-ROW($EH$85)+1,FALSE)</f>
        <v>2843.5660191643333</v>
      </c>
      <c r="BB86" s="21">
        <f t="shared" si="342"/>
        <v>2843.5660191643333</v>
      </c>
      <c r="BC86" s="21">
        <f t="shared" si="342"/>
        <v>2843.5660191643333</v>
      </c>
      <c r="BD86" s="21">
        <f t="shared" si="342"/>
        <v>2843.5660191643333</v>
      </c>
      <c r="BE86" s="21">
        <f t="shared" si="342"/>
        <v>2843.5660191643333</v>
      </c>
      <c r="BF86" s="21">
        <f t="shared" si="342"/>
        <v>2843.5660191643333</v>
      </c>
      <c r="BG86" s="21">
        <f t="shared" si="342"/>
        <v>2843.5660191643333</v>
      </c>
      <c r="BH86" s="21">
        <f t="shared" si="342"/>
        <v>2843.5660191643333</v>
      </c>
      <c r="BI86" s="21">
        <f t="shared" si="342"/>
        <v>2843.5660191643333</v>
      </c>
      <c r="BJ86" s="21">
        <f t="shared" si="342"/>
        <v>2843.5660191643333</v>
      </c>
      <c r="BK86" s="21">
        <f t="shared" ref="BK86:BT99" si="343">HLOOKUP(BK$85,$EI$85:$EJ$99,ROW($EH86)-ROW($EH$85)+1,FALSE)</f>
        <v>2843.5660191643333</v>
      </c>
      <c r="BL86" s="21">
        <f t="shared" si="343"/>
        <v>2843.5660191643333</v>
      </c>
      <c r="BM86" s="21">
        <f t="shared" si="343"/>
        <v>2843.5660191643333</v>
      </c>
      <c r="BN86" s="21">
        <f t="shared" si="343"/>
        <v>2843.5660191643333</v>
      </c>
      <c r="BO86" s="21">
        <f t="shared" si="343"/>
        <v>2843.5660191643333</v>
      </c>
      <c r="BP86" s="21">
        <f t="shared" si="343"/>
        <v>2843.5660191643333</v>
      </c>
      <c r="BQ86" s="21">
        <f t="shared" si="343"/>
        <v>2843.5660191643333</v>
      </c>
      <c r="BR86" s="21">
        <f t="shared" si="343"/>
        <v>2843.5660191643333</v>
      </c>
      <c r="BS86" s="21">
        <f t="shared" si="343"/>
        <v>2843.5660191643333</v>
      </c>
      <c r="BT86" s="21">
        <f t="shared" si="343"/>
        <v>2843.5660191643333</v>
      </c>
      <c r="BU86" s="21">
        <f t="shared" ref="BU86:CD99" si="344">HLOOKUP(BU$85,$EI$85:$EJ$99,ROW($EH86)-ROW($EH$85)+1,FALSE)</f>
        <v>2843.5660191643333</v>
      </c>
      <c r="BV86" s="21">
        <f t="shared" si="344"/>
        <v>2843.5660191643333</v>
      </c>
      <c r="BW86" s="21">
        <f t="shared" si="344"/>
        <v>2843.5660191643333</v>
      </c>
      <c r="BX86" s="21">
        <f t="shared" si="344"/>
        <v>2843.5660191643333</v>
      </c>
      <c r="BY86" s="21">
        <f t="shared" si="344"/>
        <v>2843.5660191643333</v>
      </c>
      <c r="BZ86" s="21">
        <f t="shared" si="344"/>
        <v>2843.5660191643333</v>
      </c>
      <c r="CA86" s="21">
        <f t="shared" si="344"/>
        <v>2843.5660191643333</v>
      </c>
      <c r="CB86" s="21">
        <f t="shared" si="344"/>
        <v>2843.5660191643333</v>
      </c>
      <c r="CC86" s="21">
        <f t="shared" si="344"/>
        <v>2843.5660191643333</v>
      </c>
      <c r="CD86" s="21">
        <f t="shared" si="344"/>
        <v>2843.5660191643333</v>
      </c>
      <c r="CE86" s="21">
        <f t="shared" ref="CE86:CN99" si="345">HLOOKUP(CE$85,$EI$85:$EJ$99,ROW($EH86)-ROW($EH$85)+1,FALSE)</f>
        <v>2843.5660191643333</v>
      </c>
      <c r="CF86" s="21">
        <f t="shared" si="345"/>
        <v>2843.5660191643333</v>
      </c>
      <c r="CG86" s="21">
        <f t="shared" si="345"/>
        <v>2843.5660191643333</v>
      </c>
      <c r="CH86" s="21">
        <f t="shared" si="345"/>
        <v>2843.5660191643333</v>
      </c>
      <c r="CI86" s="21">
        <f t="shared" si="345"/>
        <v>2843.5660191643333</v>
      </c>
      <c r="CJ86" s="21">
        <f t="shared" si="345"/>
        <v>2843.5660191643333</v>
      </c>
      <c r="CK86" s="21">
        <f t="shared" si="345"/>
        <v>2843.5660191643333</v>
      </c>
      <c r="CL86" s="21">
        <f t="shared" si="345"/>
        <v>2843.5660191643333</v>
      </c>
      <c r="CM86" s="21">
        <f t="shared" si="345"/>
        <v>2843.5660191643333</v>
      </c>
      <c r="CN86" s="21">
        <f t="shared" si="345"/>
        <v>2843.5660191643333</v>
      </c>
      <c r="CO86" s="21">
        <f t="shared" ref="CO86:CX99" si="346">HLOOKUP(CO$85,$EI$85:$EJ$99,ROW($EH86)-ROW($EH$85)+1,FALSE)</f>
        <v>2843.5660191643333</v>
      </c>
      <c r="CP86" s="21">
        <f t="shared" si="346"/>
        <v>2843.5660191643333</v>
      </c>
      <c r="CQ86" s="21">
        <f t="shared" si="346"/>
        <v>2843.5660191643333</v>
      </c>
      <c r="CR86" s="21">
        <f t="shared" si="346"/>
        <v>2843.5660191643333</v>
      </c>
      <c r="CS86" s="21">
        <f t="shared" si="346"/>
        <v>2843.5660191643333</v>
      </c>
      <c r="CT86" s="21">
        <f t="shared" si="346"/>
        <v>2843.5660191643333</v>
      </c>
      <c r="CU86" s="21">
        <f t="shared" si="346"/>
        <v>2843.5660191643333</v>
      </c>
      <c r="CV86" s="21">
        <f t="shared" si="346"/>
        <v>2843.5660191643333</v>
      </c>
      <c r="CW86" s="21">
        <f t="shared" si="346"/>
        <v>2843.5660191643333</v>
      </c>
      <c r="CX86" s="21">
        <f t="shared" si="346"/>
        <v>2843.5660191643333</v>
      </c>
      <c r="CY86" s="21">
        <f t="shared" ref="CY86:DF99" si="347">HLOOKUP(CY$85,$EI$85:$EJ$99,ROW($EH86)-ROW($EH$85)+1,FALSE)</f>
        <v>2843.5660191643333</v>
      </c>
      <c r="CZ86" s="21">
        <f t="shared" si="347"/>
        <v>2843.5660191643333</v>
      </c>
      <c r="DA86" s="21">
        <f t="shared" si="347"/>
        <v>2843.5660191643333</v>
      </c>
      <c r="DB86" s="21">
        <f t="shared" si="347"/>
        <v>2843.5660191643333</v>
      </c>
      <c r="DC86" s="21">
        <f t="shared" si="347"/>
        <v>2843.5660191643333</v>
      </c>
      <c r="DD86" s="21">
        <f t="shared" si="347"/>
        <v>2843.5660191643333</v>
      </c>
      <c r="DE86" s="21">
        <f t="shared" si="347"/>
        <v>2843.5660191643333</v>
      </c>
      <c r="DF86" s="21">
        <f t="shared" si="347"/>
        <v>2843.5660191643333</v>
      </c>
      <c r="DH86" s="21">
        <f t="shared" ref="DH86:DR99" si="348">HLOOKUP(DH$85,$EI$85:$EJ$99,ROW($EH86)-ROW($EH$85)+1,FALSE)</f>
        <v>2843.5660191643333</v>
      </c>
      <c r="DI86" s="21">
        <f t="shared" si="348"/>
        <v>2843.5660191643333</v>
      </c>
      <c r="DJ86" s="21">
        <f t="shared" si="348"/>
        <v>2843.5660191643333</v>
      </c>
      <c r="DK86" s="21">
        <f t="shared" si="348"/>
        <v>2843.5660191643333</v>
      </c>
      <c r="DL86" s="21">
        <f t="shared" si="348"/>
        <v>2843.5660191643333</v>
      </c>
      <c r="DM86" s="21">
        <f t="shared" si="348"/>
        <v>2843.5660191643333</v>
      </c>
      <c r="DN86" s="21">
        <f t="shared" si="348"/>
        <v>2843.5660191643333</v>
      </c>
      <c r="DO86" s="21">
        <f t="shared" si="348"/>
        <v>2843.5660191643333</v>
      </c>
      <c r="DP86" s="21">
        <f t="shared" si="348"/>
        <v>2843.5660191643333</v>
      </c>
      <c r="DQ86" s="21">
        <f t="shared" si="348"/>
        <v>2843.5660191643333</v>
      </c>
      <c r="DR86" s="21">
        <f t="shared" si="348"/>
        <v>2843.5660191643333</v>
      </c>
      <c r="DS86" s="21">
        <f t="shared" ref="DS86:DW99" si="349">HLOOKUP(DS$85,$EI$85:$EJ$99,ROW($EH86)-ROW($EH$85)+1,FALSE)</f>
        <v>2843.5660191643333</v>
      </c>
      <c r="DT86" s="21">
        <f t="shared" si="349"/>
        <v>2843.5660191643333</v>
      </c>
      <c r="DU86" s="21">
        <f t="shared" si="349"/>
        <v>2843.5660191643333</v>
      </c>
      <c r="DV86" s="21">
        <f t="shared" si="349"/>
        <v>2843.5660191643333</v>
      </c>
      <c r="DW86" s="21">
        <f t="shared" si="349"/>
        <v>2843.5660191643333</v>
      </c>
      <c r="DX86" s="21">
        <f t="shared" ref="DX86:EC99" si="350">HLOOKUP(DX$85,$EI$85:$EJ$99,ROW($EH86)-ROW($EH$85)+1,FALSE)</f>
        <v>2843.5660191643333</v>
      </c>
      <c r="DY86" s="21">
        <f t="shared" si="350"/>
        <v>2843.5660191643333</v>
      </c>
      <c r="DZ86" s="21">
        <f t="shared" si="350"/>
        <v>2843.5660191643333</v>
      </c>
      <c r="EA86" s="21">
        <f t="shared" si="350"/>
        <v>2843.5660191643333</v>
      </c>
      <c r="EB86" s="21">
        <f t="shared" si="350"/>
        <v>2843.5660191643333</v>
      </c>
      <c r="EC86" s="21">
        <f t="shared" si="350"/>
        <v>2843.5660191643333</v>
      </c>
      <c r="ED86" s="21">
        <f t="shared" ref="ED86:ED99" si="351">HLOOKUP(ED$85,$EI$85:$EJ$99,ROW($EH86)-ROW($EH$85)+1,FALSE)</f>
        <v>2843.5660191643333</v>
      </c>
      <c r="EF86" s="21" t="s">
        <v>82</v>
      </c>
      <c r="EH86" s="21" t="str">
        <f t="shared" ref="EH86:EH98" si="352">EH38</f>
        <v>Final Average Stamped Steel Product: Combined</v>
      </c>
      <c r="EI86" s="70">
        <f>[7]Steel!$U$113/1000</f>
        <v>2843.5660191643333</v>
      </c>
      <c r="EJ86" s="70">
        <f>[5]Steel!$U$113/1000</f>
        <v>2843.5660191643333</v>
      </c>
    </row>
    <row r="87" spans="1:154" x14ac:dyDescent="0.3">
      <c r="A87" s="21" t="s">
        <v>128</v>
      </c>
      <c r="D87" s="21">
        <f t="shared" si="336"/>
        <v>1287.3398874743875</v>
      </c>
      <c r="E87" s="21">
        <f t="shared" si="336"/>
        <v>1287.3398874743875</v>
      </c>
      <c r="F87" s="21">
        <f t="shared" si="336"/>
        <v>1287.3398874743875</v>
      </c>
      <c r="G87" s="21">
        <f t="shared" si="336"/>
        <v>1287.3398874743875</v>
      </c>
      <c r="H87" s="21">
        <f t="shared" si="336"/>
        <v>1287.3398874743875</v>
      </c>
      <c r="I87" s="21">
        <f t="shared" si="336"/>
        <v>1287.3398874743875</v>
      </c>
      <c r="J87" s="21">
        <f t="shared" si="336"/>
        <v>1287.3398874743875</v>
      </c>
      <c r="K87" s="21">
        <f t="shared" si="336"/>
        <v>1287.3398874743875</v>
      </c>
      <c r="L87" s="21">
        <f t="shared" si="336"/>
        <v>1287.3398874743875</v>
      </c>
      <c r="M87" s="21">
        <f t="shared" si="336"/>
        <v>1287.3398874743875</v>
      </c>
      <c r="N87" s="21">
        <f t="shared" si="337"/>
        <v>1287.3398874743875</v>
      </c>
      <c r="O87" s="21">
        <f t="shared" si="337"/>
        <v>1287.3398874743875</v>
      </c>
      <c r="P87" s="21">
        <f t="shared" si="337"/>
        <v>1287.3398874743875</v>
      </c>
      <c r="Q87" s="21">
        <f t="shared" si="337"/>
        <v>1287.3398874743875</v>
      </c>
      <c r="R87" s="21">
        <f t="shared" si="337"/>
        <v>1287.3398874743875</v>
      </c>
      <c r="S87" s="21">
        <f t="shared" si="337"/>
        <v>1287.3398874743875</v>
      </c>
      <c r="T87" s="21">
        <f t="shared" si="337"/>
        <v>1287.3398874743875</v>
      </c>
      <c r="U87" s="21">
        <f t="shared" si="337"/>
        <v>1287.3398874743875</v>
      </c>
      <c r="V87" s="21">
        <f t="shared" si="337"/>
        <v>1287.3398874743875</v>
      </c>
      <c r="W87" s="21">
        <f t="shared" si="337"/>
        <v>1287.3398874743875</v>
      </c>
      <c r="X87" s="21">
        <f t="shared" si="337"/>
        <v>1287.3398874743875</v>
      </c>
      <c r="Y87" s="21">
        <f t="shared" si="337"/>
        <v>1287.3398874743875</v>
      </c>
      <c r="Z87" s="21">
        <f t="shared" si="337"/>
        <v>1287.3398874743875</v>
      </c>
      <c r="AA87" s="21">
        <f t="shared" si="337"/>
        <v>1287.3398874743875</v>
      </c>
      <c r="AB87" s="21">
        <f t="shared" si="338"/>
        <v>1287.3398874743875</v>
      </c>
      <c r="AC87" s="21">
        <f t="shared" si="338"/>
        <v>1287.3398874743875</v>
      </c>
      <c r="AD87" s="21">
        <f t="shared" si="338"/>
        <v>1287.3398874743875</v>
      </c>
      <c r="AE87" s="21">
        <f t="shared" si="339"/>
        <v>1287.3398874743875</v>
      </c>
      <c r="AF87" s="21">
        <f t="shared" si="339"/>
        <v>1287.3398874743875</v>
      </c>
      <c r="AG87" s="21">
        <f t="shared" si="340"/>
        <v>1287.3398874743875</v>
      </c>
      <c r="AH87" s="21">
        <f t="shared" si="340"/>
        <v>1287.3398874743875</v>
      </c>
      <c r="AI87" s="21">
        <f t="shared" si="340"/>
        <v>1287.3398874743875</v>
      </c>
      <c r="AJ87" s="21">
        <f t="shared" si="340"/>
        <v>1287.3398874743875</v>
      </c>
      <c r="AK87" s="21">
        <f t="shared" si="340"/>
        <v>1287.3398874743875</v>
      </c>
      <c r="AL87" s="21">
        <f t="shared" si="340"/>
        <v>1287.3398874743875</v>
      </c>
      <c r="AM87" s="21">
        <f t="shared" si="340"/>
        <v>1287.3398874743875</v>
      </c>
      <c r="AN87" s="21">
        <f t="shared" si="340"/>
        <v>1287.3398874743875</v>
      </c>
      <c r="AO87" s="21">
        <f t="shared" si="340"/>
        <v>1287.3398874743875</v>
      </c>
      <c r="AP87" s="21">
        <f t="shared" si="340"/>
        <v>1287.3398874743875</v>
      </c>
      <c r="AQ87" s="21">
        <f t="shared" si="341"/>
        <v>1287.3398874743875</v>
      </c>
      <c r="AR87" s="21">
        <f t="shared" si="341"/>
        <v>1287.3398874743875</v>
      </c>
      <c r="AS87" s="21">
        <f t="shared" si="341"/>
        <v>1287.3398874743875</v>
      </c>
      <c r="AT87" s="21">
        <f t="shared" si="341"/>
        <v>1287.3398874743875</v>
      </c>
      <c r="AU87" s="21">
        <f t="shared" si="341"/>
        <v>1287.3398874743875</v>
      </c>
      <c r="AV87" s="21">
        <f t="shared" si="341"/>
        <v>1287.3398874743875</v>
      </c>
      <c r="AW87" s="21">
        <f t="shared" si="341"/>
        <v>1287.3398874743875</v>
      </c>
      <c r="AX87" s="21">
        <f t="shared" si="341"/>
        <v>1287.3398874743875</v>
      </c>
      <c r="AY87" s="21">
        <f t="shared" si="341"/>
        <v>1287.3398874743875</v>
      </c>
      <c r="AZ87" s="21">
        <f t="shared" si="341"/>
        <v>1287.3398874743875</v>
      </c>
      <c r="BA87" s="21">
        <f t="shared" si="342"/>
        <v>1287.3398874743875</v>
      </c>
      <c r="BB87" s="21">
        <f t="shared" si="342"/>
        <v>1287.3398874743875</v>
      </c>
      <c r="BC87" s="21">
        <f t="shared" si="342"/>
        <v>1287.3398874743875</v>
      </c>
      <c r="BD87" s="21">
        <f t="shared" si="342"/>
        <v>1287.3398874743875</v>
      </c>
      <c r="BE87" s="21">
        <f t="shared" si="342"/>
        <v>1287.3398874743875</v>
      </c>
      <c r="BF87" s="21">
        <f t="shared" si="342"/>
        <v>1287.3398874743875</v>
      </c>
      <c r="BG87" s="21">
        <f t="shared" si="342"/>
        <v>1287.3398874743875</v>
      </c>
      <c r="BH87" s="21">
        <f t="shared" si="342"/>
        <v>1287.3398874743875</v>
      </c>
      <c r="BI87" s="21">
        <f t="shared" si="342"/>
        <v>1287.3398874743875</v>
      </c>
      <c r="BJ87" s="21">
        <f t="shared" si="342"/>
        <v>1287.3398874743875</v>
      </c>
      <c r="BK87" s="21">
        <f t="shared" si="343"/>
        <v>1287.3398874743875</v>
      </c>
      <c r="BL87" s="21">
        <f t="shared" si="343"/>
        <v>1287.3398874743875</v>
      </c>
      <c r="BM87" s="21">
        <f t="shared" si="343"/>
        <v>1287.3398874743875</v>
      </c>
      <c r="BN87" s="21">
        <f t="shared" si="343"/>
        <v>1287.3398874743875</v>
      </c>
      <c r="BO87" s="21">
        <f t="shared" si="343"/>
        <v>1287.3398874743875</v>
      </c>
      <c r="BP87" s="21">
        <f t="shared" si="343"/>
        <v>1287.3398874743875</v>
      </c>
      <c r="BQ87" s="21">
        <f t="shared" si="343"/>
        <v>1287.3398874743875</v>
      </c>
      <c r="BR87" s="21">
        <f t="shared" si="343"/>
        <v>1287.3398874743875</v>
      </c>
      <c r="BS87" s="21">
        <f t="shared" si="343"/>
        <v>1287.3398874743875</v>
      </c>
      <c r="BT87" s="21">
        <f t="shared" si="343"/>
        <v>1287.3398874743875</v>
      </c>
      <c r="BU87" s="21">
        <f t="shared" si="344"/>
        <v>1287.3398874743875</v>
      </c>
      <c r="BV87" s="21">
        <f t="shared" si="344"/>
        <v>1287.3398874743875</v>
      </c>
      <c r="BW87" s="21">
        <f t="shared" si="344"/>
        <v>1287.3398874743875</v>
      </c>
      <c r="BX87" s="21">
        <f t="shared" si="344"/>
        <v>1287.3398874743875</v>
      </c>
      <c r="BY87" s="21">
        <f t="shared" si="344"/>
        <v>1287.3398874743875</v>
      </c>
      <c r="BZ87" s="21">
        <f t="shared" si="344"/>
        <v>1287.3398874743875</v>
      </c>
      <c r="CA87" s="21">
        <f t="shared" si="344"/>
        <v>1287.3398874743875</v>
      </c>
      <c r="CB87" s="21">
        <f t="shared" si="344"/>
        <v>1287.3398874743875</v>
      </c>
      <c r="CC87" s="21">
        <f t="shared" si="344"/>
        <v>1287.3398874743875</v>
      </c>
      <c r="CD87" s="21">
        <f t="shared" si="344"/>
        <v>1287.3398874743875</v>
      </c>
      <c r="CE87" s="21">
        <f t="shared" si="345"/>
        <v>1287.3398874743875</v>
      </c>
      <c r="CF87" s="21">
        <f t="shared" si="345"/>
        <v>1287.3398874743875</v>
      </c>
      <c r="CG87" s="21">
        <f t="shared" si="345"/>
        <v>1287.3398874743875</v>
      </c>
      <c r="CH87" s="21">
        <f t="shared" si="345"/>
        <v>1287.3398874743875</v>
      </c>
      <c r="CI87" s="21">
        <f t="shared" si="345"/>
        <v>1287.3398874743875</v>
      </c>
      <c r="CJ87" s="21">
        <f t="shared" si="345"/>
        <v>1287.3398874743875</v>
      </c>
      <c r="CK87" s="21">
        <f t="shared" si="345"/>
        <v>1287.3398874743875</v>
      </c>
      <c r="CL87" s="21">
        <f t="shared" si="345"/>
        <v>1287.3398874743875</v>
      </c>
      <c r="CM87" s="21">
        <f t="shared" si="345"/>
        <v>1287.3398874743875</v>
      </c>
      <c r="CN87" s="21">
        <f t="shared" si="345"/>
        <v>1287.3398874743875</v>
      </c>
      <c r="CO87" s="21">
        <f t="shared" si="346"/>
        <v>1287.3398874743875</v>
      </c>
      <c r="CP87" s="21">
        <f t="shared" si="346"/>
        <v>1287.3398874743875</v>
      </c>
      <c r="CQ87" s="21">
        <f t="shared" si="346"/>
        <v>1287.3398874743875</v>
      </c>
      <c r="CR87" s="21">
        <f t="shared" si="346"/>
        <v>1287.3398874743875</v>
      </c>
      <c r="CS87" s="21">
        <f t="shared" si="346"/>
        <v>1287.3398874743875</v>
      </c>
      <c r="CT87" s="21">
        <f t="shared" si="346"/>
        <v>1287.3398874743875</v>
      </c>
      <c r="CU87" s="21">
        <f t="shared" si="346"/>
        <v>1287.3398874743875</v>
      </c>
      <c r="CV87" s="21">
        <f t="shared" si="346"/>
        <v>1287.3398874743875</v>
      </c>
      <c r="CW87" s="21">
        <f t="shared" si="346"/>
        <v>1287.3398874743875</v>
      </c>
      <c r="CX87" s="21">
        <f t="shared" si="346"/>
        <v>1287.3398874743875</v>
      </c>
      <c r="CY87" s="21">
        <f t="shared" si="347"/>
        <v>1287.3398874743875</v>
      </c>
      <c r="CZ87" s="21">
        <f t="shared" si="347"/>
        <v>1287.3398874743875</v>
      </c>
      <c r="DA87" s="21">
        <f t="shared" si="347"/>
        <v>1287.3398874743875</v>
      </c>
      <c r="DB87" s="21">
        <f t="shared" si="347"/>
        <v>1287.3398874743875</v>
      </c>
      <c r="DC87" s="21">
        <f t="shared" si="347"/>
        <v>1287.3398874743875</v>
      </c>
      <c r="DD87" s="21">
        <f t="shared" si="347"/>
        <v>1287.3398874743875</v>
      </c>
      <c r="DE87" s="21">
        <f t="shared" si="347"/>
        <v>1287.3398874743875</v>
      </c>
      <c r="DF87" s="21">
        <f t="shared" si="347"/>
        <v>1287.3398874743875</v>
      </c>
      <c r="DH87" s="21">
        <f t="shared" si="348"/>
        <v>1287.3398874743875</v>
      </c>
      <c r="DI87" s="21">
        <f t="shared" si="348"/>
        <v>1287.3398874743875</v>
      </c>
      <c r="DJ87" s="21">
        <f t="shared" si="348"/>
        <v>1287.3398874743875</v>
      </c>
      <c r="DK87" s="21">
        <f t="shared" si="348"/>
        <v>1287.3398874743875</v>
      </c>
      <c r="DL87" s="21">
        <f t="shared" si="348"/>
        <v>1287.3398874743875</v>
      </c>
      <c r="DM87" s="21">
        <f t="shared" si="348"/>
        <v>1287.3398874743875</v>
      </c>
      <c r="DN87" s="21">
        <f t="shared" si="348"/>
        <v>1287.3398874743875</v>
      </c>
      <c r="DO87" s="21">
        <f t="shared" si="348"/>
        <v>1287.3398874743875</v>
      </c>
      <c r="DP87" s="21">
        <f t="shared" si="348"/>
        <v>1287.3398874743875</v>
      </c>
      <c r="DQ87" s="21">
        <f t="shared" si="348"/>
        <v>1287.3398874743875</v>
      </c>
      <c r="DR87" s="21">
        <f t="shared" si="348"/>
        <v>1287.3398874743875</v>
      </c>
      <c r="DS87" s="21">
        <f t="shared" si="349"/>
        <v>1287.3398874743875</v>
      </c>
      <c r="DT87" s="21">
        <f t="shared" si="349"/>
        <v>1287.3398874743875</v>
      </c>
      <c r="DU87" s="21">
        <f t="shared" si="349"/>
        <v>1287.3398874743875</v>
      </c>
      <c r="DV87" s="21">
        <f t="shared" si="349"/>
        <v>1287.3398874743875</v>
      </c>
      <c r="DW87" s="21">
        <f t="shared" si="349"/>
        <v>1287.3398874743875</v>
      </c>
      <c r="DX87" s="21">
        <f t="shared" si="350"/>
        <v>1287.3398874743875</v>
      </c>
      <c r="DY87" s="21">
        <f t="shared" si="350"/>
        <v>1287.3398874743875</v>
      </c>
      <c r="DZ87" s="21">
        <f t="shared" si="350"/>
        <v>1287.3398874743875</v>
      </c>
      <c r="EA87" s="21">
        <f t="shared" si="350"/>
        <v>1287.3398874743875</v>
      </c>
      <c r="EB87" s="21">
        <f t="shared" si="350"/>
        <v>1287.3398874743875</v>
      </c>
      <c r="EC87" s="21">
        <f t="shared" si="350"/>
        <v>1287.3398874743875</v>
      </c>
      <c r="ED87" s="21">
        <f t="shared" si="351"/>
        <v>1287.3398874743875</v>
      </c>
      <c r="EF87" s="62" t="s">
        <v>148</v>
      </c>
      <c r="EH87" s="21" t="str">
        <f t="shared" si="352"/>
        <v>Final Steel Product: Combined</v>
      </c>
      <c r="EI87" s="70">
        <f>[7]Steel!$E$147/1000</f>
        <v>1287.3398874743875</v>
      </c>
      <c r="EJ87" s="70">
        <f>[5]Steel!$E$147/1000</f>
        <v>1287.3398874743875</v>
      </c>
    </row>
    <row r="88" spans="1:154" x14ac:dyDescent="0.3">
      <c r="A88" s="21" t="s">
        <v>135</v>
      </c>
      <c r="D88" s="21">
        <f t="shared" si="336"/>
        <v>1771.712674307837</v>
      </c>
      <c r="E88" s="21">
        <f t="shared" si="336"/>
        <v>1771.712674307837</v>
      </c>
      <c r="F88" s="21">
        <f t="shared" si="336"/>
        <v>1771.712674307837</v>
      </c>
      <c r="G88" s="21">
        <f t="shared" si="336"/>
        <v>1771.712674307837</v>
      </c>
      <c r="H88" s="21">
        <f t="shared" si="336"/>
        <v>1771.712674307837</v>
      </c>
      <c r="I88" s="21">
        <f t="shared" si="336"/>
        <v>1771.712674307837</v>
      </c>
      <c r="J88" s="21">
        <f t="shared" si="336"/>
        <v>1771.712674307837</v>
      </c>
      <c r="K88" s="21">
        <f t="shared" si="336"/>
        <v>1771.712674307837</v>
      </c>
      <c r="L88" s="21">
        <f t="shared" si="336"/>
        <v>1771.712674307837</v>
      </c>
      <c r="M88" s="21">
        <f t="shared" si="336"/>
        <v>1771.712674307837</v>
      </c>
      <c r="N88" s="21">
        <f t="shared" si="337"/>
        <v>1771.712674307837</v>
      </c>
      <c r="O88" s="21">
        <f t="shared" si="337"/>
        <v>1771.712674307837</v>
      </c>
      <c r="P88" s="21">
        <f t="shared" si="337"/>
        <v>1771.712674307837</v>
      </c>
      <c r="Q88" s="21">
        <f t="shared" si="337"/>
        <v>1771.712674307837</v>
      </c>
      <c r="R88" s="21">
        <f t="shared" si="337"/>
        <v>1771.712674307837</v>
      </c>
      <c r="S88" s="21">
        <f t="shared" si="337"/>
        <v>1771.712674307837</v>
      </c>
      <c r="T88" s="21">
        <f t="shared" si="337"/>
        <v>1771.712674307837</v>
      </c>
      <c r="U88" s="21">
        <f t="shared" si="337"/>
        <v>1771.712674307837</v>
      </c>
      <c r="V88" s="21">
        <f t="shared" si="337"/>
        <v>1771.712674307837</v>
      </c>
      <c r="W88" s="21">
        <f t="shared" si="337"/>
        <v>1771.712674307837</v>
      </c>
      <c r="X88" s="21">
        <f t="shared" si="337"/>
        <v>1771.712674307837</v>
      </c>
      <c r="Y88" s="21">
        <f t="shared" si="337"/>
        <v>1771.712674307837</v>
      </c>
      <c r="Z88" s="21">
        <f t="shared" si="337"/>
        <v>1771.712674307837</v>
      </c>
      <c r="AA88" s="21">
        <f t="shared" si="337"/>
        <v>1771.712674307837</v>
      </c>
      <c r="AB88" s="21">
        <f t="shared" si="338"/>
        <v>1771.712674307837</v>
      </c>
      <c r="AC88" s="21">
        <f t="shared" si="338"/>
        <v>1771.712674307837</v>
      </c>
      <c r="AD88" s="21">
        <f t="shared" si="338"/>
        <v>1771.712674307837</v>
      </c>
      <c r="AE88" s="21">
        <f t="shared" si="339"/>
        <v>1771.712674307837</v>
      </c>
      <c r="AF88" s="21">
        <f t="shared" si="339"/>
        <v>1771.712674307837</v>
      </c>
      <c r="AG88" s="21">
        <f t="shared" si="340"/>
        <v>1771.712674307837</v>
      </c>
      <c r="AH88" s="21">
        <f t="shared" si="340"/>
        <v>1771.712674307837</v>
      </c>
      <c r="AI88" s="21">
        <f t="shared" si="340"/>
        <v>1771.712674307837</v>
      </c>
      <c r="AJ88" s="21">
        <f t="shared" si="340"/>
        <v>1771.712674307837</v>
      </c>
      <c r="AK88" s="21">
        <f t="shared" si="340"/>
        <v>1771.712674307837</v>
      </c>
      <c r="AL88" s="21">
        <f t="shared" si="340"/>
        <v>1771.712674307837</v>
      </c>
      <c r="AM88" s="21">
        <f t="shared" si="340"/>
        <v>1771.712674307837</v>
      </c>
      <c r="AN88" s="21">
        <f t="shared" si="340"/>
        <v>1771.712674307837</v>
      </c>
      <c r="AO88" s="21">
        <f t="shared" si="340"/>
        <v>1771.712674307837</v>
      </c>
      <c r="AP88" s="21">
        <f t="shared" si="340"/>
        <v>1771.712674307837</v>
      </c>
      <c r="AQ88" s="21">
        <f t="shared" si="341"/>
        <v>1771.712674307837</v>
      </c>
      <c r="AR88" s="21">
        <f t="shared" si="341"/>
        <v>1771.712674307837</v>
      </c>
      <c r="AS88" s="21">
        <f t="shared" si="341"/>
        <v>1771.712674307837</v>
      </c>
      <c r="AT88" s="21">
        <f t="shared" si="341"/>
        <v>1771.712674307837</v>
      </c>
      <c r="AU88" s="21">
        <f t="shared" si="341"/>
        <v>1771.712674307837</v>
      </c>
      <c r="AV88" s="21">
        <f t="shared" si="341"/>
        <v>1771.712674307837</v>
      </c>
      <c r="AW88" s="21">
        <f t="shared" si="341"/>
        <v>1771.712674307837</v>
      </c>
      <c r="AX88" s="21">
        <f t="shared" si="341"/>
        <v>1771.712674307837</v>
      </c>
      <c r="AY88" s="21">
        <f t="shared" si="341"/>
        <v>1771.712674307837</v>
      </c>
      <c r="AZ88" s="21">
        <f t="shared" si="341"/>
        <v>1771.712674307837</v>
      </c>
      <c r="BA88" s="21">
        <f t="shared" si="342"/>
        <v>1771.712674307837</v>
      </c>
      <c r="BB88" s="21">
        <f t="shared" si="342"/>
        <v>1771.712674307837</v>
      </c>
      <c r="BC88" s="21">
        <f t="shared" si="342"/>
        <v>1771.712674307837</v>
      </c>
      <c r="BD88" s="21">
        <f t="shared" si="342"/>
        <v>1771.712674307837</v>
      </c>
      <c r="BE88" s="21">
        <f t="shared" si="342"/>
        <v>1771.712674307837</v>
      </c>
      <c r="BF88" s="21">
        <f t="shared" si="342"/>
        <v>1771.712674307837</v>
      </c>
      <c r="BG88" s="21">
        <f t="shared" si="342"/>
        <v>1771.712674307837</v>
      </c>
      <c r="BH88" s="21">
        <f t="shared" si="342"/>
        <v>1771.712674307837</v>
      </c>
      <c r="BI88" s="21">
        <f t="shared" si="342"/>
        <v>1771.712674307837</v>
      </c>
      <c r="BJ88" s="21">
        <f t="shared" si="342"/>
        <v>1771.712674307837</v>
      </c>
      <c r="BK88" s="21">
        <f t="shared" si="343"/>
        <v>1771.712674307837</v>
      </c>
      <c r="BL88" s="21">
        <f t="shared" si="343"/>
        <v>1771.712674307837</v>
      </c>
      <c r="BM88" s="21">
        <f t="shared" si="343"/>
        <v>1771.712674307837</v>
      </c>
      <c r="BN88" s="21">
        <f t="shared" si="343"/>
        <v>1771.712674307837</v>
      </c>
      <c r="BO88" s="21">
        <f t="shared" si="343"/>
        <v>1771.712674307837</v>
      </c>
      <c r="BP88" s="21">
        <f t="shared" si="343"/>
        <v>1771.712674307837</v>
      </c>
      <c r="BQ88" s="21">
        <f t="shared" si="343"/>
        <v>1771.712674307837</v>
      </c>
      <c r="BR88" s="21">
        <f t="shared" si="343"/>
        <v>1771.712674307837</v>
      </c>
      <c r="BS88" s="21">
        <f t="shared" si="343"/>
        <v>1771.712674307837</v>
      </c>
      <c r="BT88" s="21">
        <f t="shared" si="343"/>
        <v>1771.712674307837</v>
      </c>
      <c r="BU88" s="21">
        <f t="shared" si="344"/>
        <v>1771.712674307837</v>
      </c>
      <c r="BV88" s="21">
        <f t="shared" si="344"/>
        <v>1771.712674307837</v>
      </c>
      <c r="BW88" s="21">
        <f t="shared" si="344"/>
        <v>1771.712674307837</v>
      </c>
      <c r="BX88" s="21">
        <f t="shared" si="344"/>
        <v>1771.712674307837</v>
      </c>
      <c r="BY88" s="21">
        <f t="shared" si="344"/>
        <v>1771.712674307837</v>
      </c>
      <c r="BZ88" s="21">
        <f t="shared" si="344"/>
        <v>1771.712674307837</v>
      </c>
      <c r="CA88" s="21">
        <f t="shared" si="344"/>
        <v>1771.712674307837</v>
      </c>
      <c r="CB88" s="21">
        <f t="shared" si="344"/>
        <v>1771.712674307837</v>
      </c>
      <c r="CC88" s="21">
        <f t="shared" si="344"/>
        <v>1771.712674307837</v>
      </c>
      <c r="CD88" s="21">
        <f t="shared" si="344"/>
        <v>1771.712674307837</v>
      </c>
      <c r="CE88" s="21">
        <f t="shared" si="345"/>
        <v>1771.712674307837</v>
      </c>
      <c r="CF88" s="21">
        <f t="shared" si="345"/>
        <v>1771.712674307837</v>
      </c>
      <c r="CG88" s="21">
        <f t="shared" si="345"/>
        <v>1771.712674307837</v>
      </c>
      <c r="CH88" s="21">
        <f t="shared" si="345"/>
        <v>1771.712674307837</v>
      </c>
      <c r="CI88" s="21">
        <f t="shared" si="345"/>
        <v>1771.712674307837</v>
      </c>
      <c r="CJ88" s="21">
        <f t="shared" si="345"/>
        <v>1771.712674307837</v>
      </c>
      <c r="CK88" s="21">
        <f t="shared" si="345"/>
        <v>1771.712674307837</v>
      </c>
      <c r="CL88" s="21">
        <f t="shared" si="345"/>
        <v>1771.712674307837</v>
      </c>
      <c r="CM88" s="21">
        <f t="shared" si="345"/>
        <v>1771.712674307837</v>
      </c>
      <c r="CN88" s="21">
        <f t="shared" si="345"/>
        <v>1771.712674307837</v>
      </c>
      <c r="CO88" s="21">
        <f t="shared" si="346"/>
        <v>1771.712674307837</v>
      </c>
      <c r="CP88" s="21">
        <f t="shared" si="346"/>
        <v>1771.712674307837</v>
      </c>
      <c r="CQ88" s="21">
        <f t="shared" si="346"/>
        <v>1771.712674307837</v>
      </c>
      <c r="CR88" s="21">
        <f t="shared" si="346"/>
        <v>1771.712674307837</v>
      </c>
      <c r="CS88" s="21">
        <f t="shared" si="346"/>
        <v>1771.712674307837</v>
      </c>
      <c r="CT88" s="21">
        <f t="shared" si="346"/>
        <v>1771.712674307837</v>
      </c>
      <c r="CU88" s="21">
        <f t="shared" si="346"/>
        <v>1771.712674307837</v>
      </c>
      <c r="CV88" s="21">
        <f t="shared" si="346"/>
        <v>1771.712674307837</v>
      </c>
      <c r="CW88" s="21">
        <f t="shared" si="346"/>
        <v>1771.712674307837</v>
      </c>
      <c r="CX88" s="21">
        <f t="shared" si="346"/>
        <v>1771.712674307837</v>
      </c>
      <c r="CY88" s="21">
        <f t="shared" si="347"/>
        <v>1771.712674307837</v>
      </c>
      <c r="CZ88" s="21">
        <f t="shared" si="347"/>
        <v>1771.712674307837</v>
      </c>
      <c r="DA88" s="21">
        <f t="shared" si="347"/>
        <v>1771.712674307837</v>
      </c>
      <c r="DB88" s="21">
        <f t="shared" si="347"/>
        <v>1771.712674307837</v>
      </c>
      <c r="DC88" s="21">
        <f t="shared" si="347"/>
        <v>1771.712674307837</v>
      </c>
      <c r="DD88" s="21">
        <f t="shared" si="347"/>
        <v>1771.712674307837</v>
      </c>
      <c r="DE88" s="21">
        <f t="shared" si="347"/>
        <v>1771.712674307837</v>
      </c>
      <c r="DF88" s="21">
        <f t="shared" si="347"/>
        <v>1771.712674307837</v>
      </c>
      <c r="DH88" s="21">
        <f t="shared" si="348"/>
        <v>1771.712674307837</v>
      </c>
      <c r="DI88" s="21">
        <f t="shared" si="348"/>
        <v>1771.712674307837</v>
      </c>
      <c r="DJ88" s="21">
        <f t="shared" si="348"/>
        <v>1771.712674307837</v>
      </c>
      <c r="DK88" s="21">
        <f t="shared" si="348"/>
        <v>1771.712674307837</v>
      </c>
      <c r="DL88" s="21">
        <f t="shared" si="348"/>
        <v>1771.712674307837</v>
      </c>
      <c r="DM88" s="21">
        <f t="shared" si="348"/>
        <v>1771.712674307837</v>
      </c>
      <c r="DN88" s="21">
        <f t="shared" si="348"/>
        <v>1771.712674307837</v>
      </c>
      <c r="DO88" s="21">
        <f t="shared" si="348"/>
        <v>1771.712674307837</v>
      </c>
      <c r="DP88" s="21">
        <f t="shared" si="348"/>
        <v>1771.712674307837</v>
      </c>
      <c r="DQ88" s="21">
        <f t="shared" si="348"/>
        <v>1771.712674307837</v>
      </c>
      <c r="DR88" s="21">
        <f t="shared" si="348"/>
        <v>1771.712674307837</v>
      </c>
      <c r="DS88" s="21">
        <f t="shared" si="349"/>
        <v>1771.712674307837</v>
      </c>
      <c r="DT88" s="21">
        <f t="shared" si="349"/>
        <v>1771.712674307837</v>
      </c>
      <c r="DU88" s="21">
        <f t="shared" si="349"/>
        <v>1771.712674307837</v>
      </c>
      <c r="DV88" s="21">
        <f t="shared" si="349"/>
        <v>1771.712674307837</v>
      </c>
      <c r="DW88" s="21">
        <f t="shared" si="349"/>
        <v>1771.712674307837</v>
      </c>
      <c r="DX88" s="21">
        <f t="shared" si="350"/>
        <v>1771.712674307837</v>
      </c>
      <c r="DY88" s="21">
        <f t="shared" si="350"/>
        <v>1771.712674307837</v>
      </c>
      <c r="DZ88" s="21">
        <f t="shared" si="350"/>
        <v>1771.712674307837</v>
      </c>
      <c r="EA88" s="21">
        <f t="shared" si="350"/>
        <v>1771.712674307837</v>
      </c>
      <c r="EB88" s="21">
        <f t="shared" si="350"/>
        <v>1771.712674307837</v>
      </c>
      <c r="EC88" s="21">
        <f t="shared" si="350"/>
        <v>1771.712674307837</v>
      </c>
      <c r="ED88" s="21">
        <f t="shared" si="351"/>
        <v>1771.712674307837</v>
      </c>
      <c r="EH88" s="21" t="str">
        <f t="shared" si="352"/>
        <v>Final Steel Product: Combined</v>
      </c>
      <c r="EI88" s="70">
        <f>[7]Steel!$E$215/1000</f>
        <v>1771.712674307837</v>
      </c>
      <c r="EJ88" s="70">
        <f>[5]Steel!$E$215/1000</f>
        <v>1771.712674307837</v>
      </c>
    </row>
    <row r="89" spans="1:154" x14ac:dyDescent="0.3">
      <c r="A89" s="21" t="s">
        <v>136</v>
      </c>
      <c r="D89" s="21">
        <f t="shared" si="336"/>
        <v>944.23830205384127</v>
      </c>
      <c r="E89" s="21">
        <f t="shared" si="336"/>
        <v>944.23830205384127</v>
      </c>
      <c r="F89" s="21">
        <f t="shared" si="336"/>
        <v>944.23830205384127</v>
      </c>
      <c r="G89" s="21">
        <f t="shared" si="336"/>
        <v>944.23830205384127</v>
      </c>
      <c r="H89" s="21">
        <f t="shared" si="336"/>
        <v>944.23830205384127</v>
      </c>
      <c r="I89" s="21">
        <f t="shared" si="336"/>
        <v>944.23830205384127</v>
      </c>
      <c r="J89" s="21">
        <f t="shared" si="336"/>
        <v>944.23830205384127</v>
      </c>
      <c r="K89" s="21">
        <f t="shared" si="336"/>
        <v>944.23830205384127</v>
      </c>
      <c r="L89" s="21">
        <f t="shared" si="336"/>
        <v>944.23830205384127</v>
      </c>
      <c r="M89" s="21">
        <f t="shared" si="336"/>
        <v>944.23830205384127</v>
      </c>
      <c r="N89" s="21">
        <f t="shared" si="337"/>
        <v>944.23830205384127</v>
      </c>
      <c r="O89" s="21">
        <f t="shared" si="337"/>
        <v>944.23830205384127</v>
      </c>
      <c r="P89" s="21">
        <f t="shared" si="337"/>
        <v>944.23830205384127</v>
      </c>
      <c r="Q89" s="21">
        <f t="shared" si="337"/>
        <v>944.23830205384127</v>
      </c>
      <c r="R89" s="21">
        <f t="shared" si="337"/>
        <v>944.23830205384127</v>
      </c>
      <c r="S89" s="21">
        <f t="shared" si="337"/>
        <v>944.23830205384127</v>
      </c>
      <c r="T89" s="21">
        <f t="shared" si="337"/>
        <v>944.23830205384127</v>
      </c>
      <c r="U89" s="21">
        <f t="shared" si="337"/>
        <v>944.23830205384127</v>
      </c>
      <c r="V89" s="21">
        <f t="shared" si="337"/>
        <v>944.23830205384127</v>
      </c>
      <c r="W89" s="21">
        <f t="shared" si="337"/>
        <v>944.23830205384127</v>
      </c>
      <c r="X89" s="21">
        <f t="shared" si="337"/>
        <v>944.23830205384127</v>
      </c>
      <c r="Y89" s="21">
        <f t="shared" si="337"/>
        <v>944.23830205384127</v>
      </c>
      <c r="Z89" s="21">
        <f t="shared" si="337"/>
        <v>944.23830205384127</v>
      </c>
      <c r="AA89" s="21">
        <f t="shared" si="337"/>
        <v>944.23830205384127</v>
      </c>
      <c r="AB89" s="21">
        <f t="shared" si="338"/>
        <v>944.23830205384127</v>
      </c>
      <c r="AC89" s="21">
        <f t="shared" si="338"/>
        <v>944.23830205384127</v>
      </c>
      <c r="AD89" s="21">
        <f t="shared" si="338"/>
        <v>944.23830205384127</v>
      </c>
      <c r="AE89" s="21">
        <f t="shared" si="339"/>
        <v>944.23830205384127</v>
      </c>
      <c r="AF89" s="21">
        <f t="shared" si="339"/>
        <v>944.23830205384127</v>
      </c>
      <c r="AG89" s="21">
        <f t="shared" si="340"/>
        <v>944.23830205384127</v>
      </c>
      <c r="AH89" s="21">
        <f t="shared" si="340"/>
        <v>944.23830205384127</v>
      </c>
      <c r="AI89" s="21">
        <f t="shared" si="340"/>
        <v>944.23830205384127</v>
      </c>
      <c r="AJ89" s="21">
        <f t="shared" si="340"/>
        <v>944.23830205384127</v>
      </c>
      <c r="AK89" s="21">
        <f t="shared" si="340"/>
        <v>944.23830205384127</v>
      </c>
      <c r="AL89" s="21">
        <f t="shared" si="340"/>
        <v>944.23830205384127</v>
      </c>
      <c r="AM89" s="21">
        <f t="shared" si="340"/>
        <v>944.23830205384127</v>
      </c>
      <c r="AN89" s="21">
        <f t="shared" si="340"/>
        <v>944.23830205384127</v>
      </c>
      <c r="AO89" s="21">
        <f t="shared" si="340"/>
        <v>944.23830205384127</v>
      </c>
      <c r="AP89" s="21">
        <f t="shared" si="340"/>
        <v>944.23830205384127</v>
      </c>
      <c r="AQ89" s="21">
        <f t="shared" si="341"/>
        <v>944.23830205384127</v>
      </c>
      <c r="AR89" s="21">
        <f t="shared" si="341"/>
        <v>944.23830205384127</v>
      </c>
      <c r="AS89" s="21">
        <f t="shared" si="341"/>
        <v>944.23830205384127</v>
      </c>
      <c r="AT89" s="21">
        <f t="shared" si="341"/>
        <v>944.23830205384127</v>
      </c>
      <c r="AU89" s="21">
        <f t="shared" si="341"/>
        <v>944.23830205384127</v>
      </c>
      <c r="AV89" s="21">
        <f t="shared" si="341"/>
        <v>944.23830205384127</v>
      </c>
      <c r="AW89" s="21">
        <f t="shared" si="341"/>
        <v>944.23830205384127</v>
      </c>
      <c r="AX89" s="21">
        <f t="shared" si="341"/>
        <v>944.23830205384127</v>
      </c>
      <c r="AY89" s="21">
        <f t="shared" si="341"/>
        <v>944.23830205384127</v>
      </c>
      <c r="AZ89" s="21">
        <f t="shared" si="341"/>
        <v>944.23830205384127</v>
      </c>
      <c r="BA89" s="21">
        <f t="shared" si="342"/>
        <v>944.23830205384127</v>
      </c>
      <c r="BB89" s="21">
        <f t="shared" si="342"/>
        <v>944.23830205384127</v>
      </c>
      <c r="BC89" s="21">
        <f t="shared" si="342"/>
        <v>944.23830205384127</v>
      </c>
      <c r="BD89" s="21">
        <f t="shared" si="342"/>
        <v>944.23830205384127</v>
      </c>
      <c r="BE89" s="21">
        <f t="shared" si="342"/>
        <v>944.23830205384127</v>
      </c>
      <c r="BF89" s="21">
        <f t="shared" si="342"/>
        <v>944.23830205384127</v>
      </c>
      <c r="BG89" s="21">
        <f t="shared" si="342"/>
        <v>944.23830205384127</v>
      </c>
      <c r="BH89" s="21">
        <f t="shared" si="342"/>
        <v>944.23830205384127</v>
      </c>
      <c r="BI89" s="21">
        <f t="shared" si="342"/>
        <v>944.23830205384127</v>
      </c>
      <c r="BJ89" s="21">
        <f t="shared" si="342"/>
        <v>944.23830205384127</v>
      </c>
      <c r="BK89" s="21">
        <f t="shared" si="343"/>
        <v>944.23830205384127</v>
      </c>
      <c r="BL89" s="21">
        <f t="shared" si="343"/>
        <v>944.23830205384127</v>
      </c>
      <c r="BM89" s="21">
        <f t="shared" si="343"/>
        <v>944.23830205384127</v>
      </c>
      <c r="BN89" s="21">
        <f t="shared" si="343"/>
        <v>944.23830205384127</v>
      </c>
      <c r="BO89" s="21">
        <f t="shared" si="343"/>
        <v>944.23830205384127</v>
      </c>
      <c r="BP89" s="21">
        <f t="shared" si="343"/>
        <v>944.23830205384127</v>
      </c>
      <c r="BQ89" s="21">
        <f t="shared" si="343"/>
        <v>944.23830205384127</v>
      </c>
      <c r="BR89" s="21">
        <f t="shared" si="343"/>
        <v>944.23830205384127</v>
      </c>
      <c r="BS89" s="21">
        <f t="shared" si="343"/>
        <v>944.23830205384127</v>
      </c>
      <c r="BT89" s="21">
        <f t="shared" si="343"/>
        <v>944.23830205384127</v>
      </c>
      <c r="BU89" s="21">
        <f t="shared" si="344"/>
        <v>944.23830205384127</v>
      </c>
      <c r="BV89" s="21">
        <f t="shared" si="344"/>
        <v>944.23830205384127</v>
      </c>
      <c r="BW89" s="21">
        <f t="shared" si="344"/>
        <v>944.23830205384127</v>
      </c>
      <c r="BX89" s="21">
        <f t="shared" si="344"/>
        <v>944.23830205384127</v>
      </c>
      <c r="BY89" s="21">
        <f t="shared" si="344"/>
        <v>944.23830205384127</v>
      </c>
      <c r="BZ89" s="21">
        <f t="shared" si="344"/>
        <v>944.23830205384127</v>
      </c>
      <c r="CA89" s="21">
        <f t="shared" si="344"/>
        <v>944.23830205384127</v>
      </c>
      <c r="CB89" s="21">
        <f t="shared" si="344"/>
        <v>944.23830205384127</v>
      </c>
      <c r="CC89" s="21">
        <f t="shared" si="344"/>
        <v>944.23830205384127</v>
      </c>
      <c r="CD89" s="21">
        <f t="shared" si="344"/>
        <v>944.23830205384127</v>
      </c>
      <c r="CE89" s="21">
        <f t="shared" si="345"/>
        <v>944.23830205384127</v>
      </c>
      <c r="CF89" s="21">
        <f t="shared" si="345"/>
        <v>944.23830205384127</v>
      </c>
      <c r="CG89" s="21">
        <f t="shared" si="345"/>
        <v>944.23830205384127</v>
      </c>
      <c r="CH89" s="21">
        <f t="shared" si="345"/>
        <v>944.23830205384127</v>
      </c>
      <c r="CI89" s="21">
        <f t="shared" si="345"/>
        <v>944.23830205384127</v>
      </c>
      <c r="CJ89" s="21">
        <f t="shared" si="345"/>
        <v>944.23830205384127</v>
      </c>
      <c r="CK89" s="21">
        <f t="shared" si="345"/>
        <v>944.23830205384127</v>
      </c>
      <c r="CL89" s="21">
        <f t="shared" si="345"/>
        <v>944.23830205384127</v>
      </c>
      <c r="CM89" s="21">
        <f t="shared" si="345"/>
        <v>944.23830205384127</v>
      </c>
      <c r="CN89" s="21">
        <f t="shared" si="345"/>
        <v>944.23830205384127</v>
      </c>
      <c r="CO89" s="21">
        <f t="shared" si="346"/>
        <v>944.23830205384127</v>
      </c>
      <c r="CP89" s="21">
        <f t="shared" si="346"/>
        <v>944.23830205384127</v>
      </c>
      <c r="CQ89" s="21">
        <f t="shared" si="346"/>
        <v>944.23830205384127</v>
      </c>
      <c r="CR89" s="21">
        <f t="shared" si="346"/>
        <v>944.23830205384127</v>
      </c>
      <c r="CS89" s="21">
        <f t="shared" si="346"/>
        <v>944.23830205384127</v>
      </c>
      <c r="CT89" s="21">
        <f t="shared" si="346"/>
        <v>944.23830205384127</v>
      </c>
      <c r="CU89" s="21">
        <f t="shared" si="346"/>
        <v>944.23830205384127</v>
      </c>
      <c r="CV89" s="21">
        <f t="shared" si="346"/>
        <v>944.23830205384127</v>
      </c>
      <c r="CW89" s="21">
        <f t="shared" si="346"/>
        <v>944.23830205384127</v>
      </c>
      <c r="CX89" s="21">
        <f t="shared" si="346"/>
        <v>944.23830205384127</v>
      </c>
      <c r="CY89" s="21">
        <f t="shared" si="347"/>
        <v>944.23830205384127</v>
      </c>
      <c r="CZ89" s="21">
        <f t="shared" si="347"/>
        <v>944.23830205384127</v>
      </c>
      <c r="DA89" s="21">
        <f t="shared" si="347"/>
        <v>944.23830205384127</v>
      </c>
      <c r="DB89" s="21">
        <f t="shared" si="347"/>
        <v>944.23830205384127</v>
      </c>
      <c r="DC89" s="21">
        <f t="shared" si="347"/>
        <v>944.23830205384127</v>
      </c>
      <c r="DD89" s="21">
        <f t="shared" si="347"/>
        <v>944.23830205384127</v>
      </c>
      <c r="DE89" s="21">
        <f t="shared" si="347"/>
        <v>944.23830205384127</v>
      </c>
      <c r="DF89" s="21">
        <f t="shared" si="347"/>
        <v>944.23830205384127</v>
      </c>
      <c r="DH89" s="21">
        <f t="shared" si="348"/>
        <v>944.23830205384127</v>
      </c>
      <c r="DI89" s="21">
        <f t="shared" si="348"/>
        <v>944.23830205384127</v>
      </c>
      <c r="DJ89" s="21">
        <f t="shared" si="348"/>
        <v>944.23830205384127</v>
      </c>
      <c r="DK89" s="21">
        <f t="shared" si="348"/>
        <v>944.23830205384127</v>
      </c>
      <c r="DL89" s="21">
        <f t="shared" si="348"/>
        <v>944.23830205384127</v>
      </c>
      <c r="DM89" s="21">
        <f t="shared" si="348"/>
        <v>944.23830205384127</v>
      </c>
      <c r="DN89" s="21">
        <f t="shared" si="348"/>
        <v>944.23830205384127</v>
      </c>
      <c r="DO89" s="21">
        <f t="shared" si="348"/>
        <v>944.23830205384127</v>
      </c>
      <c r="DP89" s="21">
        <f t="shared" si="348"/>
        <v>944.23830205384127</v>
      </c>
      <c r="DQ89" s="21">
        <f t="shared" si="348"/>
        <v>944.23830205384127</v>
      </c>
      <c r="DR89" s="21">
        <f t="shared" si="348"/>
        <v>944.23830205384127</v>
      </c>
      <c r="DS89" s="21">
        <f t="shared" si="349"/>
        <v>944.23830205384127</v>
      </c>
      <c r="DT89" s="21">
        <f t="shared" si="349"/>
        <v>944.23830205384127</v>
      </c>
      <c r="DU89" s="21">
        <f t="shared" si="349"/>
        <v>944.23830205384127</v>
      </c>
      <c r="DV89" s="21">
        <f t="shared" si="349"/>
        <v>944.23830205384127</v>
      </c>
      <c r="DW89" s="21">
        <f t="shared" si="349"/>
        <v>944.23830205384127</v>
      </c>
      <c r="DX89" s="21">
        <f t="shared" si="350"/>
        <v>944.23830205384127</v>
      </c>
      <c r="DY89" s="21">
        <f t="shared" si="350"/>
        <v>944.23830205384127</v>
      </c>
      <c r="DZ89" s="21">
        <f t="shared" si="350"/>
        <v>944.23830205384127</v>
      </c>
      <c r="EA89" s="21">
        <f t="shared" si="350"/>
        <v>944.23830205384127</v>
      </c>
      <c r="EB89" s="21">
        <f t="shared" si="350"/>
        <v>944.23830205384127</v>
      </c>
      <c r="EC89" s="21">
        <f t="shared" si="350"/>
        <v>944.23830205384127</v>
      </c>
      <c r="ED89" s="21">
        <f t="shared" si="351"/>
        <v>944.23830205384127</v>
      </c>
      <c r="EH89" s="21" t="str">
        <f t="shared" si="352"/>
        <v>Final Iron Product: Combined</v>
      </c>
      <c r="EI89" s="70">
        <f>'[7]C.Iron'!$J$81/1000</f>
        <v>944.23830205384127</v>
      </c>
      <c r="EJ89" s="70">
        <f>'[5]C.Iron'!$J$81/1000</f>
        <v>944.23830205384127</v>
      </c>
    </row>
    <row r="90" spans="1:154" x14ac:dyDescent="0.3">
      <c r="A90" s="21" t="s">
        <v>137</v>
      </c>
      <c r="D90" s="21">
        <f t="shared" si="336"/>
        <v>18370.647678120487</v>
      </c>
      <c r="E90" s="21">
        <f t="shared" si="336"/>
        <v>18370.647678120487</v>
      </c>
      <c r="F90" s="21">
        <f t="shared" si="336"/>
        <v>7361.0167462680711</v>
      </c>
      <c r="G90" s="21">
        <f t="shared" si="336"/>
        <v>18370.647678120487</v>
      </c>
      <c r="H90" s="21">
        <f t="shared" si="336"/>
        <v>18370.647678120487</v>
      </c>
      <c r="I90" s="21">
        <f t="shared" si="336"/>
        <v>18370.647678120487</v>
      </c>
      <c r="J90" s="21">
        <f t="shared" si="336"/>
        <v>18370.647678120487</v>
      </c>
      <c r="K90" s="21">
        <f t="shared" si="336"/>
        <v>18370.647678120487</v>
      </c>
      <c r="L90" s="21">
        <f t="shared" si="336"/>
        <v>18370.647678120487</v>
      </c>
      <c r="M90" s="21">
        <f t="shared" si="336"/>
        <v>18370.647678120487</v>
      </c>
      <c r="N90" s="21">
        <f t="shared" si="337"/>
        <v>18370.647678120487</v>
      </c>
      <c r="O90" s="21">
        <f t="shared" si="337"/>
        <v>18370.647678120487</v>
      </c>
      <c r="P90" s="21">
        <f t="shared" si="337"/>
        <v>18370.647678120487</v>
      </c>
      <c r="Q90" s="21">
        <f t="shared" si="337"/>
        <v>18370.647678120487</v>
      </c>
      <c r="R90" s="21">
        <f t="shared" si="337"/>
        <v>18370.647678120487</v>
      </c>
      <c r="S90" s="21">
        <f t="shared" si="337"/>
        <v>18370.647678120487</v>
      </c>
      <c r="T90" s="21">
        <f t="shared" si="337"/>
        <v>7361.0167462680711</v>
      </c>
      <c r="U90" s="21">
        <f t="shared" si="337"/>
        <v>18370.647678120487</v>
      </c>
      <c r="V90" s="21">
        <f t="shared" si="337"/>
        <v>18370.647678120487</v>
      </c>
      <c r="W90" s="21">
        <f t="shared" si="337"/>
        <v>18370.647678120487</v>
      </c>
      <c r="X90" s="21">
        <f t="shared" si="337"/>
        <v>7361.0167462680711</v>
      </c>
      <c r="Y90" s="21">
        <f t="shared" si="337"/>
        <v>18370.647678120487</v>
      </c>
      <c r="Z90" s="21">
        <f t="shared" si="337"/>
        <v>18370.647678120487</v>
      </c>
      <c r="AA90" s="21">
        <f t="shared" si="337"/>
        <v>18370.647678120487</v>
      </c>
      <c r="AB90" s="21">
        <f t="shared" si="338"/>
        <v>7361.0167462680711</v>
      </c>
      <c r="AC90" s="21">
        <f t="shared" si="338"/>
        <v>18370.647678120487</v>
      </c>
      <c r="AD90" s="21">
        <f t="shared" si="338"/>
        <v>18370.647678120487</v>
      </c>
      <c r="AE90" s="21">
        <f t="shared" si="339"/>
        <v>18370.647678120487</v>
      </c>
      <c r="AF90" s="21">
        <f t="shared" si="339"/>
        <v>18370.647678120487</v>
      </c>
      <c r="AG90" s="21">
        <f t="shared" si="340"/>
        <v>18370.647678120487</v>
      </c>
      <c r="AH90" s="21">
        <f t="shared" si="340"/>
        <v>18370.647678120487</v>
      </c>
      <c r="AI90" s="21">
        <f t="shared" si="340"/>
        <v>18370.647678120487</v>
      </c>
      <c r="AJ90" s="21">
        <f t="shared" si="340"/>
        <v>18370.647678120487</v>
      </c>
      <c r="AK90" s="21">
        <f t="shared" si="340"/>
        <v>18370.647678120487</v>
      </c>
      <c r="AL90" s="21">
        <f t="shared" si="340"/>
        <v>18370.647678120487</v>
      </c>
      <c r="AM90" s="21">
        <f t="shared" si="340"/>
        <v>18370.647678120487</v>
      </c>
      <c r="AN90" s="21">
        <f t="shared" si="340"/>
        <v>18370.647678120487</v>
      </c>
      <c r="AO90" s="21">
        <f t="shared" si="340"/>
        <v>18370.647678120487</v>
      </c>
      <c r="AP90" s="21">
        <f t="shared" si="340"/>
        <v>18370.647678120487</v>
      </c>
      <c r="AQ90" s="21">
        <f t="shared" si="341"/>
        <v>18370.647678120487</v>
      </c>
      <c r="AR90" s="21">
        <f t="shared" si="341"/>
        <v>18370.647678120487</v>
      </c>
      <c r="AS90" s="21">
        <f t="shared" si="341"/>
        <v>18370.647678120487</v>
      </c>
      <c r="AT90" s="21">
        <f t="shared" si="341"/>
        <v>18370.647678120487</v>
      </c>
      <c r="AU90" s="21">
        <f t="shared" si="341"/>
        <v>7361.0167462680711</v>
      </c>
      <c r="AV90" s="21">
        <f t="shared" si="341"/>
        <v>18370.647678120487</v>
      </c>
      <c r="AW90" s="21">
        <f t="shared" si="341"/>
        <v>18370.647678120487</v>
      </c>
      <c r="AX90" s="21">
        <f t="shared" si="341"/>
        <v>18370.647678120487</v>
      </c>
      <c r="AY90" s="21">
        <f t="shared" si="341"/>
        <v>18370.647678120487</v>
      </c>
      <c r="AZ90" s="21">
        <f t="shared" si="341"/>
        <v>18370.647678120487</v>
      </c>
      <c r="BA90" s="21">
        <f t="shared" si="342"/>
        <v>18370.647678120487</v>
      </c>
      <c r="BB90" s="21">
        <f t="shared" si="342"/>
        <v>18370.647678120487</v>
      </c>
      <c r="BC90" s="21">
        <f t="shared" si="342"/>
        <v>18370.647678120487</v>
      </c>
      <c r="BD90" s="21">
        <f t="shared" si="342"/>
        <v>18370.647678120487</v>
      </c>
      <c r="BE90" s="21">
        <f t="shared" si="342"/>
        <v>18370.647678120487</v>
      </c>
      <c r="BF90" s="21">
        <f t="shared" si="342"/>
        <v>18370.647678120487</v>
      </c>
      <c r="BG90" s="21">
        <f t="shared" si="342"/>
        <v>18370.647678120487</v>
      </c>
      <c r="BH90" s="21">
        <f t="shared" si="342"/>
        <v>18370.647678120487</v>
      </c>
      <c r="BI90" s="21">
        <f t="shared" si="342"/>
        <v>18370.647678120487</v>
      </c>
      <c r="BJ90" s="21">
        <f t="shared" si="342"/>
        <v>18370.647678120487</v>
      </c>
      <c r="BK90" s="21">
        <f t="shared" si="343"/>
        <v>18370.647678120487</v>
      </c>
      <c r="BL90" s="21">
        <f t="shared" si="343"/>
        <v>18370.647678120487</v>
      </c>
      <c r="BM90" s="21">
        <f t="shared" si="343"/>
        <v>18370.647678120487</v>
      </c>
      <c r="BN90" s="21">
        <f t="shared" si="343"/>
        <v>18370.647678120487</v>
      </c>
      <c r="BO90" s="21">
        <f t="shared" si="343"/>
        <v>18370.647678120487</v>
      </c>
      <c r="BP90" s="21">
        <f t="shared" si="343"/>
        <v>18370.647678120487</v>
      </c>
      <c r="BQ90" s="21">
        <f t="shared" si="343"/>
        <v>7361.0167462680711</v>
      </c>
      <c r="BR90" s="21">
        <f t="shared" si="343"/>
        <v>18370.647678120487</v>
      </c>
      <c r="BS90" s="21">
        <f t="shared" si="343"/>
        <v>18370.647678120487</v>
      </c>
      <c r="BT90" s="21">
        <f t="shared" si="343"/>
        <v>18370.647678120487</v>
      </c>
      <c r="BU90" s="21">
        <f t="shared" si="344"/>
        <v>18370.647678120487</v>
      </c>
      <c r="BV90" s="21">
        <f t="shared" si="344"/>
        <v>18370.647678120487</v>
      </c>
      <c r="BW90" s="21">
        <f t="shared" si="344"/>
        <v>18370.647678120487</v>
      </c>
      <c r="BX90" s="21">
        <f t="shared" si="344"/>
        <v>18370.647678120487</v>
      </c>
      <c r="BY90" s="21">
        <f t="shared" si="344"/>
        <v>18370.647678120487</v>
      </c>
      <c r="BZ90" s="21">
        <f t="shared" si="344"/>
        <v>7361.0167462680711</v>
      </c>
      <c r="CA90" s="21">
        <f t="shared" si="344"/>
        <v>18370.647678120487</v>
      </c>
      <c r="CB90" s="21">
        <f t="shared" si="344"/>
        <v>18370.647678120487</v>
      </c>
      <c r="CC90" s="21">
        <f t="shared" si="344"/>
        <v>18370.647678120487</v>
      </c>
      <c r="CD90" s="21">
        <f t="shared" si="344"/>
        <v>18370.647678120487</v>
      </c>
      <c r="CE90" s="21">
        <f t="shared" si="345"/>
        <v>18370.647678120487</v>
      </c>
      <c r="CF90" s="21">
        <f t="shared" si="345"/>
        <v>18370.647678120487</v>
      </c>
      <c r="CG90" s="21">
        <f t="shared" si="345"/>
        <v>18370.647678120487</v>
      </c>
      <c r="CH90" s="21">
        <f t="shared" si="345"/>
        <v>18370.647678120487</v>
      </c>
      <c r="CI90" s="21">
        <f t="shared" si="345"/>
        <v>18370.647678120487</v>
      </c>
      <c r="CJ90" s="21">
        <f t="shared" si="345"/>
        <v>18370.647678120487</v>
      </c>
      <c r="CK90" s="21">
        <f t="shared" si="345"/>
        <v>18370.647678120487</v>
      </c>
      <c r="CL90" s="21">
        <f t="shared" si="345"/>
        <v>18370.647678120487</v>
      </c>
      <c r="CM90" s="21">
        <f t="shared" si="345"/>
        <v>18370.647678120487</v>
      </c>
      <c r="CN90" s="21">
        <f t="shared" si="345"/>
        <v>18370.647678120487</v>
      </c>
      <c r="CO90" s="21">
        <f t="shared" si="346"/>
        <v>18370.647678120487</v>
      </c>
      <c r="CP90" s="21">
        <f t="shared" si="346"/>
        <v>18370.647678120487</v>
      </c>
      <c r="CQ90" s="21">
        <f t="shared" si="346"/>
        <v>18370.647678120487</v>
      </c>
      <c r="CR90" s="21">
        <f t="shared" si="346"/>
        <v>18370.647678120487</v>
      </c>
      <c r="CS90" s="21">
        <f t="shared" si="346"/>
        <v>18370.647678120487</v>
      </c>
      <c r="CT90" s="21">
        <f t="shared" si="346"/>
        <v>18370.647678120487</v>
      </c>
      <c r="CU90" s="21">
        <f t="shared" si="346"/>
        <v>18370.647678120487</v>
      </c>
      <c r="CV90" s="21">
        <f t="shared" si="346"/>
        <v>18370.647678120487</v>
      </c>
      <c r="CW90" s="21">
        <f t="shared" si="346"/>
        <v>18370.647678120487</v>
      </c>
      <c r="CX90" s="21">
        <f t="shared" si="346"/>
        <v>18370.647678120487</v>
      </c>
      <c r="CY90" s="21">
        <f t="shared" si="347"/>
        <v>18370.647678120487</v>
      </c>
      <c r="CZ90" s="21">
        <f t="shared" si="347"/>
        <v>18370.647678120487</v>
      </c>
      <c r="DA90" s="21">
        <f t="shared" si="347"/>
        <v>18370.647678120487</v>
      </c>
      <c r="DB90" s="21">
        <f t="shared" si="347"/>
        <v>18370.647678120487</v>
      </c>
      <c r="DC90" s="21">
        <f t="shared" si="347"/>
        <v>18370.647678120487</v>
      </c>
      <c r="DD90" s="21">
        <f t="shared" si="347"/>
        <v>18370.647678120487</v>
      </c>
      <c r="DE90" s="21">
        <f t="shared" si="347"/>
        <v>18370.647678120487</v>
      </c>
      <c r="DF90" s="21">
        <f t="shared" si="347"/>
        <v>18370.647678120487</v>
      </c>
      <c r="DH90" s="21">
        <f t="shared" si="348"/>
        <v>18370.647678120487</v>
      </c>
      <c r="DI90" s="21">
        <f t="shared" si="348"/>
        <v>18370.647678120487</v>
      </c>
      <c r="DJ90" s="21">
        <f t="shared" si="348"/>
        <v>18370.647678120487</v>
      </c>
      <c r="DK90" s="21">
        <f t="shared" si="348"/>
        <v>18370.647678120487</v>
      </c>
      <c r="DL90" s="21">
        <f t="shared" si="348"/>
        <v>18370.647678120487</v>
      </c>
      <c r="DM90" s="21">
        <f t="shared" si="348"/>
        <v>18370.647678120487</v>
      </c>
      <c r="DN90" s="21">
        <f t="shared" si="348"/>
        <v>18370.647678120487</v>
      </c>
      <c r="DO90" s="21">
        <f t="shared" si="348"/>
        <v>18370.647678120487</v>
      </c>
      <c r="DP90" s="21">
        <f t="shared" si="348"/>
        <v>18370.647678120487</v>
      </c>
      <c r="DQ90" s="21">
        <f t="shared" si="348"/>
        <v>18370.647678120487</v>
      </c>
      <c r="DR90" s="21">
        <f t="shared" si="348"/>
        <v>18370.647678120487</v>
      </c>
      <c r="DS90" s="21">
        <f t="shared" si="349"/>
        <v>18370.647678120487</v>
      </c>
      <c r="DT90" s="21">
        <f t="shared" si="349"/>
        <v>18370.647678120487</v>
      </c>
      <c r="DU90" s="21">
        <f t="shared" si="349"/>
        <v>18370.647678120487</v>
      </c>
      <c r="DV90" s="21">
        <f t="shared" si="349"/>
        <v>18370.647678120487</v>
      </c>
      <c r="DW90" s="21">
        <f t="shared" si="349"/>
        <v>18370.647678120487</v>
      </c>
      <c r="DX90" s="21">
        <f t="shared" si="350"/>
        <v>18370.647678120487</v>
      </c>
      <c r="DY90" s="21">
        <f t="shared" si="350"/>
        <v>18370.647678120487</v>
      </c>
      <c r="DZ90" s="21">
        <f t="shared" si="350"/>
        <v>18370.647678120487</v>
      </c>
      <c r="EA90" s="21">
        <f t="shared" si="350"/>
        <v>18370.647678120487</v>
      </c>
      <c r="EB90" s="21">
        <f t="shared" si="350"/>
        <v>18370.647678120487</v>
      </c>
      <c r="EC90" s="21">
        <f t="shared" si="350"/>
        <v>18370.647678120487</v>
      </c>
      <c r="ED90" s="21">
        <f t="shared" si="351"/>
        <v>18370.647678120487</v>
      </c>
      <c r="EH90" s="21" t="str">
        <f t="shared" si="352"/>
        <v>Final Average Wrought Aluminum Product: Combined</v>
      </c>
      <c r="EI90" s="70">
        <f>[7]W.Al!$U$146/1000</f>
        <v>18370.647678120487</v>
      </c>
      <c r="EJ90" s="70">
        <f>[5]W.Al!$U$146/1000</f>
        <v>7361.0167462680711</v>
      </c>
    </row>
    <row r="91" spans="1:154" x14ac:dyDescent="0.3">
      <c r="A91" s="21" t="s">
        <v>138</v>
      </c>
      <c r="D91" s="21">
        <f t="shared" si="336"/>
        <v>2404.8668850501526</v>
      </c>
      <c r="E91" s="21">
        <f t="shared" si="336"/>
        <v>2404.8668850501526</v>
      </c>
      <c r="F91" s="21">
        <f t="shared" si="336"/>
        <v>1524.9408491944328</v>
      </c>
      <c r="G91" s="21">
        <f t="shared" si="336"/>
        <v>2404.8668850501526</v>
      </c>
      <c r="H91" s="21">
        <f t="shared" si="336"/>
        <v>2404.8668850501526</v>
      </c>
      <c r="I91" s="21">
        <f t="shared" si="336"/>
        <v>2404.8668850501526</v>
      </c>
      <c r="J91" s="21">
        <f t="shared" si="336"/>
        <v>2404.8668850501526</v>
      </c>
      <c r="K91" s="21">
        <f t="shared" si="336"/>
        <v>2404.8668850501526</v>
      </c>
      <c r="L91" s="21">
        <f t="shared" si="336"/>
        <v>2404.8668850501526</v>
      </c>
      <c r="M91" s="21">
        <f t="shared" si="336"/>
        <v>2404.8668850501526</v>
      </c>
      <c r="N91" s="21">
        <f t="shared" si="337"/>
        <v>2404.8668850501526</v>
      </c>
      <c r="O91" s="21">
        <f t="shared" si="337"/>
        <v>2404.8668850501526</v>
      </c>
      <c r="P91" s="21">
        <f t="shared" si="337"/>
        <v>2404.8668850501526</v>
      </c>
      <c r="Q91" s="21">
        <f t="shared" si="337"/>
        <v>2404.8668850501526</v>
      </c>
      <c r="R91" s="21">
        <f t="shared" si="337"/>
        <v>2404.8668850501526</v>
      </c>
      <c r="S91" s="21">
        <f t="shared" si="337"/>
        <v>2404.8668850501526</v>
      </c>
      <c r="T91" s="21">
        <f t="shared" si="337"/>
        <v>1524.9408491944328</v>
      </c>
      <c r="U91" s="21">
        <f t="shared" si="337"/>
        <v>2404.8668850501526</v>
      </c>
      <c r="V91" s="21">
        <f t="shared" si="337"/>
        <v>2404.8668850501526</v>
      </c>
      <c r="W91" s="21">
        <f t="shared" si="337"/>
        <v>2404.8668850501526</v>
      </c>
      <c r="X91" s="21">
        <f t="shared" si="337"/>
        <v>1524.9408491944328</v>
      </c>
      <c r="Y91" s="21">
        <f t="shared" si="337"/>
        <v>2404.8668850501526</v>
      </c>
      <c r="Z91" s="21">
        <f t="shared" si="337"/>
        <v>2404.8668850501526</v>
      </c>
      <c r="AA91" s="21">
        <f t="shared" si="337"/>
        <v>2404.8668850501526</v>
      </c>
      <c r="AB91" s="21">
        <f t="shared" si="338"/>
        <v>1524.9408491944328</v>
      </c>
      <c r="AC91" s="21">
        <f t="shared" si="338"/>
        <v>2404.8668850501526</v>
      </c>
      <c r="AD91" s="21">
        <f t="shared" si="338"/>
        <v>2404.8668850501526</v>
      </c>
      <c r="AE91" s="21">
        <f t="shared" si="339"/>
        <v>2404.8668850501526</v>
      </c>
      <c r="AF91" s="21">
        <f t="shared" si="339"/>
        <v>2404.8668850501526</v>
      </c>
      <c r="AG91" s="21">
        <f t="shared" si="340"/>
        <v>2404.8668850501526</v>
      </c>
      <c r="AH91" s="21">
        <f t="shared" si="340"/>
        <v>2404.8668850501526</v>
      </c>
      <c r="AI91" s="21">
        <f t="shared" si="340"/>
        <v>2404.8668850501526</v>
      </c>
      <c r="AJ91" s="21">
        <f t="shared" si="340"/>
        <v>2404.8668850501526</v>
      </c>
      <c r="AK91" s="21">
        <f t="shared" si="340"/>
        <v>2404.8668850501526</v>
      </c>
      <c r="AL91" s="21">
        <f t="shared" si="340"/>
        <v>2404.8668850501526</v>
      </c>
      <c r="AM91" s="21">
        <f t="shared" si="340"/>
        <v>2404.8668850501526</v>
      </c>
      <c r="AN91" s="21">
        <f t="shared" si="340"/>
        <v>2404.8668850501526</v>
      </c>
      <c r="AO91" s="21">
        <f t="shared" si="340"/>
        <v>2404.8668850501526</v>
      </c>
      <c r="AP91" s="21">
        <f t="shared" si="340"/>
        <v>2404.8668850501526</v>
      </c>
      <c r="AQ91" s="21">
        <f t="shared" si="341"/>
        <v>2404.8668850501526</v>
      </c>
      <c r="AR91" s="21">
        <f t="shared" si="341"/>
        <v>2404.8668850501526</v>
      </c>
      <c r="AS91" s="21">
        <f t="shared" si="341"/>
        <v>2404.8668850501526</v>
      </c>
      <c r="AT91" s="21">
        <f t="shared" si="341"/>
        <v>2404.8668850501526</v>
      </c>
      <c r="AU91" s="21">
        <f t="shared" si="341"/>
        <v>1524.9408491944328</v>
      </c>
      <c r="AV91" s="21">
        <f t="shared" si="341"/>
        <v>2404.8668850501526</v>
      </c>
      <c r="AW91" s="21">
        <f t="shared" si="341"/>
        <v>2404.8668850501526</v>
      </c>
      <c r="AX91" s="21">
        <f t="shared" si="341"/>
        <v>2404.8668850501526</v>
      </c>
      <c r="AY91" s="21">
        <f t="shared" si="341"/>
        <v>2404.8668850501526</v>
      </c>
      <c r="AZ91" s="21">
        <f t="shared" si="341"/>
        <v>2404.8668850501526</v>
      </c>
      <c r="BA91" s="21">
        <f t="shared" si="342"/>
        <v>2404.8668850501526</v>
      </c>
      <c r="BB91" s="21">
        <f t="shared" si="342"/>
        <v>2404.8668850501526</v>
      </c>
      <c r="BC91" s="21">
        <f t="shared" si="342"/>
        <v>2404.8668850501526</v>
      </c>
      <c r="BD91" s="21">
        <f t="shared" si="342"/>
        <v>2404.8668850501526</v>
      </c>
      <c r="BE91" s="21">
        <f t="shared" si="342"/>
        <v>2404.8668850501526</v>
      </c>
      <c r="BF91" s="21">
        <f t="shared" si="342"/>
        <v>2404.8668850501526</v>
      </c>
      <c r="BG91" s="21">
        <f t="shared" si="342"/>
        <v>2404.8668850501526</v>
      </c>
      <c r="BH91" s="21">
        <f t="shared" si="342"/>
        <v>2404.8668850501526</v>
      </c>
      <c r="BI91" s="21">
        <f t="shared" si="342"/>
        <v>2404.8668850501526</v>
      </c>
      <c r="BJ91" s="21">
        <f t="shared" si="342"/>
        <v>2404.8668850501526</v>
      </c>
      <c r="BK91" s="21">
        <f t="shared" si="343"/>
        <v>2404.8668850501526</v>
      </c>
      <c r="BL91" s="21">
        <f t="shared" si="343"/>
        <v>2404.8668850501526</v>
      </c>
      <c r="BM91" s="21">
        <f t="shared" si="343"/>
        <v>2404.8668850501526</v>
      </c>
      <c r="BN91" s="21">
        <f t="shared" si="343"/>
        <v>2404.8668850501526</v>
      </c>
      <c r="BO91" s="21">
        <f t="shared" si="343"/>
        <v>2404.8668850501526</v>
      </c>
      <c r="BP91" s="21">
        <f t="shared" si="343"/>
        <v>2404.8668850501526</v>
      </c>
      <c r="BQ91" s="21">
        <f t="shared" si="343"/>
        <v>1524.9408491944328</v>
      </c>
      <c r="BR91" s="21">
        <f t="shared" si="343"/>
        <v>2404.8668850501526</v>
      </c>
      <c r="BS91" s="21">
        <f t="shared" si="343"/>
        <v>2404.8668850501526</v>
      </c>
      <c r="BT91" s="21">
        <f t="shared" si="343"/>
        <v>2404.8668850501526</v>
      </c>
      <c r="BU91" s="21">
        <f t="shared" si="344"/>
        <v>2404.8668850501526</v>
      </c>
      <c r="BV91" s="21">
        <f t="shared" si="344"/>
        <v>2404.8668850501526</v>
      </c>
      <c r="BW91" s="21">
        <f t="shared" si="344"/>
        <v>2404.8668850501526</v>
      </c>
      <c r="BX91" s="21">
        <f t="shared" si="344"/>
        <v>2404.8668850501526</v>
      </c>
      <c r="BY91" s="21">
        <f t="shared" si="344"/>
        <v>2404.8668850501526</v>
      </c>
      <c r="BZ91" s="21">
        <f t="shared" si="344"/>
        <v>1524.9408491944328</v>
      </c>
      <c r="CA91" s="21">
        <f t="shared" si="344"/>
        <v>2404.8668850501526</v>
      </c>
      <c r="CB91" s="21">
        <f t="shared" si="344"/>
        <v>2404.8668850501526</v>
      </c>
      <c r="CC91" s="21">
        <f t="shared" si="344"/>
        <v>2404.8668850501526</v>
      </c>
      <c r="CD91" s="21">
        <f t="shared" si="344"/>
        <v>2404.8668850501526</v>
      </c>
      <c r="CE91" s="21">
        <f t="shared" si="345"/>
        <v>2404.8668850501526</v>
      </c>
      <c r="CF91" s="21">
        <f t="shared" si="345"/>
        <v>2404.8668850501526</v>
      </c>
      <c r="CG91" s="21">
        <f t="shared" si="345"/>
        <v>2404.8668850501526</v>
      </c>
      <c r="CH91" s="21">
        <f t="shared" si="345"/>
        <v>2404.8668850501526</v>
      </c>
      <c r="CI91" s="21">
        <f t="shared" si="345"/>
        <v>2404.8668850501526</v>
      </c>
      <c r="CJ91" s="21">
        <f t="shared" si="345"/>
        <v>2404.8668850501526</v>
      </c>
      <c r="CK91" s="21">
        <f t="shared" si="345"/>
        <v>2404.8668850501526</v>
      </c>
      <c r="CL91" s="21">
        <f t="shared" si="345"/>
        <v>2404.8668850501526</v>
      </c>
      <c r="CM91" s="21">
        <f t="shared" si="345"/>
        <v>2404.8668850501526</v>
      </c>
      <c r="CN91" s="21">
        <f t="shared" si="345"/>
        <v>2404.8668850501526</v>
      </c>
      <c r="CO91" s="21">
        <f t="shared" si="346"/>
        <v>2404.8668850501526</v>
      </c>
      <c r="CP91" s="21">
        <f t="shared" si="346"/>
        <v>2404.8668850501526</v>
      </c>
      <c r="CQ91" s="21">
        <f t="shared" si="346"/>
        <v>2404.8668850501526</v>
      </c>
      <c r="CR91" s="21">
        <f t="shared" si="346"/>
        <v>2404.8668850501526</v>
      </c>
      <c r="CS91" s="21">
        <f t="shared" si="346"/>
        <v>2404.8668850501526</v>
      </c>
      <c r="CT91" s="21">
        <f t="shared" si="346"/>
        <v>2404.8668850501526</v>
      </c>
      <c r="CU91" s="21">
        <f t="shared" si="346"/>
        <v>2404.8668850501526</v>
      </c>
      <c r="CV91" s="21">
        <f t="shared" si="346"/>
        <v>2404.8668850501526</v>
      </c>
      <c r="CW91" s="21">
        <f t="shared" si="346"/>
        <v>2404.8668850501526</v>
      </c>
      <c r="CX91" s="21">
        <f t="shared" si="346"/>
        <v>2404.8668850501526</v>
      </c>
      <c r="CY91" s="21">
        <f t="shared" si="347"/>
        <v>2404.8668850501526</v>
      </c>
      <c r="CZ91" s="21">
        <f t="shared" si="347"/>
        <v>2404.8668850501526</v>
      </c>
      <c r="DA91" s="21">
        <f t="shared" si="347"/>
        <v>2404.8668850501526</v>
      </c>
      <c r="DB91" s="21">
        <f t="shared" si="347"/>
        <v>2404.8668850501526</v>
      </c>
      <c r="DC91" s="21">
        <f t="shared" si="347"/>
        <v>2404.8668850501526</v>
      </c>
      <c r="DD91" s="21">
        <f t="shared" si="347"/>
        <v>2404.8668850501526</v>
      </c>
      <c r="DE91" s="21">
        <f t="shared" si="347"/>
        <v>2404.8668850501526</v>
      </c>
      <c r="DF91" s="21">
        <f t="shared" si="347"/>
        <v>2404.8668850501526</v>
      </c>
      <c r="DH91" s="21">
        <f t="shared" si="348"/>
        <v>2404.8668850501526</v>
      </c>
      <c r="DI91" s="21">
        <f t="shared" si="348"/>
        <v>2404.8668850501526</v>
      </c>
      <c r="DJ91" s="21">
        <f t="shared" si="348"/>
        <v>2404.8668850501526</v>
      </c>
      <c r="DK91" s="21">
        <f t="shared" si="348"/>
        <v>2404.8668850501526</v>
      </c>
      <c r="DL91" s="21">
        <f t="shared" si="348"/>
        <v>2404.8668850501526</v>
      </c>
      <c r="DM91" s="21">
        <f t="shared" si="348"/>
        <v>2404.8668850501526</v>
      </c>
      <c r="DN91" s="21">
        <f t="shared" si="348"/>
        <v>2404.8668850501526</v>
      </c>
      <c r="DO91" s="21">
        <f t="shared" si="348"/>
        <v>2404.8668850501526</v>
      </c>
      <c r="DP91" s="21">
        <f t="shared" si="348"/>
        <v>2404.8668850501526</v>
      </c>
      <c r="DQ91" s="21">
        <f t="shared" si="348"/>
        <v>2404.8668850501526</v>
      </c>
      <c r="DR91" s="21">
        <f t="shared" si="348"/>
        <v>2404.8668850501526</v>
      </c>
      <c r="DS91" s="21">
        <f t="shared" si="349"/>
        <v>2404.8668850501526</v>
      </c>
      <c r="DT91" s="21">
        <f t="shared" si="349"/>
        <v>2404.8668850501526</v>
      </c>
      <c r="DU91" s="21">
        <f t="shared" si="349"/>
        <v>2404.8668850501526</v>
      </c>
      <c r="DV91" s="21">
        <f t="shared" si="349"/>
        <v>2404.8668850501526</v>
      </c>
      <c r="DW91" s="21">
        <f t="shared" si="349"/>
        <v>2404.8668850501526</v>
      </c>
      <c r="DX91" s="21">
        <f t="shared" si="350"/>
        <v>2404.8668850501526</v>
      </c>
      <c r="DY91" s="21">
        <f t="shared" si="350"/>
        <v>2404.8668850501526</v>
      </c>
      <c r="DZ91" s="21">
        <f t="shared" si="350"/>
        <v>2404.8668850501526</v>
      </c>
      <c r="EA91" s="21">
        <f t="shared" si="350"/>
        <v>2404.8668850501526</v>
      </c>
      <c r="EB91" s="21">
        <f t="shared" si="350"/>
        <v>2404.8668850501526</v>
      </c>
      <c r="EC91" s="21">
        <f t="shared" si="350"/>
        <v>2404.8668850501526</v>
      </c>
      <c r="ED91" s="21">
        <f t="shared" si="351"/>
        <v>2404.8668850501526</v>
      </c>
      <c r="EH91" s="21" t="str">
        <f t="shared" si="352"/>
        <v>Final Average Wrought Aluminum Product: Combined</v>
      </c>
      <c r="EI91" s="70">
        <f>[7]W.Al!$R$184/1000</f>
        <v>2404.8668850501526</v>
      </c>
      <c r="EJ91" s="70">
        <f>[5]W.Al!$R$184/1000</f>
        <v>1524.9408491944328</v>
      </c>
    </row>
    <row r="92" spans="1:154" x14ac:dyDescent="0.3">
      <c r="A92" s="21" t="s">
        <v>139</v>
      </c>
      <c r="D92" s="21">
        <f t="shared" si="336"/>
        <v>20306.047918456588</v>
      </c>
      <c r="E92" s="21">
        <f t="shared" si="336"/>
        <v>20306.047918456588</v>
      </c>
      <c r="F92" s="21">
        <f t="shared" si="336"/>
        <v>8173.5891642277047</v>
      </c>
      <c r="G92" s="21">
        <f t="shared" si="336"/>
        <v>20306.047918456588</v>
      </c>
      <c r="H92" s="21">
        <f t="shared" si="336"/>
        <v>20306.047918456588</v>
      </c>
      <c r="I92" s="21">
        <f t="shared" si="336"/>
        <v>20306.047918456588</v>
      </c>
      <c r="J92" s="21">
        <f t="shared" si="336"/>
        <v>20306.047918456588</v>
      </c>
      <c r="K92" s="21">
        <f t="shared" si="336"/>
        <v>20306.047918456588</v>
      </c>
      <c r="L92" s="21">
        <f t="shared" si="336"/>
        <v>20306.047918456588</v>
      </c>
      <c r="M92" s="21">
        <f t="shared" si="336"/>
        <v>20306.047918456588</v>
      </c>
      <c r="N92" s="21">
        <f t="shared" si="337"/>
        <v>20306.047918456588</v>
      </c>
      <c r="O92" s="21">
        <f t="shared" si="337"/>
        <v>20306.047918456588</v>
      </c>
      <c r="P92" s="21">
        <f t="shared" si="337"/>
        <v>20306.047918456588</v>
      </c>
      <c r="Q92" s="21">
        <f t="shared" si="337"/>
        <v>20306.047918456588</v>
      </c>
      <c r="R92" s="21">
        <f t="shared" si="337"/>
        <v>20306.047918456588</v>
      </c>
      <c r="S92" s="21">
        <f t="shared" si="337"/>
        <v>20306.047918456588</v>
      </c>
      <c r="T92" s="21">
        <f t="shared" si="337"/>
        <v>8173.5891642277047</v>
      </c>
      <c r="U92" s="21">
        <f t="shared" si="337"/>
        <v>20306.047918456588</v>
      </c>
      <c r="V92" s="21">
        <f t="shared" si="337"/>
        <v>20306.047918456588</v>
      </c>
      <c r="W92" s="21">
        <f t="shared" si="337"/>
        <v>20306.047918456588</v>
      </c>
      <c r="X92" s="21">
        <f t="shared" si="337"/>
        <v>8173.5891642277047</v>
      </c>
      <c r="Y92" s="21">
        <f t="shared" si="337"/>
        <v>20306.047918456588</v>
      </c>
      <c r="Z92" s="21">
        <f t="shared" si="337"/>
        <v>20306.047918456588</v>
      </c>
      <c r="AA92" s="21">
        <f t="shared" si="337"/>
        <v>20306.047918456588</v>
      </c>
      <c r="AB92" s="21">
        <f t="shared" si="338"/>
        <v>8173.5891642277047</v>
      </c>
      <c r="AC92" s="21">
        <f t="shared" si="338"/>
        <v>20306.047918456588</v>
      </c>
      <c r="AD92" s="21">
        <f t="shared" si="338"/>
        <v>20306.047918456588</v>
      </c>
      <c r="AE92" s="21">
        <f t="shared" si="339"/>
        <v>20306.047918456588</v>
      </c>
      <c r="AF92" s="21">
        <f t="shared" si="339"/>
        <v>20306.047918456588</v>
      </c>
      <c r="AG92" s="21">
        <f t="shared" si="340"/>
        <v>20306.047918456588</v>
      </c>
      <c r="AH92" s="21">
        <f t="shared" si="340"/>
        <v>20306.047918456588</v>
      </c>
      <c r="AI92" s="21">
        <f t="shared" si="340"/>
        <v>20306.047918456588</v>
      </c>
      <c r="AJ92" s="21">
        <f t="shared" si="340"/>
        <v>20306.047918456588</v>
      </c>
      <c r="AK92" s="21">
        <f t="shared" si="340"/>
        <v>20306.047918456588</v>
      </c>
      <c r="AL92" s="21">
        <f t="shared" si="340"/>
        <v>20306.047918456588</v>
      </c>
      <c r="AM92" s="21">
        <f t="shared" si="340"/>
        <v>20306.047918456588</v>
      </c>
      <c r="AN92" s="21">
        <f t="shared" si="340"/>
        <v>20306.047918456588</v>
      </c>
      <c r="AO92" s="21">
        <f t="shared" si="340"/>
        <v>20306.047918456588</v>
      </c>
      <c r="AP92" s="21">
        <f t="shared" si="340"/>
        <v>20306.047918456588</v>
      </c>
      <c r="AQ92" s="21">
        <f t="shared" si="341"/>
        <v>20306.047918456588</v>
      </c>
      <c r="AR92" s="21">
        <f t="shared" si="341"/>
        <v>20306.047918456588</v>
      </c>
      <c r="AS92" s="21">
        <f t="shared" si="341"/>
        <v>20306.047918456588</v>
      </c>
      <c r="AT92" s="21">
        <f t="shared" si="341"/>
        <v>20306.047918456588</v>
      </c>
      <c r="AU92" s="21">
        <f t="shared" si="341"/>
        <v>8173.5891642277047</v>
      </c>
      <c r="AV92" s="21">
        <f t="shared" si="341"/>
        <v>20306.047918456588</v>
      </c>
      <c r="AW92" s="21">
        <f t="shared" si="341"/>
        <v>20306.047918456588</v>
      </c>
      <c r="AX92" s="21">
        <f t="shared" si="341"/>
        <v>20306.047918456588</v>
      </c>
      <c r="AY92" s="21">
        <f t="shared" si="341"/>
        <v>20306.047918456588</v>
      </c>
      <c r="AZ92" s="21">
        <f t="shared" si="341"/>
        <v>20306.047918456588</v>
      </c>
      <c r="BA92" s="21">
        <f t="shared" si="342"/>
        <v>20306.047918456588</v>
      </c>
      <c r="BB92" s="21">
        <f t="shared" si="342"/>
        <v>20306.047918456588</v>
      </c>
      <c r="BC92" s="21">
        <f t="shared" si="342"/>
        <v>20306.047918456588</v>
      </c>
      <c r="BD92" s="21">
        <f t="shared" si="342"/>
        <v>20306.047918456588</v>
      </c>
      <c r="BE92" s="21">
        <f t="shared" si="342"/>
        <v>20306.047918456588</v>
      </c>
      <c r="BF92" s="21">
        <f t="shared" si="342"/>
        <v>20306.047918456588</v>
      </c>
      <c r="BG92" s="21">
        <f t="shared" si="342"/>
        <v>20306.047918456588</v>
      </c>
      <c r="BH92" s="21">
        <f t="shared" si="342"/>
        <v>20306.047918456588</v>
      </c>
      <c r="BI92" s="21">
        <f t="shared" si="342"/>
        <v>20306.047918456588</v>
      </c>
      <c r="BJ92" s="21">
        <f t="shared" si="342"/>
        <v>20306.047918456588</v>
      </c>
      <c r="BK92" s="21">
        <f t="shared" si="343"/>
        <v>20306.047918456588</v>
      </c>
      <c r="BL92" s="21">
        <f t="shared" si="343"/>
        <v>20306.047918456588</v>
      </c>
      <c r="BM92" s="21">
        <f t="shared" si="343"/>
        <v>20306.047918456588</v>
      </c>
      <c r="BN92" s="21">
        <f t="shared" si="343"/>
        <v>20306.047918456588</v>
      </c>
      <c r="BO92" s="21">
        <f t="shared" si="343"/>
        <v>20306.047918456588</v>
      </c>
      <c r="BP92" s="21">
        <f t="shared" si="343"/>
        <v>20306.047918456588</v>
      </c>
      <c r="BQ92" s="21">
        <f t="shared" si="343"/>
        <v>8173.5891642277047</v>
      </c>
      <c r="BR92" s="21">
        <f t="shared" si="343"/>
        <v>20306.047918456588</v>
      </c>
      <c r="BS92" s="21">
        <f t="shared" si="343"/>
        <v>20306.047918456588</v>
      </c>
      <c r="BT92" s="21">
        <f t="shared" si="343"/>
        <v>20306.047918456588</v>
      </c>
      <c r="BU92" s="21">
        <f t="shared" si="344"/>
        <v>20306.047918456588</v>
      </c>
      <c r="BV92" s="21">
        <f t="shared" si="344"/>
        <v>20306.047918456588</v>
      </c>
      <c r="BW92" s="21">
        <f t="shared" si="344"/>
        <v>20306.047918456588</v>
      </c>
      <c r="BX92" s="21">
        <f t="shared" si="344"/>
        <v>20306.047918456588</v>
      </c>
      <c r="BY92" s="21">
        <f t="shared" si="344"/>
        <v>20306.047918456588</v>
      </c>
      <c r="BZ92" s="21">
        <f t="shared" si="344"/>
        <v>8173.5891642277047</v>
      </c>
      <c r="CA92" s="21">
        <f t="shared" si="344"/>
        <v>20306.047918456588</v>
      </c>
      <c r="CB92" s="21">
        <f t="shared" si="344"/>
        <v>20306.047918456588</v>
      </c>
      <c r="CC92" s="21">
        <f t="shared" si="344"/>
        <v>20306.047918456588</v>
      </c>
      <c r="CD92" s="21">
        <f t="shared" si="344"/>
        <v>20306.047918456588</v>
      </c>
      <c r="CE92" s="21">
        <f t="shared" si="345"/>
        <v>20306.047918456588</v>
      </c>
      <c r="CF92" s="21">
        <f t="shared" si="345"/>
        <v>20306.047918456588</v>
      </c>
      <c r="CG92" s="21">
        <f t="shared" si="345"/>
        <v>20306.047918456588</v>
      </c>
      <c r="CH92" s="21">
        <f t="shared" si="345"/>
        <v>20306.047918456588</v>
      </c>
      <c r="CI92" s="21">
        <f t="shared" si="345"/>
        <v>20306.047918456588</v>
      </c>
      <c r="CJ92" s="21">
        <f t="shared" si="345"/>
        <v>20306.047918456588</v>
      </c>
      <c r="CK92" s="21">
        <f t="shared" si="345"/>
        <v>20306.047918456588</v>
      </c>
      <c r="CL92" s="21">
        <f t="shared" si="345"/>
        <v>20306.047918456588</v>
      </c>
      <c r="CM92" s="21">
        <f t="shared" si="345"/>
        <v>20306.047918456588</v>
      </c>
      <c r="CN92" s="21">
        <f t="shared" si="345"/>
        <v>20306.047918456588</v>
      </c>
      <c r="CO92" s="21">
        <f t="shared" si="346"/>
        <v>20306.047918456588</v>
      </c>
      <c r="CP92" s="21">
        <f t="shared" si="346"/>
        <v>20306.047918456588</v>
      </c>
      <c r="CQ92" s="21">
        <f t="shared" si="346"/>
        <v>20306.047918456588</v>
      </c>
      <c r="CR92" s="21">
        <f t="shared" si="346"/>
        <v>20306.047918456588</v>
      </c>
      <c r="CS92" s="21">
        <f t="shared" si="346"/>
        <v>20306.047918456588</v>
      </c>
      <c r="CT92" s="21">
        <f t="shared" si="346"/>
        <v>20306.047918456588</v>
      </c>
      <c r="CU92" s="21">
        <f t="shared" si="346"/>
        <v>20306.047918456588</v>
      </c>
      <c r="CV92" s="21">
        <f t="shared" si="346"/>
        <v>20306.047918456588</v>
      </c>
      <c r="CW92" s="21">
        <f t="shared" si="346"/>
        <v>20306.047918456588</v>
      </c>
      <c r="CX92" s="21">
        <f t="shared" si="346"/>
        <v>20306.047918456588</v>
      </c>
      <c r="CY92" s="21">
        <f t="shared" si="347"/>
        <v>20306.047918456588</v>
      </c>
      <c r="CZ92" s="21">
        <f t="shared" si="347"/>
        <v>20306.047918456588</v>
      </c>
      <c r="DA92" s="21">
        <f t="shared" si="347"/>
        <v>20306.047918456588</v>
      </c>
      <c r="DB92" s="21">
        <f t="shared" si="347"/>
        <v>20306.047918456588</v>
      </c>
      <c r="DC92" s="21">
        <f t="shared" si="347"/>
        <v>20306.047918456588</v>
      </c>
      <c r="DD92" s="21">
        <f t="shared" si="347"/>
        <v>20306.047918456588</v>
      </c>
      <c r="DE92" s="21">
        <f t="shared" si="347"/>
        <v>20306.047918456588</v>
      </c>
      <c r="DF92" s="21">
        <f t="shared" si="347"/>
        <v>20306.047918456588</v>
      </c>
      <c r="DH92" s="21">
        <f t="shared" si="348"/>
        <v>20306.047918456588</v>
      </c>
      <c r="DI92" s="21">
        <f t="shared" si="348"/>
        <v>20306.047918456588</v>
      </c>
      <c r="DJ92" s="21">
        <f t="shared" si="348"/>
        <v>20306.047918456588</v>
      </c>
      <c r="DK92" s="21">
        <f t="shared" si="348"/>
        <v>20306.047918456588</v>
      </c>
      <c r="DL92" s="21">
        <f t="shared" si="348"/>
        <v>20306.047918456588</v>
      </c>
      <c r="DM92" s="21">
        <f t="shared" si="348"/>
        <v>20306.047918456588</v>
      </c>
      <c r="DN92" s="21">
        <f t="shared" si="348"/>
        <v>20306.047918456588</v>
      </c>
      <c r="DO92" s="21">
        <f t="shared" si="348"/>
        <v>20306.047918456588</v>
      </c>
      <c r="DP92" s="21">
        <f t="shared" si="348"/>
        <v>20306.047918456588</v>
      </c>
      <c r="DQ92" s="21">
        <f t="shared" si="348"/>
        <v>20306.047918456588</v>
      </c>
      <c r="DR92" s="21">
        <f t="shared" si="348"/>
        <v>20306.047918456588</v>
      </c>
      <c r="DS92" s="21">
        <f t="shared" si="349"/>
        <v>20306.047918456588</v>
      </c>
      <c r="DT92" s="21">
        <f t="shared" si="349"/>
        <v>20306.047918456588</v>
      </c>
      <c r="DU92" s="21">
        <f t="shared" si="349"/>
        <v>20306.047918456588</v>
      </c>
      <c r="DV92" s="21">
        <f t="shared" si="349"/>
        <v>20306.047918456588</v>
      </c>
      <c r="DW92" s="21">
        <f t="shared" si="349"/>
        <v>20306.047918456588</v>
      </c>
      <c r="DX92" s="21">
        <f t="shared" si="350"/>
        <v>20306.047918456588</v>
      </c>
      <c r="DY92" s="21">
        <f t="shared" si="350"/>
        <v>20306.047918456588</v>
      </c>
      <c r="DZ92" s="21">
        <f t="shared" si="350"/>
        <v>20306.047918456588</v>
      </c>
      <c r="EA92" s="21">
        <f t="shared" si="350"/>
        <v>20306.047918456588</v>
      </c>
      <c r="EB92" s="21">
        <f t="shared" si="350"/>
        <v>20306.047918456588</v>
      </c>
      <c r="EC92" s="21">
        <f t="shared" si="350"/>
        <v>20306.047918456588</v>
      </c>
      <c r="ED92" s="21">
        <f t="shared" si="351"/>
        <v>20306.047918456588</v>
      </c>
      <c r="EH92" s="21" t="str">
        <f t="shared" si="352"/>
        <v>Final Shape Cast Aluminum Product: Combined</v>
      </c>
      <c r="EI92" s="70">
        <f>'[7]C.Al'!$I$136/1000</f>
        <v>20306.047918456588</v>
      </c>
      <c r="EJ92" s="70">
        <f>'[5]C.Al'!$I$136/1000</f>
        <v>8173.5891642277047</v>
      </c>
    </row>
    <row r="93" spans="1:154" x14ac:dyDescent="0.3">
      <c r="A93" s="21" t="s">
        <v>140</v>
      </c>
      <c r="D93" s="21">
        <f t="shared" si="336"/>
        <v>2711.9815823569807</v>
      </c>
      <c r="E93" s="21">
        <f t="shared" si="336"/>
        <v>2711.9815823569807</v>
      </c>
      <c r="F93" s="21">
        <f t="shared" si="336"/>
        <v>1742.3154416051198</v>
      </c>
      <c r="G93" s="21">
        <f t="shared" si="336"/>
        <v>2711.9815823569807</v>
      </c>
      <c r="H93" s="21">
        <f t="shared" si="336"/>
        <v>2711.9815823569807</v>
      </c>
      <c r="I93" s="21">
        <f t="shared" si="336"/>
        <v>2711.9815823569807</v>
      </c>
      <c r="J93" s="21">
        <f t="shared" si="336"/>
        <v>2711.9815823569807</v>
      </c>
      <c r="K93" s="21">
        <f t="shared" si="336"/>
        <v>2711.9815823569807</v>
      </c>
      <c r="L93" s="21">
        <f t="shared" si="336"/>
        <v>2711.9815823569807</v>
      </c>
      <c r="M93" s="21">
        <f t="shared" si="336"/>
        <v>2711.9815823569807</v>
      </c>
      <c r="N93" s="21">
        <f t="shared" si="337"/>
        <v>2711.9815823569807</v>
      </c>
      <c r="O93" s="21">
        <f t="shared" si="337"/>
        <v>2711.9815823569807</v>
      </c>
      <c r="P93" s="21">
        <f t="shared" si="337"/>
        <v>2711.9815823569807</v>
      </c>
      <c r="Q93" s="21">
        <f t="shared" si="337"/>
        <v>2711.9815823569807</v>
      </c>
      <c r="R93" s="21">
        <f t="shared" si="337"/>
        <v>2711.9815823569807</v>
      </c>
      <c r="S93" s="21">
        <f t="shared" si="337"/>
        <v>2711.9815823569807</v>
      </c>
      <c r="T93" s="21">
        <f t="shared" si="337"/>
        <v>1742.3154416051198</v>
      </c>
      <c r="U93" s="21">
        <f t="shared" si="337"/>
        <v>2711.9815823569807</v>
      </c>
      <c r="V93" s="21">
        <f t="shared" si="337"/>
        <v>2711.9815823569807</v>
      </c>
      <c r="W93" s="21">
        <f t="shared" si="337"/>
        <v>2711.9815823569807</v>
      </c>
      <c r="X93" s="21">
        <f t="shared" si="337"/>
        <v>1742.3154416051198</v>
      </c>
      <c r="Y93" s="21">
        <f t="shared" si="337"/>
        <v>2711.9815823569807</v>
      </c>
      <c r="Z93" s="21">
        <f t="shared" si="337"/>
        <v>2711.9815823569807</v>
      </c>
      <c r="AA93" s="21">
        <f t="shared" si="337"/>
        <v>2711.9815823569807</v>
      </c>
      <c r="AB93" s="21">
        <f t="shared" si="338"/>
        <v>1742.3154416051198</v>
      </c>
      <c r="AC93" s="21">
        <f t="shared" si="338"/>
        <v>2711.9815823569807</v>
      </c>
      <c r="AD93" s="21">
        <f t="shared" si="338"/>
        <v>2711.9815823569807</v>
      </c>
      <c r="AE93" s="21">
        <f t="shared" si="339"/>
        <v>2711.9815823569807</v>
      </c>
      <c r="AF93" s="21">
        <f t="shared" si="339"/>
        <v>2711.9815823569807</v>
      </c>
      <c r="AG93" s="21">
        <f t="shared" si="340"/>
        <v>2711.9815823569807</v>
      </c>
      <c r="AH93" s="21">
        <f t="shared" si="340"/>
        <v>2711.9815823569807</v>
      </c>
      <c r="AI93" s="21">
        <f t="shared" si="340"/>
        <v>2711.9815823569807</v>
      </c>
      <c r="AJ93" s="21">
        <f t="shared" si="340"/>
        <v>2711.9815823569807</v>
      </c>
      <c r="AK93" s="21">
        <f t="shared" si="340"/>
        <v>2711.9815823569807</v>
      </c>
      <c r="AL93" s="21">
        <f t="shared" si="340"/>
        <v>2711.9815823569807</v>
      </c>
      <c r="AM93" s="21">
        <f t="shared" si="340"/>
        <v>2711.9815823569807</v>
      </c>
      <c r="AN93" s="21">
        <f t="shared" si="340"/>
        <v>2711.9815823569807</v>
      </c>
      <c r="AO93" s="21">
        <f t="shared" si="340"/>
        <v>2711.9815823569807</v>
      </c>
      <c r="AP93" s="21">
        <f t="shared" si="340"/>
        <v>2711.9815823569807</v>
      </c>
      <c r="AQ93" s="21">
        <f t="shared" si="341"/>
        <v>2711.9815823569807</v>
      </c>
      <c r="AR93" s="21">
        <f t="shared" si="341"/>
        <v>2711.9815823569807</v>
      </c>
      <c r="AS93" s="21">
        <f t="shared" si="341"/>
        <v>2711.9815823569807</v>
      </c>
      <c r="AT93" s="21">
        <f t="shared" si="341"/>
        <v>2711.9815823569807</v>
      </c>
      <c r="AU93" s="21">
        <f t="shared" si="341"/>
        <v>1742.3154416051198</v>
      </c>
      <c r="AV93" s="21">
        <f t="shared" si="341"/>
        <v>2711.9815823569807</v>
      </c>
      <c r="AW93" s="21">
        <f t="shared" si="341"/>
        <v>2711.9815823569807</v>
      </c>
      <c r="AX93" s="21">
        <f t="shared" si="341"/>
        <v>2711.9815823569807</v>
      </c>
      <c r="AY93" s="21">
        <f t="shared" si="341"/>
        <v>2711.9815823569807</v>
      </c>
      <c r="AZ93" s="21">
        <f t="shared" si="341"/>
        <v>2711.9815823569807</v>
      </c>
      <c r="BA93" s="21">
        <f t="shared" si="342"/>
        <v>2711.9815823569807</v>
      </c>
      <c r="BB93" s="21">
        <f t="shared" si="342"/>
        <v>2711.9815823569807</v>
      </c>
      <c r="BC93" s="21">
        <f t="shared" si="342"/>
        <v>2711.9815823569807</v>
      </c>
      <c r="BD93" s="21">
        <f t="shared" si="342"/>
        <v>2711.9815823569807</v>
      </c>
      <c r="BE93" s="21">
        <f t="shared" si="342"/>
        <v>2711.9815823569807</v>
      </c>
      <c r="BF93" s="21">
        <f t="shared" si="342"/>
        <v>2711.9815823569807</v>
      </c>
      <c r="BG93" s="21">
        <f t="shared" si="342"/>
        <v>2711.9815823569807</v>
      </c>
      <c r="BH93" s="21">
        <f t="shared" si="342"/>
        <v>2711.9815823569807</v>
      </c>
      <c r="BI93" s="21">
        <f t="shared" si="342"/>
        <v>2711.9815823569807</v>
      </c>
      <c r="BJ93" s="21">
        <f t="shared" si="342"/>
        <v>2711.9815823569807</v>
      </c>
      <c r="BK93" s="21">
        <f t="shared" si="343"/>
        <v>2711.9815823569807</v>
      </c>
      <c r="BL93" s="21">
        <f t="shared" si="343"/>
        <v>2711.9815823569807</v>
      </c>
      <c r="BM93" s="21">
        <f t="shared" si="343"/>
        <v>2711.9815823569807</v>
      </c>
      <c r="BN93" s="21">
        <f t="shared" si="343"/>
        <v>2711.9815823569807</v>
      </c>
      <c r="BO93" s="21">
        <f t="shared" si="343"/>
        <v>2711.9815823569807</v>
      </c>
      <c r="BP93" s="21">
        <f t="shared" si="343"/>
        <v>2711.9815823569807</v>
      </c>
      <c r="BQ93" s="21">
        <f t="shared" si="343"/>
        <v>1742.3154416051198</v>
      </c>
      <c r="BR93" s="21">
        <f t="shared" si="343"/>
        <v>2711.9815823569807</v>
      </c>
      <c r="BS93" s="21">
        <f t="shared" si="343"/>
        <v>2711.9815823569807</v>
      </c>
      <c r="BT93" s="21">
        <f t="shared" si="343"/>
        <v>2711.9815823569807</v>
      </c>
      <c r="BU93" s="21">
        <f t="shared" si="344"/>
        <v>2711.9815823569807</v>
      </c>
      <c r="BV93" s="21">
        <f t="shared" si="344"/>
        <v>2711.9815823569807</v>
      </c>
      <c r="BW93" s="21">
        <f t="shared" si="344"/>
        <v>2711.9815823569807</v>
      </c>
      <c r="BX93" s="21">
        <f t="shared" si="344"/>
        <v>2711.9815823569807</v>
      </c>
      <c r="BY93" s="21">
        <f t="shared" si="344"/>
        <v>2711.9815823569807</v>
      </c>
      <c r="BZ93" s="21">
        <f t="shared" si="344"/>
        <v>1742.3154416051198</v>
      </c>
      <c r="CA93" s="21">
        <f t="shared" si="344"/>
        <v>2711.9815823569807</v>
      </c>
      <c r="CB93" s="21">
        <f t="shared" si="344"/>
        <v>2711.9815823569807</v>
      </c>
      <c r="CC93" s="21">
        <f t="shared" si="344"/>
        <v>2711.9815823569807</v>
      </c>
      <c r="CD93" s="21">
        <f t="shared" si="344"/>
        <v>2711.9815823569807</v>
      </c>
      <c r="CE93" s="21">
        <f t="shared" si="345"/>
        <v>2711.9815823569807</v>
      </c>
      <c r="CF93" s="21">
        <f t="shared" si="345"/>
        <v>2711.9815823569807</v>
      </c>
      <c r="CG93" s="21">
        <f t="shared" si="345"/>
        <v>2711.9815823569807</v>
      </c>
      <c r="CH93" s="21">
        <f t="shared" si="345"/>
        <v>2711.9815823569807</v>
      </c>
      <c r="CI93" s="21">
        <f t="shared" si="345"/>
        <v>2711.9815823569807</v>
      </c>
      <c r="CJ93" s="21">
        <f t="shared" si="345"/>
        <v>2711.9815823569807</v>
      </c>
      <c r="CK93" s="21">
        <f t="shared" si="345"/>
        <v>2711.9815823569807</v>
      </c>
      <c r="CL93" s="21">
        <f t="shared" si="345"/>
        <v>2711.9815823569807</v>
      </c>
      <c r="CM93" s="21">
        <f t="shared" si="345"/>
        <v>2711.9815823569807</v>
      </c>
      <c r="CN93" s="21">
        <f t="shared" si="345"/>
        <v>2711.9815823569807</v>
      </c>
      <c r="CO93" s="21">
        <f t="shared" si="346"/>
        <v>2711.9815823569807</v>
      </c>
      <c r="CP93" s="21">
        <f t="shared" si="346"/>
        <v>2711.9815823569807</v>
      </c>
      <c r="CQ93" s="21">
        <f t="shared" si="346"/>
        <v>2711.9815823569807</v>
      </c>
      <c r="CR93" s="21">
        <f t="shared" si="346"/>
        <v>2711.9815823569807</v>
      </c>
      <c r="CS93" s="21">
        <f t="shared" si="346"/>
        <v>2711.9815823569807</v>
      </c>
      <c r="CT93" s="21">
        <f t="shared" si="346"/>
        <v>2711.9815823569807</v>
      </c>
      <c r="CU93" s="21">
        <f t="shared" si="346"/>
        <v>2711.9815823569807</v>
      </c>
      <c r="CV93" s="21">
        <f t="shared" si="346"/>
        <v>2711.9815823569807</v>
      </c>
      <c r="CW93" s="21">
        <f t="shared" si="346"/>
        <v>2711.9815823569807</v>
      </c>
      <c r="CX93" s="21">
        <f t="shared" si="346"/>
        <v>2711.9815823569807</v>
      </c>
      <c r="CY93" s="21">
        <f t="shared" si="347"/>
        <v>2711.9815823569807</v>
      </c>
      <c r="CZ93" s="21">
        <f t="shared" si="347"/>
        <v>2711.9815823569807</v>
      </c>
      <c r="DA93" s="21">
        <f t="shared" si="347"/>
        <v>2711.9815823569807</v>
      </c>
      <c r="DB93" s="21">
        <f t="shared" si="347"/>
        <v>2711.9815823569807</v>
      </c>
      <c r="DC93" s="21">
        <f t="shared" si="347"/>
        <v>2711.9815823569807</v>
      </c>
      <c r="DD93" s="21">
        <f t="shared" si="347"/>
        <v>2711.9815823569807</v>
      </c>
      <c r="DE93" s="21">
        <f t="shared" si="347"/>
        <v>2711.9815823569807</v>
      </c>
      <c r="DF93" s="21">
        <f t="shared" si="347"/>
        <v>2711.9815823569807</v>
      </c>
      <c r="DH93" s="21">
        <f t="shared" si="348"/>
        <v>2711.9815823569807</v>
      </c>
      <c r="DI93" s="21">
        <f t="shared" si="348"/>
        <v>2711.9815823569807</v>
      </c>
      <c r="DJ93" s="21">
        <f t="shared" si="348"/>
        <v>2711.9815823569807</v>
      </c>
      <c r="DK93" s="21">
        <f t="shared" si="348"/>
        <v>2711.9815823569807</v>
      </c>
      <c r="DL93" s="21">
        <f t="shared" si="348"/>
        <v>2711.9815823569807</v>
      </c>
      <c r="DM93" s="21">
        <f t="shared" si="348"/>
        <v>2711.9815823569807</v>
      </c>
      <c r="DN93" s="21">
        <f t="shared" si="348"/>
        <v>2711.9815823569807</v>
      </c>
      <c r="DO93" s="21">
        <f t="shared" si="348"/>
        <v>2711.9815823569807</v>
      </c>
      <c r="DP93" s="21">
        <f t="shared" si="348"/>
        <v>2711.9815823569807</v>
      </c>
      <c r="DQ93" s="21">
        <f t="shared" si="348"/>
        <v>2711.9815823569807</v>
      </c>
      <c r="DR93" s="21">
        <f t="shared" si="348"/>
        <v>2711.9815823569807</v>
      </c>
      <c r="DS93" s="21">
        <f t="shared" si="349"/>
        <v>2711.9815823569807</v>
      </c>
      <c r="DT93" s="21">
        <f t="shared" si="349"/>
        <v>2711.9815823569807</v>
      </c>
      <c r="DU93" s="21">
        <f t="shared" si="349"/>
        <v>2711.9815823569807</v>
      </c>
      <c r="DV93" s="21">
        <f t="shared" si="349"/>
        <v>2711.9815823569807</v>
      </c>
      <c r="DW93" s="21">
        <f t="shared" si="349"/>
        <v>2711.9815823569807</v>
      </c>
      <c r="DX93" s="21">
        <f t="shared" si="350"/>
        <v>2711.9815823569807</v>
      </c>
      <c r="DY93" s="21">
        <f t="shared" si="350"/>
        <v>2711.9815823569807</v>
      </c>
      <c r="DZ93" s="21">
        <f t="shared" si="350"/>
        <v>2711.9815823569807</v>
      </c>
      <c r="EA93" s="21">
        <f t="shared" si="350"/>
        <v>2711.9815823569807</v>
      </c>
      <c r="EB93" s="21">
        <f t="shared" si="350"/>
        <v>2711.9815823569807</v>
      </c>
      <c r="EC93" s="21">
        <f t="shared" si="350"/>
        <v>2711.9815823569807</v>
      </c>
      <c r="ED93" s="21">
        <f t="shared" si="351"/>
        <v>2711.9815823569807</v>
      </c>
      <c r="EH93" s="21" t="str">
        <f t="shared" si="352"/>
        <v>Final Shape Cast Aluminum Product: Combined</v>
      </c>
      <c r="EI93" s="70">
        <f>'[7]C.Al'!$F$172/1000</f>
        <v>2711.9815823569807</v>
      </c>
      <c r="EJ93" s="70">
        <f>'[5]C.Al'!$F$172/1000</f>
        <v>1742.3154416051198</v>
      </c>
    </row>
    <row r="94" spans="1:154" x14ac:dyDescent="0.3">
      <c r="A94" s="21" t="s">
        <v>141</v>
      </c>
      <c r="D94" s="21">
        <f t="shared" si="336"/>
        <v>2796.6193423775144</v>
      </c>
      <c r="E94" s="21">
        <f t="shared" si="336"/>
        <v>2796.6193423775144</v>
      </c>
      <c r="F94" s="21">
        <f t="shared" si="336"/>
        <v>2796.6193423775144</v>
      </c>
      <c r="G94" s="21">
        <f t="shared" si="336"/>
        <v>2796.6193423775144</v>
      </c>
      <c r="H94" s="21">
        <f t="shared" si="336"/>
        <v>2796.6193423775144</v>
      </c>
      <c r="I94" s="21">
        <f t="shared" si="336"/>
        <v>2796.6193423775144</v>
      </c>
      <c r="J94" s="21">
        <f t="shared" si="336"/>
        <v>2796.6193423775144</v>
      </c>
      <c r="K94" s="21">
        <f t="shared" si="336"/>
        <v>2796.6193423775144</v>
      </c>
      <c r="L94" s="21">
        <f t="shared" si="336"/>
        <v>2796.6193423775144</v>
      </c>
      <c r="M94" s="21">
        <f t="shared" si="336"/>
        <v>2796.6193423775144</v>
      </c>
      <c r="N94" s="21">
        <f t="shared" si="337"/>
        <v>2796.6193423775144</v>
      </c>
      <c r="O94" s="21">
        <f t="shared" si="337"/>
        <v>2796.6193423775144</v>
      </c>
      <c r="P94" s="21">
        <f t="shared" si="337"/>
        <v>2796.6193423775144</v>
      </c>
      <c r="Q94" s="21">
        <f t="shared" si="337"/>
        <v>2796.6193423775144</v>
      </c>
      <c r="R94" s="21">
        <f t="shared" si="337"/>
        <v>2796.6193423775144</v>
      </c>
      <c r="S94" s="21">
        <f t="shared" si="337"/>
        <v>2796.6193423775144</v>
      </c>
      <c r="T94" s="21">
        <f t="shared" si="337"/>
        <v>2796.6193423775144</v>
      </c>
      <c r="U94" s="21">
        <f t="shared" si="337"/>
        <v>2796.6193423775144</v>
      </c>
      <c r="V94" s="21">
        <f t="shared" si="337"/>
        <v>2796.6193423775144</v>
      </c>
      <c r="W94" s="21">
        <f t="shared" si="337"/>
        <v>2796.6193423775144</v>
      </c>
      <c r="X94" s="21">
        <f t="shared" si="337"/>
        <v>2796.6193423775144</v>
      </c>
      <c r="Y94" s="21">
        <f t="shared" si="337"/>
        <v>2796.6193423775144</v>
      </c>
      <c r="Z94" s="21">
        <f t="shared" si="337"/>
        <v>2796.6193423775144</v>
      </c>
      <c r="AA94" s="21">
        <f t="shared" si="337"/>
        <v>2796.6193423775144</v>
      </c>
      <c r="AB94" s="21">
        <f t="shared" si="338"/>
        <v>2796.6193423775144</v>
      </c>
      <c r="AC94" s="21">
        <f t="shared" si="338"/>
        <v>2796.6193423775144</v>
      </c>
      <c r="AD94" s="21">
        <f t="shared" si="338"/>
        <v>2796.6193423775144</v>
      </c>
      <c r="AE94" s="21">
        <f t="shared" si="339"/>
        <v>2796.6193423775144</v>
      </c>
      <c r="AF94" s="21">
        <f t="shared" si="339"/>
        <v>2796.6193423775144</v>
      </c>
      <c r="AG94" s="21">
        <f t="shared" si="340"/>
        <v>2796.6193423775144</v>
      </c>
      <c r="AH94" s="21">
        <f t="shared" si="340"/>
        <v>2796.6193423775144</v>
      </c>
      <c r="AI94" s="21">
        <f t="shared" si="340"/>
        <v>2796.6193423775144</v>
      </c>
      <c r="AJ94" s="21">
        <f t="shared" si="340"/>
        <v>2796.6193423775144</v>
      </c>
      <c r="AK94" s="21">
        <f t="shared" si="340"/>
        <v>2796.6193423775144</v>
      </c>
      <c r="AL94" s="21">
        <f t="shared" si="340"/>
        <v>2796.6193423775144</v>
      </c>
      <c r="AM94" s="21">
        <f t="shared" si="340"/>
        <v>2796.6193423775144</v>
      </c>
      <c r="AN94" s="21">
        <f t="shared" si="340"/>
        <v>2796.6193423775144</v>
      </c>
      <c r="AO94" s="21">
        <f t="shared" si="340"/>
        <v>2796.6193423775144</v>
      </c>
      <c r="AP94" s="21">
        <f t="shared" si="340"/>
        <v>2796.6193423775144</v>
      </c>
      <c r="AQ94" s="21">
        <f t="shared" si="341"/>
        <v>2796.6193423775144</v>
      </c>
      <c r="AR94" s="21">
        <f t="shared" si="341"/>
        <v>2796.6193423775144</v>
      </c>
      <c r="AS94" s="21">
        <f t="shared" si="341"/>
        <v>2796.6193423775144</v>
      </c>
      <c r="AT94" s="21">
        <f t="shared" si="341"/>
        <v>2796.6193423775144</v>
      </c>
      <c r="AU94" s="21">
        <f t="shared" si="341"/>
        <v>2796.6193423775144</v>
      </c>
      <c r="AV94" s="21">
        <f t="shared" si="341"/>
        <v>2796.6193423775144</v>
      </c>
      <c r="AW94" s="21">
        <f t="shared" si="341"/>
        <v>2796.6193423775144</v>
      </c>
      <c r="AX94" s="21">
        <f t="shared" si="341"/>
        <v>2796.6193423775144</v>
      </c>
      <c r="AY94" s="21">
        <f t="shared" si="341"/>
        <v>2796.6193423775144</v>
      </c>
      <c r="AZ94" s="21">
        <f t="shared" si="341"/>
        <v>2796.6193423775144</v>
      </c>
      <c r="BA94" s="21">
        <f t="shared" si="342"/>
        <v>2796.6193423775144</v>
      </c>
      <c r="BB94" s="21">
        <f t="shared" si="342"/>
        <v>2796.6193423775144</v>
      </c>
      <c r="BC94" s="21">
        <f t="shared" si="342"/>
        <v>2796.6193423775144</v>
      </c>
      <c r="BD94" s="21">
        <f t="shared" si="342"/>
        <v>2796.6193423775144</v>
      </c>
      <c r="BE94" s="21">
        <f t="shared" si="342"/>
        <v>2796.6193423775144</v>
      </c>
      <c r="BF94" s="21">
        <f t="shared" si="342"/>
        <v>2796.6193423775144</v>
      </c>
      <c r="BG94" s="21">
        <f t="shared" si="342"/>
        <v>2796.6193423775144</v>
      </c>
      <c r="BH94" s="21">
        <f t="shared" si="342"/>
        <v>2796.6193423775144</v>
      </c>
      <c r="BI94" s="21">
        <f t="shared" si="342"/>
        <v>2796.6193423775144</v>
      </c>
      <c r="BJ94" s="21">
        <f t="shared" si="342"/>
        <v>2796.6193423775144</v>
      </c>
      <c r="BK94" s="21">
        <f t="shared" si="343"/>
        <v>2796.6193423775144</v>
      </c>
      <c r="BL94" s="21">
        <f t="shared" si="343"/>
        <v>2796.6193423775144</v>
      </c>
      <c r="BM94" s="21">
        <f t="shared" si="343"/>
        <v>2796.6193423775144</v>
      </c>
      <c r="BN94" s="21">
        <f t="shared" si="343"/>
        <v>2796.6193423775144</v>
      </c>
      <c r="BO94" s="21">
        <f t="shared" si="343"/>
        <v>2796.6193423775144</v>
      </c>
      <c r="BP94" s="21">
        <f t="shared" si="343"/>
        <v>2796.6193423775144</v>
      </c>
      <c r="BQ94" s="21">
        <f t="shared" si="343"/>
        <v>2796.6193423775144</v>
      </c>
      <c r="BR94" s="21">
        <f t="shared" si="343"/>
        <v>2796.6193423775144</v>
      </c>
      <c r="BS94" s="21">
        <f t="shared" si="343"/>
        <v>2796.6193423775144</v>
      </c>
      <c r="BT94" s="21">
        <f t="shared" si="343"/>
        <v>2796.6193423775144</v>
      </c>
      <c r="BU94" s="21">
        <f t="shared" si="344"/>
        <v>2796.6193423775144</v>
      </c>
      <c r="BV94" s="21">
        <f t="shared" si="344"/>
        <v>2796.6193423775144</v>
      </c>
      <c r="BW94" s="21">
        <f t="shared" si="344"/>
        <v>2796.6193423775144</v>
      </c>
      <c r="BX94" s="21">
        <f t="shared" si="344"/>
        <v>2796.6193423775144</v>
      </c>
      <c r="BY94" s="21">
        <f t="shared" si="344"/>
        <v>2796.6193423775144</v>
      </c>
      <c r="BZ94" s="21">
        <f t="shared" si="344"/>
        <v>2796.6193423775144</v>
      </c>
      <c r="CA94" s="21">
        <f t="shared" si="344"/>
        <v>2796.6193423775144</v>
      </c>
      <c r="CB94" s="21">
        <f t="shared" si="344"/>
        <v>2796.6193423775144</v>
      </c>
      <c r="CC94" s="21">
        <f t="shared" si="344"/>
        <v>2796.6193423775144</v>
      </c>
      <c r="CD94" s="21">
        <f t="shared" si="344"/>
        <v>2796.6193423775144</v>
      </c>
      <c r="CE94" s="21">
        <f t="shared" si="345"/>
        <v>2796.6193423775144</v>
      </c>
      <c r="CF94" s="21">
        <f t="shared" si="345"/>
        <v>2796.6193423775144</v>
      </c>
      <c r="CG94" s="21">
        <f t="shared" si="345"/>
        <v>2796.6193423775144</v>
      </c>
      <c r="CH94" s="21">
        <f t="shared" si="345"/>
        <v>2796.6193423775144</v>
      </c>
      <c r="CI94" s="21">
        <f t="shared" si="345"/>
        <v>2796.6193423775144</v>
      </c>
      <c r="CJ94" s="21">
        <f t="shared" si="345"/>
        <v>2796.6193423775144</v>
      </c>
      <c r="CK94" s="21">
        <f t="shared" si="345"/>
        <v>2796.6193423775144</v>
      </c>
      <c r="CL94" s="21">
        <f t="shared" si="345"/>
        <v>2796.6193423775144</v>
      </c>
      <c r="CM94" s="21">
        <f t="shared" si="345"/>
        <v>2796.6193423775144</v>
      </c>
      <c r="CN94" s="21">
        <f t="shared" si="345"/>
        <v>2796.6193423775144</v>
      </c>
      <c r="CO94" s="21">
        <f t="shared" si="346"/>
        <v>2796.6193423775144</v>
      </c>
      <c r="CP94" s="21">
        <f t="shared" si="346"/>
        <v>2796.6193423775144</v>
      </c>
      <c r="CQ94" s="21">
        <f t="shared" si="346"/>
        <v>2796.6193423775144</v>
      </c>
      <c r="CR94" s="21">
        <f t="shared" si="346"/>
        <v>2796.6193423775144</v>
      </c>
      <c r="CS94" s="21">
        <f t="shared" si="346"/>
        <v>2796.6193423775144</v>
      </c>
      <c r="CT94" s="21">
        <f t="shared" si="346"/>
        <v>2796.6193423775144</v>
      </c>
      <c r="CU94" s="21">
        <f t="shared" si="346"/>
        <v>2796.6193423775144</v>
      </c>
      <c r="CV94" s="21">
        <f t="shared" si="346"/>
        <v>2796.6193423775144</v>
      </c>
      <c r="CW94" s="21">
        <f t="shared" si="346"/>
        <v>2796.6193423775144</v>
      </c>
      <c r="CX94" s="21">
        <f t="shared" si="346"/>
        <v>2796.6193423775144</v>
      </c>
      <c r="CY94" s="21">
        <f t="shared" si="347"/>
        <v>2796.6193423775144</v>
      </c>
      <c r="CZ94" s="21">
        <f t="shared" si="347"/>
        <v>2796.6193423775144</v>
      </c>
      <c r="DA94" s="21">
        <f t="shared" si="347"/>
        <v>2796.6193423775144</v>
      </c>
      <c r="DB94" s="21">
        <f t="shared" si="347"/>
        <v>2796.6193423775144</v>
      </c>
      <c r="DC94" s="21">
        <f t="shared" si="347"/>
        <v>2796.6193423775144</v>
      </c>
      <c r="DD94" s="21">
        <f t="shared" si="347"/>
        <v>2796.6193423775144</v>
      </c>
      <c r="DE94" s="21">
        <f t="shared" si="347"/>
        <v>2796.6193423775144</v>
      </c>
      <c r="DF94" s="21">
        <f t="shared" si="347"/>
        <v>2796.6193423775144</v>
      </c>
      <c r="DH94" s="21">
        <f t="shared" si="348"/>
        <v>2796.6193423775144</v>
      </c>
      <c r="DI94" s="21">
        <f t="shared" si="348"/>
        <v>2796.6193423775144</v>
      </c>
      <c r="DJ94" s="21">
        <f t="shared" si="348"/>
        <v>2796.6193423775144</v>
      </c>
      <c r="DK94" s="21">
        <f t="shared" si="348"/>
        <v>2796.6193423775144</v>
      </c>
      <c r="DL94" s="21">
        <f t="shared" si="348"/>
        <v>2796.6193423775144</v>
      </c>
      <c r="DM94" s="21">
        <f t="shared" si="348"/>
        <v>2796.6193423775144</v>
      </c>
      <c r="DN94" s="21">
        <f t="shared" si="348"/>
        <v>2796.6193423775144</v>
      </c>
      <c r="DO94" s="21">
        <f t="shared" si="348"/>
        <v>2796.6193423775144</v>
      </c>
      <c r="DP94" s="21">
        <f t="shared" si="348"/>
        <v>2796.6193423775144</v>
      </c>
      <c r="DQ94" s="21">
        <f t="shared" si="348"/>
        <v>2796.6193423775144</v>
      </c>
      <c r="DR94" s="21">
        <f t="shared" si="348"/>
        <v>2796.6193423775144</v>
      </c>
      <c r="DS94" s="21">
        <f t="shared" si="349"/>
        <v>2796.6193423775144</v>
      </c>
      <c r="DT94" s="21">
        <f t="shared" si="349"/>
        <v>2796.6193423775144</v>
      </c>
      <c r="DU94" s="21">
        <f t="shared" si="349"/>
        <v>2796.6193423775144</v>
      </c>
      <c r="DV94" s="21">
        <f t="shared" si="349"/>
        <v>2796.6193423775144</v>
      </c>
      <c r="DW94" s="21">
        <f t="shared" si="349"/>
        <v>2796.6193423775144</v>
      </c>
      <c r="DX94" s="21">
        <f t="shared" si="350"/>
        <v>2796.6193423775144</v>
      </c>
      <c r="DY94" s="21">
        <f t="shared" si="350"/>
        <v>2796.6193423775144</v>
      </c>
      <c r="DZ94" s="21">
        <f t="shared" si="350"/>
        <v>2796.6193423775144</v>
      </c>
      <c r="EA94" s="21">
        <f t="shared" si="350"/>
        <v>2796.6193423775144</v>
      </c>
      <c r="EB94" s="21">
        <f t="shared" si="350"/>
        <v>2796.6193423775144</v>
      </c>
      <c r="EC94" s="21">
        <f t="shared" si="350"/>
        <v>2796.6193423775144</v>
      </c>
      <c r="ED94" s="21">
        <f t="shared" si="351"/>
        <v>2796.6193423775144</v>
      </c>
      <c r="EH94" s="21" t="str">
        <f t="shared" si="352"/>
        <v>Final Copper Product: Combined</v>
      </c>
      <c r="EI94" s="70">
        <f>[7]Copper!$K$82/1000</f>
        <v>2796.6193423775144</v>
      </c>
      <c r="EJ94" s="70">
        <f>[5]Copper!$K$82/1000</f>
        <v>2796.6193423775144</v>
      </c>
    </row>
    <row r="95" spans="1:154" x14ac:dyDescent="0.3">
      <c r="A95" s="21" t="s">
        <v>142</v>
      </c>
      <c r="D95" s="21">
        <f t="shared" si="336"/>
        <v>1601.0217076242864</v>
      </c>
      <c r="E95" s="21">
        <f t="shared" si="336"/>
        <v>1601.0217076242864</v>
      </c>
      <c r="F95" s="21">
        <f t="shared" si="336"/>
        <v>1601.0217076242864</v>
      </c>
      <c r="G95" s="21">
        <f t="shared" si="336"/>
        <v>1601.0217076242864</v>
      </c>
      <c r="H95" s="21">
        <f t="shared" si="336"/>
        <v>1601.0217076242864</v>
      </c>
      <c r="I95" s="21">
        <f t="shared" si="336"/>
        <v>1601.0217076242864</v>
      </c>
      <c r="J95" s="21">
        <f t="shared" si="336"/>
        <v>1601.0217076242864</v>
      </c>
      <c r="K95" s="21">
        <f t="shared" si="336"/>
        <v>1601.0217076242864</v>
      </c>
      <c r="L95" s="21">
        <f t="shared" si="336"/>
        <v>1601.0217076242864</v>
      </c>
      <c r="M95" s="21">
        <f t="shared" si="336"/>
        <v>1601.0217076242864</v>
      </c>
      <c r="N95" s="21">
        <f t="shared" si="337"/>
        <v>1601.0217076242864</v>
      </c>
      <c r="O95" s="21">
        <f t="shared" si="337"/>
        <v>1601.0217076242864</v>
      </c>
      <c r="P95" s="21">
        <f t="shared" si="337"/>
        <v>1601.0217076242864</v>
      </c>
      <c r="Q95" s="21">
        <f t="shared" si="337"/>
        <v>1601.0217076242864</v>
      </c>
      <c r="R95" s="21">
        <f t="shared" si="337"/>
        <v>1601.0217076242864</v>
      </c>
      <c r="S95" s="21">
        <f t="shared" si="337"/>
        <v>1601.0217076242864</v>
      </c>
      <c r="T95" s="21">
        <f t="shared" si="337"/>
        <v>1601.0217076242864</v>
      </c>
      <c r="U95" s="21">
        <f t="shared" si="337"/>
        <v>1601.0217076242864</v>
      </c>
      <c r="V95" s="21">
        <f t="shared" si="337"/>
        <v>1601.0217076242864</v>
      </c>
      <c r="W95" s="21">
        <f t="shared" si="337"/>
        <v>1601.0217076242864</v>
      </c>
      <c r="X95" s="21">
        <f t="shared" si="337"/>
        <v>1601.0217076242864</v>
      </c>
      <c r="Y95" s="21">
        <f t="shared" si="337"/>
        <v>1601.0217076242864</v>
      </c>
      <c r="Z95" s="21">
        <f t="shared" si="337"/>
        <v>1601.0217076242864</v>
      </c>
      <c r="AA95" s="21">
        <f t="shared" si="337"/>
        <v>1601.0217076242864</v>
      </c>
      <c r="AB95" s="21">
        <f t="shared" si="338"/>
        <v>1601.0217076242864</v>
      </c>
      <c r="AC95" s="21">
        <f t="shared" si="338"/>
        <v>1601.0217076242864</v>
      </c>
      <c r="AD95" s="21">
        <f t="shared" si="338"/>
        <v>1601.0217076242864</v>
      </c>
      <c r="AE95" s="21">
        <f t="shared" si="339"/>
        <v>1601.0217076242864</v>
      </c>
      <c r="AF95" s="21">
        <f t="shared" si="339"/>
        <v>1601.0217076242864</v>
      </c>
      <c r="AG95" s="21">
        <f t="shared" si="340"/>
        <v>1601.0217076242864</v>
      </c>
      <c r="AH95" s="21">
        <f t="shared" si="340"/>
        <v>1601.0217076242864</v>
      </c>
      <c r="AI95" s="21">
        <f t="shared" si="340"/>
        <v>1601.0217076242864</v>
      </c>
      <c r="AJ95" s="21">
        <f t="shared" si="340"/>
        <v>1601.0217076242864</v>
      </c>
      <c r="AK95" s="21">
        <f t="shared" si="340"/>
        <v>1601.0217076242864</v>
      </c>
      <c r="AL95" s="21">
        <f t="shared" si="340"/>
        <v>1601.0217076242864</v>
      </c>
      <c r="AM95" s="21">
        <f t="shared" si="340"/>
        <v>1601.0217076242864</v>
      </c>
      <c r="AN95" s="21">
        <f t="shared" si="340"/>
        <v>1601.0217076242864</v>
      </c>
      <c r="AO95" s="21">
        <f t="shared" si="340"/>
        <v>1601.0217076242864</v>
      </c>
      <c r="AP95" s="21">
        <f t="shared" si="340"/>
        <v>1601.0217076242864</v>
      </c>
      <c r="AQ95" s="21">
        <f t="shared" si="341"/>
        <v>1601.0217076242864</v>
      </c>
      <c r="AR95" s="21">
        <f t="shared" si="341"/>
        <v>1601.0217076242864</v>
      </c>
      <c r="AS95" s="21">
        <f t="shared" si="341"/>
        <v>1601.0217076242864</v>
      </c>
      <c r="AT95" s="21">
        <f t="shared" si="341"/>
        <v>1601.0217076242864</v>
      </c>
      <c r="AU95" s="21">
        <f t="shared" si="341"/>
        <v>1601.0217076242864</v>
      </c>
      <c r="AV95" s="21">
        <f t="shared" si="341"/>
        <v>1601.0217076242864</v>
      </c>
      <c r="AW95" s="21">
        <f t="shared" si="341"/>
        <v>1601.0217076242864</v>
      </c>
      <c r="AX95" s="21">
        <f t="shared" si="341"/>
        <v>1601.0217076242864</v>
      </c>
      <c r="AY95" s="21">
        <f t="shared" si="341"/>
        <v>1601.0217076242864</v>
      </c>
      <c r="AZ95" s="21">
        <f t="shared" si="341"/>
        <v>1601.0217076242864</v>
      </c>
      <c r="BA95" s="21">
        <f t="shared" si="342"/>
        <v>1601.0217076242864</v>
      </c>
      <c r="BB95" s="21">
        <f t="shared" si="342"/>
        <v>1601.0217076242864</v>
      </c>
      <c r="BC95" s="21">
        <f t="shared" si="342"/>
        <v>1601.0217076242864</v>
      </c>
      <c r="BD95" s="21">
        <f t="shared" si="342"/>
        <v>1601.0217076242864</v>
      </c>
      <c r="BE95" s="21">
        <f t="shared" si="342"/>
        <v>1601.0217076242864</v>
      </c>
      <c r="BF95" s="21">
        <f t="shared" si="342"/>
        <v>1601.0217076242864</v>
      </c>
      <c r="BG95" s="21">
        <f t="shared" si="342"/>
        <v>1601.0217076242864</v>
      </c>
      <c r="BH95" s="21">
        <f t="shared" si="342"/>
        <v>1601.0217076242864</v>
      </c>
      <c r="BI95" s="21">
        <f t="shared" si="342"/>
        <v>1601.0217076242864</v>
      </c>
      <c r="BJ95" s="21">
        <f t="shared" si="342"/>
        <v>1601.0217076242864</v>
      </c>
      <c r="BK95" s="21">
        <f t="shared" si="343"/>
        <v>1601.0217076242864</v>
      </c>
      <c r="BL95" s="21">
        <f t="shared" si="343"/>
        <v>1601.0217076242864</v>
      </c>
      <c r="BM95" s="21">
        <f t="shared" si="343"/>
        <v>1601.0217076242864</v>
      </c>
      <c r="BN95" s="21">
        <f t="shared" si="343"/>
        <v>1601.0217076242864</v>
      </c>
      <c r="BO95" s="21">
        <f t="shared" si="343"/>
        <v>1601.0217076242864</v>
      </c>
      <c r="BP95" s="21">
        <f t="shared" si="343"/>
        <v>1601.0217076242864</v>
      </c>
      <c r="BQ95" s="21">
        <f t="shared" si="343"/>
        <v>1601.0217076242864</v>
      </c>
      <c r="BR95" s="21">
        <f t="shared" si="343"/>
        <v>1601.0217076242864</v>
      </c>
      <c r="BS95" s="21">
        <f t="shared" si="343"/>
        <v>1601.0217076242864</v>
      </c>
      <c r="BT95" s="21">
        <f t="shared" si="343"/>
        <v>1601.0217076242864</v>
      </c>
      <c r="BU95" s="21">
        <f t="shared" si="344"/>
        <v>1601.0217076242864</v>
      </c>
      <c r="BV95" s="21">
        <f t="shared" si="344"/>
        <v>1601.0217076242864</v>
      </c>
      <c r="BW95" s="21">
        <f t="shared" si="344"/>
        <v>1601.0217076242864</v>
      </c>
      <c r="BX95" s="21">
        <f t="shared" si="344"/>
        <v>1601.0217076242864</v>
      </c>
      <c r="BY95" s="21">
        <f t="shared" si="344"/>
        <v>1601.0217076242864</v>
      </c>
      <c r="BZ95" s="21">
        <f t="shared" si="344"/>
        <v>1601.0217076242864</v>
      </c>
      <c r="CA95" s="21">
        <f t="shared" si="344"/>
        <v>1601.0217076242864</v>
      </c>
      <c r="CB95" s="21">
        <f t="shared" si="344"/>
        <v>1601.0217076242864</v>
      </c>
      <c r="CC95" s="21">
        <f t="shared" si="344"/>
        <v>1601.0217076242864</v>
      </c>
      <c r="CD95" s="21">
        <f t="shared" si="344"/>
        <v>1601.0217076242864</v>
      </c>
      <c r="CE95" s="21">
        <f t="shared" si="345"/>
        <v>1601.0217076242864</v>
      </c>
      <c r="CF95" s="21">
        <f t="shared" si="345"/>
        <v>1601.0217076242864</v>
      </c>
      <c r="CG95" s="21">
        <f t="shared" si="345"/>
        <v>1601.0217076242864</v>
      </c>
      <c r="CH95" s="21">
        <f t="shared" si="345"/>
        <v>1601.0217076242864</v>
      </c>
      <c r="CI95" s="21">
        <f t="shared" si="345"/>
        <v>1601.0217076242864</v>
      </c>
      <c r="CJ95" s="21">
        <f t="shared" si="345"/>
        <v>1601.0217076242864</v>
      </c>
      <c r="CK95" s="21">
        <f t="shared" si="345"/>
        <v>1601.0217076242864</v>
      </c>
      <c r="CL95" s="21">
        <f t="shared" si="345"/>
        <v>1601.0217076242864</v>
      </c>
      <c r="CM95" s="21">
        <f t="shared" si="345"/>
        <v>1601.0217076242864</v>
      </c>
      <c r="CN95" s="21">
        <f t="shared" si="345"/>
        <v>1601.0217076242864</v>
      </c>
      <c r="CO95" s="21">
        <f t="shared" si="346"/>
        <v>1601.0217076242864</v>
      </c>
      <c r="CP95" s="21">
        <f t="shared" si="346"/>
        <v>1601.0217076242864</v>
      </c>
      <c r="CQ95" s="21">
        <f t="shared" si="346"/>
        <v>1601.0217076242864</v>
      </c>
      <c r="CR95" s="21">
        <f t="shared" si="346"/>
        <v>1601.0217076242864</v>
      </c>
      <c r="CS95" s="21">
        <f t="shared" si="346"/>
        <v>1601.0217076242864</v>
      </c>
      <c r="CT95" s="21">
        <f t="shared" si="346"/>
        <v>1601.0217076242864</v>
      </c>
      <c r="CU95" s="21">
        <f t="shared" si="346"/>
        <v>1601.0217076242864</v>
      </c>
      <c r="CV95" s="21">
        <f t="shared" si="346"/>
        <v>1601.0217076242864</v>
      </c>
      <c r="CW95" s="21">
        <f t="shared" si="346"/>
        <v>1601.0217076242864</v>
      </c>
      <c r="CX95" s="21">
        <f t="shared" si="346"/>
        <v>1601.0217076242864</v>
      </c>
      <c r="CY95" s="21">
        <f t="shared" si="347"/>
        <v>1601.0217076242864</v>
      </c>
      <c r="CZ95" s="21">
        <f t="shared" si="347"/>
        <v>1601.0217076242864</v>
      </c>
      <c r="DA95" s="21">
        <f t="shared" si="347"/>
        <v>1601.0217076242864</v>
      </c>
      <c r="DB95" s="21">
        <f t="shared" si="347"/>
        <v>1601.0217076242864</v>
      </c>
      <c r="DC95" s="21">
        <f t="shared" si="347"/>
        <v>1601.0217076242864</v>
      </c>
      <c r="DD95" s="21">
        <f t="shared" si="347"/>
        <v>1601.0217076242864</v>
      </c>
      <c r="DE95" s="21">
        <f t="shared" si="347"/>
        <v>1601.0217076242864</v>
      </c>
      <c r="DF95" s="21">
        <f t="shared" si="347"/>
        <v>1601.0217076242864</v>
      </c>
      <c r="DH95" s="21">
        <f t="shared" si="348"/>
        <v>1601.0217076242864</v>
      </c>
      <c r="DI95" s="21">
        <f t="shared" si="348"/>
        <v>1601.0217076242864</v>
      </c>
      <c r="DJ95" s="21">
        <f t="shared" si="348"/>
        <v>1601.0217076242864</v>
      </c>
      <c r="DK95" s="21">
        <f t="shared" si="348"/>
        <v>1601.0217076242864</v>
      </c>
      <c r="DL95" s="21">
        <f t="shared" si="348"/>
        <v>1601.0217076242864</v>
      </c>
      <c r="DM95" s="21">
        <f t="shared" si="348"/>
        <v>1601.0217076242864</v>
      </c>
      <c r="DN95" s="21">
        <f t="shared" si="348"/>
        <v>1601.0217076242864</v>
      </c>
      <c r="DO95" s="21">
        <f t="shared" si="348"/>
        <v>1601.0217076242864</v>
      </c>
      <c r="DP95" s="21">
        <f t="shared" si="348"/>
        <v>1601.0217076242864</v>
      </c>
      <c r="DQ95" s="21">
        <f t="shared" si="348"/>
        <v>1601.0217076242864</v>
      </c>
      <c r="DR95" s="21">
        <f t="shared" si="348"/>
        <v>1601.0217076242864</v>
      </c>
      <c r="DS95" s="21">
        <f t="shared" si="349"/>
        <v>1601.0217076242864</v>
      </c>
      <c r="DT95" s="21">
        <f t="shared" si="349"/>
        <v>1601.0217076242864</v>
      </c>
      <c r="DU95" s="21">
        <f t="shared" si="349"/>
        <v>1601.0217076242864</v>
      </c>
      <c r="DV95" s="21">
        <f t="shared" si="349"/>
        <v>1601.0217076242864</v>
      </c>
      <c r="DW95" s="21">
        <f t="shared" si="349"/>
        <v>1601.0217076242864</v>
      </c>
      <c r="DX95" s="21">
        <f t="shared" si="350"/>
        <v>1601.0217076242864</v>
      </c>
      <c r="DY95" s="21">
        <f t="shared" si="350"/>
        <v>1601.0217076242864</v>
      </c>
      <c r="DZ95" s="21">
        <f t="shared" si="350"/>
        <v>1601.0217076242864</v>
      </c>
      <c r="EA95" s="21">
        <f t="shared" si="350"/>
        <v>1601.0217076242864</v>
      </c>
      <c r="EB95" s="21">
        <f t="shared" si="350"/>
        <v>1601.0217076242864</v>
      </c>
      <c r="EC95" s="21">
        <f t="shared" si="350"/>
        <v>1601.0217076242864</v>
      </c>
      <c r="ED95" s="21">
        <f t="shared" si="351"/>
        <v>1601.0217076242864</v>
      </c>
      <c r="EH95" s="21" t="str">
        <f t="shared" si="352"/>
        <v>Final Automotive Glass Product</v>
      </c>
      <c r="EI95" s="70">
        <f>[7]Glass!$J$90/1000</f>
        <v>1601.0217076242864</v>
      </c>
      <c r="EJ95" s="70">
        <f>[5]Glass!$J$90/1000</f>
        <v>1601.0217076242864</v>
      </c>
    </row>
    <row r="96" spans="1:154" x14ac:dyDescent="0.3">
      <c r="A96" s="21" t="s">
        <v>120</v>
      </c>
      <c r="D96" s="21">
        <f t="shared" si="336"/>
        <v>4063.7689986647251</v>
      </c>
      <c r="E96" s="21">
        <f t="shared" si="336"/>
        <v>4063.7689986647251</v>
      </c>
      <c r="F96" s="21">
        <f t="shared" si="336"/>
        <v>4063.7689986647251</v>
      </c>
      <c r="G96" s="21">
        <f t="shared" si="336"/>
        <v>4063.7689986647251</v>
      </c>
      <c r="H96" s="21">
        <f t="shared" si="336"/>
        <v>4063.7689986647251</v>
      </c>
      <c r="I96" s="21">
        <f t="shared" si="336"/>
        <v>4063.7689986647251</v>
      </c>
      <c r="J96" s="21">
        <f t="shared" si="336"/>
        <v>4063.7689986647251</v>
      </c>
      <c r="K96" s="21">
        <f t="shared" si="336"/>
        <v>4063.7689986647251</v>
      </c>
      <c r="L96" s="21">
        <f t="shared" si="336"/>
        <v>4063.7689986647251</v>
      </c>
      <c r="M96" s="21">
        <f t="shared" si="336"/>
        <v>4063.7689986647251</v>
      </c>
      <c r="N96" s="21">
        <f t="shared" si="337"/>
        <v>4063.7689986647251</v>
      </c>
      <c r="O96" s="21">
        <f t="shared" si="337"/>
        <v>4063.7689986647251</v>
      </c>
      <c r="P96" s="21">
        <f t="shared" si="337"/>
        <v>4063.7689986647251</v>
      </c>
      <c r="Q96" s="21">
        <f t="shared" si="337"/>
        <v>4063.7689986647251</v>
      </c>
      <c r="R96" s="21">
        <f t="shared" si="337"/>
        <v>4063.7689986647251</v>
      </c>
      <c r="S96" s="21">
        <f t="shared" si="337"/>
        <v>4063.7689986647251</v>
      </c>
      <c r="T96" s="21">
        <f t="shared" si="337"/>
        <v>4063.7689986647251</v>
      </c>
      <c r="U96" s="21">
        <f t="shared" si="337"/>
        <v>4063.7689986647251</v>
      </c>
      <c r="V96" s="21">
        <f t="shared" si="337"/>
        <v>4063.7689986647251</v>
      </c>
      <c r="W96" s="21">
        <f t="shared" si="337"/>
        <v>4063.7689986647251</v>
      </c>
      <c r="X96" s="21">
        <f t="shared" si="337"/>
        <v>4063.7689986647251</v>
      </c>
      <c r="Y96" s="21">
        <f t="shared" si="337"/>
        <v>4063.7689986647251</v>
      </c>
      <c r="Z96" s="21">
        <f t="shared" si="337"/>
        <v>4063.7689986647251</v>
      </c>
      <c r="AA96" s="21">
        <f t="shared" si="337"/>
        <v>4063.7689986647251</v>
      </c>
      <c r="AB96" s="21">
        <f t="shared" si="338"/>
        <v>4063.7689986647251</v>
      </c>
      <c r="AC96" s="21">
        <f t="shared" si="338"/>
        <v>4063.7689986647251</v>
      </c>
      <c r="AD96" s="21">
        <f t="shared" si="338"/>
        <v>4063.7689986647251</v>
      </c>
      <c r="AE96" s="21">
        <f t="shared" si="339"/>
        <v>4063.7689986647251</v>
      </c>
      <c r="AF96" s="21">
        <f t="shared" si="339"/>
        <v>4063.7689986647251</v>
      </c>
      <c r="AG96" s="21">
        <f t="shared" si="340"/>
        <v>4063.7689986647251</v>
      </c>
      <c r="AH96" s="21">
        <f t="shared" si="340"/>
        <v>4063.7689986647251</v>
      </c>
      <c r="AI96" s="21">
        <f t="shared" si="340"/>
        <v>4063.7689986647251</v>
      </c>
      <c r="AJ96" s="21">
        <f t="shared" si="340"/>
        <v>4063.7689986647251</v>
      </c>
      <c r="AK96" s="21">
        <f t="shared" si="340"/>
        <v>4063.7689986647251</v>
      </c>
      <c r="AL96" s="21">
        <f t="shared" si="340"/>
        <v>4063.7689986647251</v>
      </c>
      <c r="AM96" s="21">
        <f t="shared" si="340"/>
        <v>4063.7689986647251</v>
      </c>
      <c r="AN96" s="21">
        <f t="shared" si="340"/>
        <v>4063.7689986647251</v>
      </c>
      <c r="AO96" s="21">
        <f t="shared" si="340"/>
        <v>4063.7689986647251</v>
      </c>
      <c r="AP96" s="21">
        <f t="shared" si="340"/>
        <v>4063.7689986647251</v>
      </c>
      <c r="AQ96" s="21">
        <f t="shared" si="341"/>
        <v>4063.7689986647251</v>
      </c>
      <c r="AR96" s="21">
        <f t="shared" si="341"/>
        <v>4063.7689986647251</v>
      </c>
      <c r="AS96" s="21">
        <f t="shared" si="341"/>
        <v>4063.7689986647251</v>
      </c>
      <c r="AT96" s="21">
        <f t="shared" si="341"/>
        <v>4063.7689986647251</v>
      </c>
      <c r="AU96" s="21">
        <f t="shared" si="341"/>
        <v>4063.7689986647251</v>
      </c>
      <c r="AV96" s="21">
        <f t="shared" si="341"/>
        <v>4063.7689986647251</v>
      </c>
      <c r="AW96" s="21">
        <f t="shared" si="341"/>
        <v>4063.7689986647251</v>
      </c>
      <c r="AX96" s="21">
        <f t="shared" si="341"/>
        <v>4063.7689986647251</v>
      </c>
      <c r="AY96" s="21">
        <f t="shared" si="341"/>
        <v>4063.7689986647251</v>
      </c>
      <c r="AZ96" s="21">
        <f t="shared" si="341"/>
        <v>4063.7689986647251</v>
      </c>
      <c r="BA96" s="21">
        <f t="shared" si="342"/>
        <v>4063.7689986647251</v>
      </c>
      <c r="BB96" s="21">
        <f t="shared" si="342"/>
        <v>4063.7689986647251</v>
      </c>
      <c r="BC96" s="21">
        <f t="shared" si="342"/>
        <v>4063.7689986647251</v>
      </c>
      <c r="BD96" s="21">
        <f t="shared" si="342"/>
        <v>4063.7689986647251</v>
      </c>
      <c r="BE96" s="21">
        <f t="shared" si="342"/>
        <v>4063.7689986647251</v>
      </c>
      <c r="BF96" s="21">
        <f t="shared" si="342"/>
        <v>4063.7689986647251</v>
      </c>
      <c r="BG96" s="21">
        <f t="shared" si="342"/>
        <v>4063.7689986647251</v>
      </c>
      <c r="BH96" s="21">
        <f t="shared" si="342"/>
        <v>4063.7689986647251</v>
      </c>
      <c r="BI96" s="21">
        <f t="shared" si="342"/>
        <v>4063.7689986647251</v>
      </c>
      <c r="BJ96" s="21">
        <f t="shared" si="342"/>
        <v>4063.7689986647251</v>
      </c>
      <c r="BK96" s="21">
        <f t="shared" si="343"/>
        <v>4063.7689986647251</v>
      </c>
      <c r="BL96" s="21">
        <f t="shared" si="343"/>
        <v>4063.7689986647251</v>
      </c>
      <c r="BM96" s="21">
        <f t="shared" si="343"/>
        <v>4063.7689986647251</v>
      </c>
      <c r="BN96" s="21">
        <f t="shared" si="343"/>
        <v>4063.7689986647251</v>
      </c>
      <c r="BO96" s="21">
        <f t="shared" si="343"/>
        <v>4063.7689986647251</v>
      </c>
      <c r="BP96" s="21">
        <f t="shared" si="343"/>
        <v>4063.7689986647251</v>
      </c>
      <c r="BQ96" s="21">
        <f t="shared" si="343"/>
        <v>4063.7689986647251</v>
      </c>
      <c r="BR96" s="21">
        <f t="shared" si="343"/>
        <v>4063.7689986647251</v>
      </c>
      <c r="BS96" s="21">
        <f t="shared" si="343"/>
        <v>4063.7689986647251</v>
      </c>
      <c r="BT96" s="21">
        <f t="shared" si="343"/>
        <v>4063.7689986647251</v>
      </c>
      <c r="BU96" s="21">
        <f t="shared" si="344"/>
        <v>4063.7689986647251</v>
      </c>
      <c r="BV96" s="21">
        <f t="shared" si="344"/>
        <v>4063.7689986647251</v>
      </c>
      <c r="BW96" s="21">
        <f t="shared" si="344"/>
        <v>4063.7689986647251</v>
      </c>
      <c r="BX96" s="21">
        <f t="shared" si="344"/>
        <v>4063.7689986647251</v>
      </c>
      <c r="BY96" s="21">
        <f t="shared" si="344"/>
        <v>4063.7689986647251</v>
      </c>
      <c r="BZ96" s="21">
        <f t="shared" si="344"/>
        <v>4063.7689986647251</v>
      </c>
      <c r="CA96" s="21">
        <f t="shared" si="344"/>
        <v>4063.7689986647251</v>
      </c>
      <c r="CB96" s="21">
        <f t="shared" si="344"/>
        <v>4063.7689986647251</v>
      </c>
      <c r="CC96" s="21">
        <f t="shared" si="344"/>
        <v>4063.7689986647251</v>
      </c>
      <c r="CD96" s="21">
        <f t="shared" si="344"/>
        <v>4063.7689986647251</v>
      </c>
      <c r="CE96" s="21">
        <f t="shared" si="345"/>
        <v>4063.7689986647251</v>
      </c>
      <c r="CF96" s="21">
        <f t="shared" si="345"/>
        <v>4063.7689986647251</v>
      </c>
      <c r="CG96" s="21">
        <f t="shared" si="345"/>
        <v>4063.7689986647251</v>
      </c>
      <c r="CH96" s="21">
        <f t="shared" si="345"/>
        <v>4063.7689986647251</v>
      </c>
      <c r="CI96" s="21">
        <f t="shared" si="345"/>
        <v>4063.7689986647251</v>
      </c>
      <c r="CJ96" s="21">
        <f t="shared" si="345"/>
        <v>4063.7689986647251</v>
      </c>
      <c r="CK96" s="21">
        <f t="shared" si="345"/>
        <v>4063.7689986647251</v>
      </c>
      <c r="CL96" s="21">
        <f t="shared" si="345"/>
        <v>4063.7689986647251</v>
      </c>
      <c r="CM96" s="21">
        <f t="shared" si="345"/>
        <v>4063.7689986647251</v>
      </c>
      <c r="CN96" s="21">
        <f t="shared" si="345"/>
        <v>4063.7689986647251</v>
      </c>
      <c r="CO96" s="21">
        <f t="shared" si="346"/>
        <v>4063.7689986647251</v>
      </c>
      <c r="CP96" s="21">
        <f t="shared" si="346"/>
        <v>4063.7689986647251</v>
      </c>
      <c r="CQ96" s="21">
        <f t="shared" si="346"/>
        <v>4063.7689986647251</v>
      </c>
      <c r="CR96" s="21">
        <f t="shared" si="346"/>
        <v>4063.7689986647251</v>
      </c>
      <c r="CS96" s="21">
        <f t="shared" si="346"/>
        <v>4063.7689986647251</v>
      </c>
      <c r="CT96" s="21">
        <f t="shared" si="346"/>
        <v>4063.7689986647251</v>
      </c>
      <c r="CU96" s="21">
        <f t="shared" si="346"/>
        <v>4063.7689986647251</v>
      </c>
      <c r="CV96" s="21">
        <f t="shared" si="346"/>
        <v>4063.7689986647251</v>
      </c>
      <c r="CW96" s="21">
        <f t="shared" si="346"/>
        <v>4063.7689986647251</v>
      </c>
      <c r="CX96" s="21">
        <f t="shared" si="346"/>
        <v>4063.7689986647251</v>
      </c>
      <c r="CY96" s="21">
        <f t="shared" si="347"/>
        <v>4063.7689986647251</v>
      </c>
      <c r="CZ96" s="21">
        <f t="shared" si="347"/>
        <v>4063.7689986647251</v>
      </c>
      <c r="DA96" s="21">
        <f t="shared" si="347"/>
        <v>4063.7689986647251</v>
      </c>
      <c r="DB96" s="21">
        <f t="shared" si="347"/>
        <v>4063.7689986647251</v>
      </c>
      <c r="DC96" s="21">
        <f t="shared" si="347"/>
        <v>4063.7689986647251</v>
      </c>
      <c r="DD96" s="21">
        <f t="shared" si="347"/>
        <v>4063.7689986647251</v>
      </c>
      <c r="DE96" s="21">
        <f t="shared" si="347"/>
        <v>4063.7689986647251</v>
      </c>
      <c r="DF96" s="21">
        <f t="shared" si="347"/>
        <v>4063.7689986647251</v>
      </c>
      <c r="DH96" s="21">
        <f t="shared" si="348"/>
        <v>4063.7689986647251</v>
      </c>
      <c r="DI96" s="21">
        <f t="shared" si="348"/>
        <v>4063.7689986647251</v>
      </c>
      <c r="DJ96" s="21">
        <f t="shared" si="348"/>
        <v>4063.7689986647251</v>
      </c>
      <c r="DK96" s="21">
        <f t="shared" si="348"/>
        <v>4063.7689986647251</v>
      </c>
      <c r="DL96" s="21">
        <f t="shared" si="348"/>
        <v>4063.7689986647251</v>
      </c>
      <c r="DM96" s="21">
        <f t="shared" si="348"/>
        <v>4063.7689986647251</v>
      </c>
      <c r="DN96" s="21">
        <f t="shared" si="348"/>
        <v>4063.7689986647251</v>
      </c>
      <c r="DO96" s="21">
        <f t="shared" si="348"/>
        <v>4063.7689986647251</v>
      </c>
      <c r="DP96" s="21">
        <f t="shared" si="348"/>
        <v>4063.7689986647251</v>
      </c>
      <c r="DQ96" s="21">
        <f t="shared" si="348"/>
        <v>4063.7689986647251</v>
      </c>
      <c r="DR96" s="21">
        <f t="shared" si="348"/>
        <v>4063.7689986647251</v>
      </c>
      <c r="DS96" s="21">
        <f t="shared" si="349"/>
        <v>4063.7689986647251</v>
      </c>
      <c r="DT96" s="21">
        <f t="shared" si="349"/>
        <v>4063.7689986647251</v>
      </c>
      <c r="DU96" s="21">
        <f t="shared" si="349"/>
        <v>4063.7689986647251</v>
      </c>
      <c r="DV96" s="21">
        <f t="shared" si="349"/>
        <v>4063.7689986647251</v>
      </c>
      <c r="DW96" s="21">
        <f t="shared" si="349"/>
        <v>4063.7689986647251</v>
      </c>
      <c r="DX96" s="21">
        <f t="shared" si="350"/>
        <v>4063.7689986647251</v>
      </c>
      <c r="DY96" s="21">
        <f t="shared" si="350"/>
        <v>4063.7689986647251</v>
      </c>
      <c r="DZ96" s="21">
        <f t="shared" si="350"/>
        <v>4063.7689986647251</v>
      </c>
      <c r="EA96" s="21">
        <f t="shared" si="350"/>
        <v>4063.7689986647251</v>
      </c>
      <c r="EB96" s="21">
        <f t="shared" si="350"/>
        <v>4063.7689986647251</v>
      </c>
      <c r="EC96" s="21">
        <f t="shared" si="350"/>
        <v>4063.7689986647251</v>
      </c>
      <c r="ED96" s="21">
        <f t="shared" si="351"/>
        <v>4063.7689986647251</v>
      </c>
      <c r="EH96" s="21" t="str">
        <f t="shared" si="352"/>
        <v>Polycarbonate (PC) Resin</v>
      </c>
      <c r="EI96" s="70">
        <f>[7]Plastic!$L$116/1000</f>
        <v>4063.7689986647251</v>
      </c>
      <c r="EJ96" s="70">
        <f>[5]Plastic!$L$116/1000</f>
        <v>4063.7689986647251</v>
      </c>
    </row>
    <row r="97" spans="1:144" x14ac:dyDescent="0.3">
      <c r="A97" s="21" t="s">
        <v>121</v>
      </c>
      <c r="D97" s="21">
        <f t="shared" si="336"/>
        <v>36239.757185398543</v>
      </c>
      <c r="E97" s="21">
        <f t="shared" si="336"/>
        <v>36239.757185398543</v>
      </c>
      <c r="F97" s="21">
        <f t="shared" si="336"/>
        <v>36239.757185398543</v>
      </c>
      <c r="G97" s="21">
        <f t="shared" si="336"/>
        <v>36239.757185398543</v>
      </c>
      <c r="H97" s="21">
        <f t="shared" si="336"/>
        <v>36239.757185398543</v>
      </c>
      <c r="I97" s="21">
        <f t="shared" si="336"/>
        <v>36239.757185398543</v>
      </c>
      <c r="J97" s="21">
        <f t="shared" si="336"/>
        <v>36239.757185398543</v>
      </c>
      <c r="K97" s="21">
        <f t="shared" si="336"/>
        <v>36239.757185398543</v>
      </c>
      <c r="L97" s="21">
        <f t="shared" si="336"/>
        <v>36239.757185398543</v>
      </c>
      <c r="M97" s="21">
        <f t="shared" si="336"/>
        <v>36239.757185398543</v>
      </c>
      <c r="N97" s="21">
        <f t="shared" si="337"/>
        <v>36239.757185398543</v>
      </c>
      <c r="O97" s="21">
        <f t="shared" si="337"/>
        <v>36239.757185398543</v>
      </c>
      <c r="P97" s="21">
        <f t="shared" si="337"/>
        <v>36239.757185398543</v>
      </c>
      <c r="Q97" s="21">
        <f t="shared" si="337"/>
        <v>36239.757185398543</v>
      </c>
      <c r="R97" s="21">
        <f t="shared" si="337"/>
        <v>36239.757185398543</v>
      </c>
      <c r="S97" s="21">
        <f t="shared" si="337"/>
        <v>36239.757185398543</v>
      </c>
      <c r="T97" s="21">
        <f t="shared" si="337"/>
        <v>36239.757185398543</v>
      </c>
      <c r="U97" s="21">
        <f t="shared" si="337"/>
        <v>36239.757185398543</v>
      </c>
      <c r="V97" s="21">
        <f t="shared" si="337"/>
        <v>36239.757185398543</v>
      </c>
      <c r="W97" s="21">
        <f t="shared" si="337"/>
        <v>36239.757185398543</v>
      </c>
      <c r="X97" s="21">
        <f t="shared" si="337"/>
        <v>36239.757185398543</v>
      </c>
      <c r="Y97" s="21">
        <f t="shared" si="337"/>
        <v>36239.757185398543</v>
      </c>
      <c r="Z97" s="21">
        <f t="shared" si="337"/>
        <v>36239.757185398543</v>
      </c>
      <c r="AA97" s="21">
        <f t="shared" si="337"/>
        <v>36239.757185398543</v>
      </c>
      <c r="AB97" s="21">
        <f t="shared" si="338"/>
        <v>36239.757185398543</v>
      </c>
      <c r="AC97" s="21">
        <f t="shared" si="338"/>
        <v>36239.757185398543</v>
      </c>
      <c r="AD97" s="21">
        <f t="shared" si="338"/>
        <v>36239.757185398543</v>
      </c>
      <c r="AE97" s="21">
        <f t="shared" si="339"/>
        <v>36239.757185398543</v>
      </c>
      <c r="AF97" s="21">
        <f t="shared" si="339"/>
        <v>36239.757185398543</v>
      </c>
      <c r="AG97" s="21">
        <f t="shared" si="340"/>
        <v>36239.757185398543</v>
      </c>
      <c r="AH97" s="21">
        <f t="shared" si="340"/>
        <v>36239.757185398543</v>
      </c>
      <c r="AI97" s="21">
        <f t="shared" si="340"/>
        <v>36239.757185398543</v>
      </c>
      <c r="AJ97" s="21">
        <f t="shared" si="340"/>
        <v>36239.757185398543</v>
      </c>
      <c r="AK97" s="21">
        <f t="shared" si="340"/>
        <v>36239.757185398543</v>
      </c>
      <c r="AL97" s="21">
        <f t="shared" si="340"/>
        <v>36239.757185398543</v>
      </c>
      <c r="AM97" s="21">
        <f t="shared" si="340"/>
        <v>36239.757185398543</v>
      </c>
      <c r="AN97" s="21">
        <f t="shared" si="340"/>
        <v>36239.757185398543</v>
      </c>
      <c r="AO97" s="21">
        <f t="shared" si="340"/>
        <v>36239.757185398543</v>
      </c>
      <c r="AP97" s="21">
        <f t="shared" si="340"/>
        <v>36239.757185398543</v>
      </c>
      <c r="AQ97" s="21">
        <f t="shared" si="341"/>
        <v>36239.757185398543</v>
      </c>
      <c r="AR97" s="21">
        <f t="shared" si="341"/>
        <v>36239.757185398543</v>
      </c>
      <c r="AS97" s="21">
        <f t="shared" si="341"/>
        <v>36239.757185398543</v>
      </c>
      <c r="AT97" s="21">
        <f t="shared" si="341"/>
        <v>36239.757185398543</v>
      </c>
      <c r="AU97" s="21">
        <f t="shared" si="341"/>
        <v>36239.757185398543</v>
      </c>
      <c r="AV97" s="21">
        <f t="shared" si="341"/>
        <v>36239.757185398543</v>
      </c>
      <c r="AW97" s="21">
        <f t="shared" si="341"/>
        <v>36239.757185398543</v>
      </c>
      <c r="AX97" s="21">
        <f t="shared" si="341"/>
        <v>36239.757185398543</v>
      </c>
      <c r="AY97" s="21">
        <f t="shared" si="341"/>
        <v>36239.757185398543</v>
      </c>
      <c r="AZ97" s="21">
        <f t="shared" si="341"/>
        <v>36239.757185398543</v>
      </c>
      <c r="BA97" s="21">
        <f t="shared" si="342"/>
        <v>36239.757185398543</v>
      </c>
      <c r="BB97" s="21">
        <f t="shared" si="342"/>
        <v>36239.757185398543</v>
      </c>
      <c r="BC97" s="21">
        <f t="shared" si="342"/>
        <v>36239.757185398543</v>
      </c>
      <c r="BD97" s="21">
        <f t="shared" si="342"/>
        <v>36239.757185398543</v>
      </c>
      <c r="BE97" s="21">
        <f t="shared" si="342"/>
        <v>36239.757185398543</v>
      </c>
      <c r="BF97" s="21">
        <f t="shared" si="342"/>
        <v>36239.757185398543</v>
      </c>
      <c r="BG97" s="21">
        <f t="shared" si="342"/>
        <v>36239.757185398543</v>
      </c>
      <c r="BH97" s="21">
        <f t="shared" si="342"/>
        <v>36239.757185398543</v>
      </c>
      <c r="BI97" s="21">
        <f t="shared" si="342"/>
        <v>36239.757185398543</v>
      </c>
      <c r="BJ97" s="21">
        <f t="shared" si="342"/>
        <v>36239.757185398543</v>
      </c>
      <c r="BK97" s="21">
        <f t="shared" si="343"/>
        <v>36239.757185398543</v>
      </c>
      <c r="BL97" s="21">
        <f t="shared" si="343"/>
        <v>36239.757185398543</v>
      </c>
      <c r="BM97" s="21">
        <f t="shared" si="343"/>
        <v>36239.757185398543</v>
      </c>
      <c r="BN97" s="21">
        <f t="shared" si="343"/>
        <v>36239.757185398543</v>
      </c>
      <c r="BO97" s="21">
        <f t="shared" si="343"/>
        <v>36239.757185398543</v>
      </c>
      <c r="BP97" s="21">
        <f t="shared" si="343"/>
        <v>36239.757185398543</v>
      </c>
      <c r="BQ97" s="21">
        <f t="shared" si="343"/>
        <v>36239.757185398543</v>
      </c>
      <c r="BR97" s="21">
        <f t="shared" si="343"/>
        <v>36239.757185398543</v>
      </c>
      <c r="BS97" s="21">
        <f t="shared" si="343"/>
        <v>36239.757185398543</v>
      </c>
      <c r="BT97" s="21">
        <f t="shared" si="343"/>
        <v>36239.757185398543</v>
      </c>
      <c r="BU97" s="21">
        <f t="shared" si="344"/>
        <v>36239.757185398543</v>
      </c>
      <c r="BV97" s="21">
        <f t="shared" si="344"/>
        <v>36239.757185398543</v>
      </c>
      <c r="BW97" s="21">
        <f t="shared" si="344"/>
        <v>36239.757185398543</v>
      </c>
      <c r="BX97" s="21">
        <f t="shared" si="344"/>
        <v>36239.757185398543</v>
      </c>
      <c r="BY97" s="21">
        <f t="shared" si="344"/>
        <v>36239.757185398543</v>
      </c>
      <c r="BZ97" s="21">
        <f t="shared" si="344"/>
        <v>36239.757185398543</v>
      </c>
      <c r="CA97" s="21">
        <f t="shared" si="344"/>
        <v>36239.757185398543</v>
      </c>
      <c r="CB97" s="21">
        <f t="shared" si="344"/>
        <v>36239.757185398543</v>
      </c>
      <c r="CC97" s="21">
        <f t="shared" si="344"/>
        <v>36239.757185398543</v>
      </c>
      <c r="CD97" s="21">
        <f t="shared" si="344"/>
        <v>36239.757185398543</v>
      </c>
      <c r="CE97" s="21">
        <f t="shared" si="345"/>
        <v>36239.757185398543</v>
      </c>
      <c r="CF97" s="21">
        <f t="shared" si="345"/>
        <v>36239.757185398543</v>
      </c>
      <c r="CG97" s="21">
        <f t="shared" si="345"/>
        <v>36239.757185398543</v>
      </c>
      <c r="CH97" s="21">
        <f t="shared" si="345"/>
        <v>36239.757185398543</v>
      </c>
      <c r="CI97" s="21">
        <f t="shared" si="345"/>
        <v>36239.757185398543</v>
      </c>
      <c r="CJ97" s="21">
        <f t="shared" si="345"/>
        <v>36239.757185398543</v>
      </c>
      <c r="CK97" s="21">
        <f t="shared" si="345"/>
        <v>36239.757185398543</v>
      </c>
      <c r="CL97" s="21">
        <f t="shared" si="345"/>
        <v>36239.757185398543</v>
      </c>
      <c r="CM97" s="21">
        <f t="shared" si="345"/>
        <v>36239.757185398543</v>
      </c>
      <c r="CN97" s="21">
        <f t="shared" si="345"/>
        <v>36239.757185398543</v>
      </c>
      <c r="CO97" s="21">
        <f t="shared" si="346"/>
        <v>36239.757185398543</v>
      </c>
      <c r="CP97" s="21">
        <f t="shared" si="346"/>
        <v>36239.757185398543</v>
      </c>
      <c r="CQ97" s="21">
        <f t="shared" si="346"/>
        <v>36239.757185398543</v>
      </c>
      <c r="CR97" s="21">
        <f t="shared" si="346"/>
        <v>36239.757185398543</v>
      </c>
      <c r="CS97" s="21">
        <f t="shared" si="346"/>
        <v>36239.757185398543</v>
      </c>
      <c r="CT97" s="21">
        <f t="shared" si="346"/>
        <v>36239.757185398543</v>
      </c>
      <c r="CU97" s="21">
        <f t="shared" si="346"/>
        <v>36239.757185398543</v>
      </c>
      <c r="CV97" s="21">
        <f t="shared" si="346"/>
        <v>36239.757185398543</v>
      </c>
      <c r="CW97" s="21">
        <f t="shared" si="346"/>
        <v>36239.757185398543</v>
      </c>
      <c r="CX97" s="21">
        <f t="shared" si="346"/>
        <v>36239.757185398543</v>
      </c>
      <c r="CY97" s="21">
        <f t="shared" si="347"/>
        <v>36239.757185398543</v>
      </c>
      <c r="CZ97" s="21">
        <f t="shared" si="347"/>
        <v>36239.757185398543</v>
      </c>
      <c r="DA97" s="21">
        <f t="shared" si="347"/>
        <v>36239.757185398543</v>
      </c>
      <c r="DB97" s="21">
        <f t="shared" si="347"/>
        <v>36239.757185398543</v>
      </c>
      <c r="DC97" s="21">
        <f t="shared" si="347"/>
        <v>36239.757185398543</v>
      </c>
      <c r="DD97" s="21">
        <f t="shared" si="347"/>
        <v>36239.757185398543</v>
      </c>
      <c r="DE97" s="21">
        <f t="shared" si="347"/>
        <v>36239.757185398543</v>
      </c>
      <c r="DF97" s="21">
        <f t="shared" si="347"/>
        <v>36239.757185398543</v>
      </c>
      <c r="DH97" s="21">
        <f t="shared" si="348"/>
        <v>36239.757185398543</v>
      </c>
      <c r="DI97" s="21">
        <f t="shared" si="348"/>
        <v>36239.757185398543</v>
      </c>
      <c r="DJ97" s="21">
        <f t="shared" si="348"/>
        <v>36239.757185398543</v>
      </c>
      <c r="DK97" s="21">
        <f t="shared" si="348"/>
        <v>36239.757185398543</v>
      </c>
      <c r="DL97" s="21">
        <f t="shared" si="348"/>
        <v>36239.757185398543</v>
      </c>
      <c r="DM97" s="21">
        <f t="shared" si="348"/>
        <v>36239.757185398543</v>
      </c>
      <c r="DN97" s="21">
        <f t="shared" si="348"/>
        <v>36239.757185398543</v>
      </c>
      <c r="DO97" s="21">
        <f t="shared" si="348"/>
        <v>36239.757185398543</v>
      </c>
      <c r="DP97" s="21">
        <f t="shared" si="348"/>
        <v>36239.757185398543</v>
      </c>
      <c r="DQ97" s="21">
        <f t="shared" si="348"/>
        <v>36239.757185398543</v>
      </c>
      <c r="DR97" s="21">
        <f t="shared" si="348"/>
        <v>36239.757185398543</v>
      </c>
      <c r="DS97" s="21">
        <f t="shared" si="349"/>
        <v>36239.757185398543</v>
      </c>
      <c r="DT97" s="21">
        <f t="shared" si="349"/>
        <v>36239.757185398543</v>
      </c>
      <c r="DU97" s="21">
        <f t="shared" si="349"/>
        <v>36239.757185398543</v>
      </c>
      <c r="DV97" s="21">
        <f t="shared" si="349"/>
        <v>36239.757185398543</v>
      </c>
      <c r="DW97" s="21">
        <f t="shared" si="349"/>
        <v>36239.757185398543</v>
      </c>
      <c r="DX97" s="21">
        <f t="shared" si="350"/>
        <v>36239.757185398543</v>
      </c>
      <c r="DY97" s="21">
        <f t="shared" si="350"/>
        <v>36239.757185398543</v>
      </c>
      <c r="DZ97" s="21">
        <f t="shared" si="350"/>
        <v>36239.757185398543</v>
      </c>
      <c r="EA97" s="21">
        <f t="shared" si="350"/>
        <v>36239.757185398543</v>
      </c>
      <c r="EB97" s="21">
        <f t="shared" si="350"/>
        <v>36239.757185398543</v>
      </c>
      <c r="EC97" s="21">
        <f t="shared" si="350"/>
        <v>36239.757185398543</v>
      </c>
      <c r="ED97" s="21">
        <f t="shared" si="351"/>
        <v>36239.757185398543</v>
      </c>
      <c r="EH97" s="21" t="str">
        <f t="shared" si="352"/>
        <v>Carbon Fiber</v>
      </c>
      <c r="EI97" s="70">
        <f>[7]Plastic!$T$116/1000</f>
        <v>36239.757185398543</v>
      </c>
      <c r="EJ97" s="70">
        <f>[5]Plastic!$T$116/1000</f>
        <v>36239.757185398543</v>
      </c>
    </row>
    <row r="98" spans="1:144" x14ac:dyDescent="0.3">
      <c r="A98" s="21" t="s">
        <v>143</v>
      </c>
      <c r="D98" s="21">
        <f t="shared" si="336"/>
        <v>3575.2231881817438</v>
      </c>
      <c r="E98" s="21">
        <f t="shared" si="336"/>
        <v>3575.2231881817438</v>
      </c>
      <c r="F98" s="21">
        <f t="shared" si="336"/>
        <v>3575.2231881817438</v>
      </c>
      <c r="G98" s="21">
        <f t="shared" si="336"/>
        <v>3575.2231881817438</v>
      </c>
      <c r="H98" s="21">
        <f t="shared" si="336"/>
        <v>3575.2231881817438</v>
      </c>
      <c r="I98" s="21">
        <f t="shared" si="336"/>
        <v>3575.2231881817438</v>
      </c>
      <c r="J98" s="21">
        <f t="shared" si="336"/>
        <v>3575.2231881817438</v>
      </c>
      <c r="K98" s="21">
        <f t="shared" si="336"/>
        <v>3575.2231881817438</v>
      </c>
      <c r="L98" s="21">
        <f t="shared" si="336"/>
        <v>3575.2231881817438</v>
      </c>
      <c r="M98" s="21">
        <f t="shared" si="336"/>
        <v>3575.2231881817438</v>
      </c>
      <c r="N98" s="21">
        <f t="shared" si="337"/>
        <v>3575.2231881817438</v>
      </c>
      <c r="O98" s="21">
        <f t="shared" si="337"/>
        <v>3575.2231881817438</v>
      </c>
      <c r="P98" s="21">
        <f t="shared" si="337"/>
        <v>3575.2231881817438</v>
      </c>
      <c r="Q98" s="21">
        <f t="shared" si="337"/>
        <v>3575.2231881817438</v>
      </c>
      <c r="R98" s="21">
        <f t="shared" si="337"/>
        <v>3575.2231881817438</v>
      </c>
      <c r="S98" s="21">
        <f t="shared" si="337"/>
        <v>3575.2231881817438</v>
      </c>
      <c r="T98" s="21">
        <f t="shared" si="337"/>
        <v>3575.2231881817438</v>
      </c>
      <c r="U98" s="21">
        <f t="shared" si="337"/>
        <v>3575.2231881817438</v>
      </c>
      <c r="V98" s="21">
        <f t="shared" si="337"/>
        <v>3575.2231881817438</v>
      </c>
      <c r="W98" s="21">
        <f t="shared" si="337"/>
        <v>3575.2231881817438</v>
      </c>
      <c r="X98" s="21">
        <f t="shared" si="337"/>
        <v>3575.2231881817438</v>
      </c>
      <c r="Y98" s="21">
        <f t="shared" si="337"/>
        <v>3575.2231881817438</v>
      </c>
      <c r="Z98" s="21">
        <f t="shared" si="337"/>
        <v>3575.2231881817438</v>
      </c>
      <c r="AA98" s="21">
        <f t="shared" si="337"/>
        <v>3575.2231881817438</v>
      </c>
      <c r="AB98" s="21">
        <f t="shared" si="338"/>
        <v>3575.2231881817438</v>
      </c>
      <c r="AC98" s="21">
        <f t="shared" si="338"/>
        <v>3575.2231881817438</v>
      </c>
      <c r="AD98" s="21">
        <f t="shared" si="338"/>
        <v>3575.2231881817438</v>
      </c>
      <c r="AE98" s="21">
        <f t="shared" si="339"/>
        <v>3575.2231881817438</v>
      </c>
      <c r="AF98" s="21">
        <f t="shared" si="339"/>
        <v>3575.2231881817438</v>
      </c>
      <c r="AG98" s="21">
        <f t="shared" si="340"/>
        <v>3575.2231881817438</v>
      </c>
      <c r="AH98" s="21">
        <f t="shared" si="340"/>
        <v>3575.2231881817438</v>
      </c>
      <c r="AI98" s="21">
        <f t="shared" si="340"/>
        <v>3575.2231881817438</v>
      </c>
      <c r="AJ98" s="21">
        <f t="shared" si="340"/>
        <v>3575.2231881817438</v>
      </c>
      <c r="AK98" s="21">
        <f t="shared" si="340"/>
        <v>3575.2231881817438</v>
      </c>
      <c r="AL98" s="21">
        <f t="shared" si="340"/>
        <v>3575.2231881817438</v>
      </c>
      <c r="AM98" s="21">
        <f t="shared" si="340"/>
        <v>3575.2231881817438</v>
      </c>
      <c r="AN98" s="21">
        <f t="shared" si="340"/>
        <v>3575.2231881817438</v>
      </c>
      <c r="AO98" s="21">
        <f t="shared" si="340"/>
        <v>3575.2231881817438</v>
      </c>
      <c r="AP98" s="21">
        <f t="shared" si="340"/>
        <v>3575.2231881817438</v>
      </c>
      <c r="AQ98" s="21">
        <f t="shared" si="341"/>
        <v>3575.2231881817438</v>
      </c>
      <c r="AR98" s="21">
        <f t="shared" si="341"/>
        <v>3575.2231881817438</v>
      </c>
      <c r="AS98" s="21">
        <f t="shared" si="341"/>
        <v>3575.2231881817438</v>
      </c>
      <c r="AT98" s="21">
        <f t="shared" si="341"/>
        <v>3575.2231881817438</v>
      </c>
      <c r="AU98" s="21">
        <f t="shared" si="341"/>
        <v>3575.2231881817438</v>
      </c>
      <c r="AV98" s="21">
        <f t="shared" si="341"/>
        <v>3575.2231881817438</v>
      </c>
      <c r="AW98" s="21">
        <f t="shared" si="341"/>
        <v>3575.2231881817438</v>
      </c>
      <c r="AX98" s="21">
        <f t="shared" si="341"/>
        <v>3575.2231881817438</v>
      </c>
      <c r="AY98" s="21">
        <f t="shared" si="341"/>
        <v>3575.2231881817438</v>
      </c>
      <c r="AZ98" s="21">
        <f t="shared" si="341"/>
        <v>3575.2231881817438</v>
      </c>
      <c r="BA98" s="21">
        <f t="shared" si="342"/>
        <v>3575.2231881817438</v>
      </c>
      <c r="BB98" s="21">
        <f t="shared" si="342"/>
        <v>3575.2231881817438</v>
      </c>
      <c r="BC98" s="21">
        <f t="shared" si="342"/>
        <v>3575.2231881817438</v>
      </c>
      <c r="BD98" s="21">
        <f t="shared" si="342"/>
        <v>3575.2231881817438</v>
      </c>
      <c r="BE98" s="21">
        <f t="shared" si="342"/>
        <v>3575.2231881817438</v>
      </c>
      <c r="BF98" s="21">
        <f t="shared" si="342"/>
        <v>3575.2231881817438</v>
      </c>
      <c r="BG98" s="21">
        <f t="shared" si="342"/>
        <v>3575.2231881817438</v>
      </c>
      <c r="BH98" s="21">
        <f t="shared" si="342"/>
        <v>3575.2231881817438</v>
      </c>
      <c r="BI98" s="21">
        <f t="shared" si="342"/>
        <v>3575.2231881817438</v>
      </c>
      <c r="BJ98" s="21">
        <f t="shared" si="342"/>
        <v>3575.2231881817438</v>
      </c>
      <c r="BK98" s="21">
        <f t="shared" si="343"/>
        <v>3575.2231881817438</v>
      </c>
      <c r="BL98" s="21">
        <f t="shared" si="343"/>
        <v>3575.2231881817438</v>
      </c>
      <c r="BM98" s="21">
        <f t="shared" si="343"/>
        <v>3575.2231881817438</v>
      </c>
      <c r="BN98" s="21">
        <f t="shared" si="343"/>
        <v>3575.2231881817438</v>
      </c>
      <c r="BO98" s="21">
        <f t="shared" si="343"/>
        <v>3575.2231881817438</v>
      </c>
      <c r="BP98" s="21">
        <f t="shared" si="343"/>
        <v>3575.2231881817438</v>
      </c>
      <c r="BQ98" s="21">
        <f t="shared" si="343"/>
        <v>3575.2231881817438</v>
      </c>
      <c r="BR98" s="21">
        <f t="shared" si="343"/>
        <v>3575.2231881817438</v>
      </c>
      <c r="BS98" s="21">
        <f t="shared" si="343"/>
        <v>3575.2231881817438</v>
      </c>
      <c r="BT98" s="21">
        <f t="shared" si="343"/>
        <v>3575.2231881817438</v>
      </c>
      <c r="BU98" s="21">
        <f t="shared" si="344"/>
        <v>3575.2231881817438</v>
      </c>
      <c r="BV98" s="21">
        <f t="shared" si="344"/>
        <v>3575.2231881817438</v>
      </c>
      <c r="BW98" s="21">
        <f t="shared" si="344"/>
        <v>3575.2231881817438</v>
      </c>
      <c r="BX98" s="21">
        <f t="shared" si="344"/>
        <v>3575.2231881817438</v>
      </c>
      <c r="BY98" s="21">
        <f t="shared" si="344"/>
        <v>3575.2231881817438</v>
      </c>
      <c r="BZ98" s="21">
        <f t="shared" si="344"/>
        <v>3575.2231881817438</v>
      </c>
      <c r="CA98" s="21">
        <f t="shared" si="344"/>
        <v>3575.2231881817438</v>
      </c>
      <c r="CB98" s="21">
        <f t="shared" si="344"/>
        <v>3575.2231881817438</v>
      </c>
      <c r="CC98" s="21">
        <f t="shared" si="344"/>
        <v>3575.2231881817438</v>
      </c>
      <c r="CD98" s="21">
        <f t="shared" si="344"/>
        <v>3575.2231881817438</v>
      </c>
      <c r="CE98" s="21">
        <f t="shared" si="345"/>
        <v>3575.2231881817438</v>
      </c>
      <c r="CF98" s="21">
        <f t="shared" si="345"/>
        <v>3575.2231881817438</v>
      </c>
      <c r="CG98" s="21">
        <f t="shared" si="345"/>
        <v>3575.2231881817438</v>
      </c>
      <c r="CH98" s="21">
        <f t="shared" si="345"/>
        <v>3575.2231881817438</v>
      </c>
      <c r="CI98" s="21">
        <f t="shared" si="345"/>
        <v>3575.2231881817438</v>
      </c>
      <c r="CJ98" s="21">
        <f t="shared" si="345"/>
        <v>3575.2231881817438</v>
      </c>
      <c r="CK98" s="21">
        <f t="shared" si="345"/>
        <v>3575.2231881817438</v>
      </c>
      <c r="CL98" s="21">
        <f t="shared" si="345"/>
        <v>3575.2231881817438</v>
      </c>
      <c r="CM98" s="21">
        <f t="shared" si="345"/>
        <v>3575.2231881817438</v>
      </c>
      <c r="CN98" s="21">
        <f t="shared" si="345"/>
        <v>3575.2231881817438</v>
      </c>
      <c r="CO98" s="21">
        <f t="shared" si="346"/>
        <v>3575.2231881817438</v>
      </c>
      <c r="CP98" s="21">
        <f t="shared" si="346"/>
        <v>3575.2231881817438</v>
      </c>
      <c r="CQ98" s="21">
        <f t="shared" si="346"/>
        <v>3575.2231881817438</v>
      </c>
      <c r="CR98" s="21">
        <f t="shared" si="346"/>
        <v>3575.2231881817438</v>
      </c>
      <c r="CS98" s="21">
        <f t="shared" si="346"/>
        <v>3575.2231881817438</v>
      </c>
      <c r="CT98" s="21">
        <f t="shared" si="346"/>
        <v>3575.2231881817438</v>
      </c>
      <c r="CU98" s="21">
        <f t="shared" si="346"/>
        <v>3575.2231881817438</v>
      </c>
      <c r="CV98" s="21">
        <f t="shared" si="346"/>
        <v>3575.2231881817438</v>
      </c>
      <c r="CW98" s="21">
        <f t="shared" si="346"/>
        <v>3575.2231881817438</v>
      </c>
      <c r="CX98" s="21">
        <f t="shared" si="346"/>
        <v>3575.2231881817438</v>
      </c>
      <c r="CY98" s="21">
        <f t="shared" si="347"/>
        <v>3575.2231881817438</v>
      </c>
      <c r="CZ98" s="21">
        <f t="shared" si="347"/>
        <v>3575.2231881817438</v>
      </c>
      <c r="DA98" s="21">
        <f t="shared" si="347"/>
        <v>3575.2231881817438</v>
      </c>
      <c r="DB98" s="21">
        <f t="shared" si="347"/>
        <v>3575.2231881817438</v>
      </c>
      <c r="DC98" s="21">
        <f t="shared" si="347"/>
        <v>3575.2231881817438</v>
      </c>
      <c r="DD98" s="21">
        <f t="shared" si="347"/>
        <v>3575.2231881817438</v>
      </c>
      <c r="DE98" s="21">
        <f t="shared" si="347"/>
        <v>3575.2231881817438</v>
      </c>
      <c r="DF98" s="21">
        <f t="shared" si="347"/>
        <v>3575.2231881817438</v>
      </c>
      <c r="DH98" s="21">
        <f t="shared" si="348"/>
        <v>3575.2231881817438</v>
      </c>
      <c r="DI98" s="21">
        <f t="shared" si="348"/>
        <v>3575.2231881817438</v>
      </c>
      <c r="DJ98" s="21">
        <f t="shared" si="348"/>
        <v>3575.2231881817438</v>
      </c>
      <c r="DK98" s="21">
        <f t="shared" si="348"/>
        <v>3575.2231881817438</v>
      </c>
      <c r="DL98" s="21">
        <f t="shared" si="348"/>
        <v>3575.2231881817438</v>
      </c>
      <c r="DM98" s="21">
        <f t="shared" si="348"/>
        <v>3575.2231881817438</v>
      </c>
      <c r="DN98" s="21">
        <f t="shared" si="348"/>
        <v>3575.2231881817438</v>
      </c>
      <c r="DO98" s="21">
        <f t="shared" si="348"/>
        <v>3575.2231881817438</v>
      </c>
      <c r="DP98" s="21">
        <f t="shared" si="348"/>
        <v>3575.2231881817438</v>
      </c>
      <c r="DQ98" s="21">
        <f t="shared" si="348"/>
        <v>3575.2231881817438</v>
      </c>
      <c r="DR98" s="21">
        <f t="shared" si="348"/>
        <v>3575.2231881817438</v>
      </c>
      <c r="DS98" s="21">
        <f t="shared" si="349"/>
        <v>3575.2231881817438</v>
      </c>
      <c r="DT98" s="21">
        <f t="shared" si="349"/>
        <v>3575.2231881817438</v>
      </c>
      <c r="DU98" s="21">
        <f t="shared" si="349"/>
        <v>3575.2231881817438</v>
      </c>
      <c r="DV98" s="21">
        <f t="shared" si="349"/>
        <v>3575.2231881817438</v>
      </c>
      <c r="DW98" s="21">
        <f t="shared" si="349"/>
        <v>3575.2231881817438</v>
      </c>
      <c r="DX98" s="21">
        <f t="shared" si="350"/>
        <v>3575.2231881817438</v>
      </c>
      <c r="DY98" s="21">
        <f t="shared" si="350"/>
        <v>3575.2231881817438</v>
      </c>
      <c r="DZ98" s="21">
        <f t="shared" si="350"/>
        <v>3575.2231881817438</v>
      </c>
      <c r="EA98" s="21">
        <f t="shared" si="350"/>
        <v>3575.2231881817438</v>
      </c>
      <c r="EB98" s="21">
        <f t="shared" si="350"/>
        <v>3575.2231881817438</v>
      </c>
      <c r="EC98" s="21">
        <f t="shared" si="350"/>
        <v>3575.2231881817438</v>
      </c>
      <c r="ED98" s="21">
        <f t="shared" si="351"/>
        <v>3575.2231881817438</v>
      </c>
      <c r="EH98" s="21" t="str">
        <f t="shared" si="352"/>
        <v>Final Average Rubber Product: Combined</v>
      </c>
      <c r="EI98" s="70">
        <f>[7]Rubber!$I$84/1000</f>
        <v>3575.2231881817438</v>
      </c>
      <c r="EJ98" s="70">
        <f>[5]Rubber!$I$84/1000</f>
        <v>3575.2231881817438</v>
      </c>
    </row>
    <row r="99" spans="1:144" x14ac:dyDescent="0.3">
      <c r="A99" s="21" t="s">
        <v>144</v>
      </c>
      <c r="D99" s="21">
        <f t="shared" si="336"/>
        <v>9000</v>
      </c>
      <c r="E99" s="21">
        <f t="shared" si="336"/>
        <v>9000</v>
      </c>
      <c r="F99" s="21">
        <f t="shared" si="336"/>
        <v>9000</v>
      </c>
      <c r="G99" s="21">
        <f t="shared" si="336"/>
        <v>9000</v>
      </c>
      <c r="H99" s="21">
        <f t="shared" si="336"/>
        <v>9000</v>
      </c>
      <c r="I99" s="21">
        <f t="shared" si="336"/>
        <v>9000</v>
      </c>
      <c r="J99" s="21">
        <f t="shared" si="336"/>
        <v>9000</v>
      </c>
      <c r="K99" s="21">
        <f t="shared" si="336"/>
        <v>9000</v>
      </c>
      <c r="L99" s="21">
        <f t="shared" si="336"/>
        <v>9000</v>
      </c>
      <c r="M99" s="21">
        <f t="shared" si="336"/>
        <v>9000</v>
      </c>
      <c r="N99" s="21">
        <f t="shared" si="337"/>
        <v>9000</v>
      </c>
      <c r="O99" s="21">
        <f t="shared" si="337"/>
        <v>9000</v>
      </c>
      <c r="P99" s="21">
        <f t="shared" si="337"/>
        <v>9000</v>
      </c>
      <c r="Q99" s="21">
        <f t="shared" si="337"/>
        <v>9000</v>
      </c>
      <c r="R99" s="21">
        <f t="shared" si="337"/>
        <v>9000</v>
      </c>
      <c r="S99" s="21">
        <f t="shared" si="337"/>
        <v>9000</v>
      </c>
      <c r="T99" s="21">
        <f t="shared" si="337"/>
        <v>9000</v>
      </c>
      <c r="U99" s="21">
        <f t="shared" si="337"/>
        <v>9000</v>
      </c>
      <c r="V99" s="21">
        <f t="shared" si="337"/>
        <v>9000</v>
      </c>
      <c r="W99" s="21">
        <f t="shared" si="337"/>
        <v>9000</v>
      </c>
      <c r="X99" s="21">
        <f t="shared" si="337"/>
        <v>9000</v>
      </c>
      <c r="Y99" s="21">
        <f t="shared" si="337"/>
        <v>9000</v>
      </c>
      <c r="Z99" s="21">
        <f t="shared" si="337"/>
        <v>9000</v>
      </c>
      <c r="AA99" s="21">
        <f t="shared" si="337"/>
        <v>9000</v>
      </c>
      <c r="AB99" s="21">
        <f t="shared" si="338"/>
        <v>9000</v>
      </c>
      <c r="AC99" s="21">
        <f t="shared" si="338"/>
        <v>9000</v>
      </c>
      <c r="AD99" s="21">
        <f t="shared" si="338"/>
        <v>9000</v>
      </c>
      <c r="AE99" s="21">
        <f t="shared" si="339"/>
        <v>9000</v>
      </c>
      <c r="AF99" s="21">
        <f t="shared" si="339"/>
        <v>9000</v>
      </c>
      <c r="AG99" s="21">
        <f t="shared" si="340"/>
        <v>9000</v>
      </c>
      <c r="AH99" s="21">
        <f t="shared" si="340"/>
        <v>9000</v>
      </c>
      <c r="AI99" s="21">
        <f t="shared" si="340"/>
        <v>9000</v>
      </c>
      <c r="AJ99" s="21">
        <f t="shared" si="340"/>
        <v>9000</v>
      </c>
      <c r="AK99" s="21">
        <f t="shared" si="340"/>
        <v>9000</v>
      </c>
      <c r="AL99" s="21">
        <f t="shared" si="340"/>
        <v>9000</v>
      </c>
      <c r="AM99" s="21">
        <f t="shared" si="340"/>
        <v>9000</v>
      </c>
      <c r="AN99" s="21">
        <f t="shared" si="340"/>
        <v>9000</v>
      </c>
      <c r="AO99" s="21">
        <f t="shared" si="340"/>
        <v>9000</v>
      </c>
      <c r="AP99" s="21">
        <f t="shared" si="340"/>
        <v>9000</v>
      </c>
      <c r="AQ99" s="21">
        <f t="shared" si="341"/>
        <v>9000</v>
      </c>
      <c r="AR99" s="21">
        <f t="shared" si="341"/>
        <v>9000</v>
      </c>
      <c r="AS99" s="21">
        <f t="shared" si="341"/>
        <v>9000</v>
      </c>
      <c r="AT99" s="21">
        <f t="shared" si="341"/>
        <v>9000</v>
      </c>
      <c r="AU99" s="21">
        <f t="shared" si="341"/>
        <v>9000</v>
      </c>
      <c r="AV99" s="21">
        <f t="shared" si="341"/>
        <v>9000</v>
      </c>
      <c r="AW99" s="21">
        <f t="shared" si="341"/>
        <v>9000</v>
      </c>
      <c r="AX99" s="21">
        <f t="shared" si="341"/>
        <v>9000</v>
      </c>
      <c r="AY99" s="21">
        <f t="shared" si="341"/>
        <v>9000</v>
      </c>
      <c r="AZ99" s="21">
        <f t="shared" si="341"/>
        <v>9000</v>
      </c>
      <c r="BA99" s="21">
        <f t="shared" si="342"/>
        <v>9000</v>
      </c>
      <c r="BB99" s="21">
        <f t="shared" si="342"/>
        <v>9000</v>
      </c>
      <c r="BC99" s="21">
        <f t="shared" si="342"/>
        <v>9000</v>
      </c>
      <c r="BD99" s="21">
        <f t="shared" si="342"/>
        <v>9000</v>
      </c>
      <c r="BE99" s="21">
        <f t="shared" si="342"/>
        <v>9000</v>
      </c>
      <c r="BF99" s="21">
        <f t="shared" si="342"/>
        <v>9000</v>
      </c>
      <c r="BG99" s="21">
        <f t="shared" si="342"/>
        <v>9000</v>
      </c>
      <c r="BH99" s="21">
        <f t="shared" si="342"/>
        <v>9000</v>
      </c>
      <c r="BI99" s="21">
        <f t="shared" si="342"/>
        <v>9000</v>
      </c>
      <c r="BJ99" s="21">
        <f t="shared" si="342"/>
        <v>9000</v>
      </c>
      <c r="BK99" s="21">
        <f t="shared" si="343"/>
        <v>9000</v>
      </c>
      <c r="BL99" s="21">
        <f t="shared" si="343"/>
        <v>9000</v>
      </c>
      <c r="BM99" s="21">
        <f t="shared" si="343"/>
        <v>9000</v>
      </c>
      <c r="BN99" s="21">
        <f t="shared" si="343"/>
        <v>9000</v>
      </c>
      <c r="BO99" s="21">
        <f t="shared" si="343"/>
        <v>9000</v>
      </c>
      <c r="BP99" s="21">
        <f t="shared" si="343"/>
        <v>9000</v>
      </c>
      <c r="BQ99" s="21">
        <f t="shared" si="343"/>
        <v>9000</v>
      </c>
      <c r="BR99" s="21">
        <f t="shared" si="343"/>
        <v>9000</v>
      </c>
      <c r="BS99" s="21">
        <f t="shared" si="343"/>
        <v>9000</v>
      </c>
      <c r="BT99" s="21">
        <f t="shared" si="343"/>
        <v>9000</v>
      </c>
      <c r="BU99" s="21">
        <f t="shared" si="344"/>
        <v>9000</v>
      </c>
      <c r="BV99" s="21">
        <f t="shared" si="344"/>
        <v>9000</v>
      </c>
      <c r="BW99" s="21">
        <f t="shared" si="344"/>
        <v>9000</v>
      </c>
      <c r="BX99" s="21">
        <f t="shared" si="344"/>
        <v>9000</v>
      </c>
      <c r="BY99" s="21">
        <f t="shared" si="344"/>
        <v>9000</v>
      </c>
      <c r="BZ99" s="21">
        <f t="shared" si="344"/>
        <v>9000</v>
      </c>
      <c r="CA99" s="21">
        <f t="shared" si="344"/>
        <v>9000</v>
      </c>
      <c r="CB99" s="21">
        <f t="shared" si="344"/>
        <v>9000</v>
      </c>
      <c r="CC99" s="21">
        <f t="shared" si="344"/>
        <v>9000</v>
      </c>
      <c r="CD99" s="21">
        <f t="shared" si="344"/>
        <v>9000</v>
      </c>
      <c r="CE99" s="21">
        <f t="shared" si="345"/>
        <v>9000</v>
      </c>
      <c r="CF99" s="21">
        <f t="shared" si="345"/>
        <v>9000</v>
      </c>
      <c r="CG99" s="21">
        <f t="shared" si="345"/>
        <v>9000</v>
      </c>
      <c r="CH99" s="21">
        <f t="shared" si="345"/>
        <v>9000</v>
      </c>
      <c r="CI99" s="21">
        <f t="shared" si="345"/>
        <v>9000</v>
      </c>
      <c r="CJ99" s="21">
        <f t="shared" si="345"/>
        <v>9000</v>
      </c>
      <c r="CK99" s="21">
        <f t="shared" si="345"/>
        <v>9000</v>
      </c>
      <c r="CL99" s="21">
        <f t="shared" si="345"/>
        <v>9000</v>
      </c>
      <c r="CM99" s="21">
        <f t="shared" si="345"/>
        <v>9000</v>
      </c>
      <c r="CN99" s="21">
        <f t="shared" si="345"/>
        <v>9000</v>
      </c>
      <c r="CO99" s="21">
        <f t="shared" si="346"/>
        <v>9000</v>
      </c>
      <c r="CP99" s="21">
        <f t="shared" si="346"/>
        <v>9000</v>
      </c>
      <c r="CQ99" s="21">
        <f t="shared" si="346"/>
        <v>9000</v>
      </c>
      <c r="CR99" s="21">
        <f t="shared" si="346"/>
        <v>9000</v>
      </c>
      <c r="CS99" s="21">
        <f t="shared" si="346"/>
        <v>9000</v>
      </c>
      <c r="CT99" s="21">
        <f t="shared" si="346"/>
        <v>9000</v>
      </c>
      <c r="CU99" s="21">
        <f t="shared" si="346"/>
        <v>9000</v>
      </c>
      <c r="CV99" s="21">
        <f t="shared" si="346"/>
        <v>9000</v>
      </c>
      <c r="CW99" s="21">
        <f t="shared" si="346"/>
        <v>9000</v>
      </c>
      <c r="CX99" s="21">
        <f t="shared" si="346"/>
        <v>9000</v>
      </c>
      <c r="CY99" s="21">
        <f t="shared" si="347"/>
        <v>9000</v>
      </c>
      <c r="CZ99" s="21">
        <f t="shared" si="347"/>
        <v>9000</v>
      </c>
      <c r="DA99" s="21">
        <f t="shared" si="347"/>
        <v>9000</v>
      </c>
      <c r="DB99" s="21">
        <f t="shared" si="347"/>
        <v>9000</v>
      </c>
      <c r="DC99" s="21">
        <f t="shared" si="347"/>
        <v>9000</v>
      </c>
      <c r="DD99" s="21">
        <f t="shared" si="347"/>
        <v>9000</v>
      </c>
      <c r="DE99" s="21">
        <f t="shared" si="347"/>
        <v>9000</v>
      </c>
      <c r="DF99" s="21">
        <f t="shared" si="347"/>
        <v>9000</v>
      </c>
      <c r="DH99" s="21">
        <f t="shared" si="348"/>
        <v>9000</v>
      </c>
      <c r="DI99" s="21">
        <f t="shared" si="348"/>
        <v>9000</v>
      </c>
      <c r="DJ99" s="21">
        <f t="shared" si="348"/>
        <v>9000</v>
      </c>
      <c r="DK99" s="21">
        <f t="shared" si="348"/>
        <v>9000</v>
      </c>
      <c r="DL99" s="21">
        <f t="shared" si="348"/>
        <v>9000</v>
      </c>
      <c r="DM99" s="21">
        <f t="shared" si="348"/>
        <v>9000</v>
      </c>
      <c r="DN99" s="21">
        <f t="shared" si="348"/>
        <v>9000</v>
      </c>
      <c r="DO99" s="21">
        <f t="shared" si="348"/>
        <v>9000</v>
      </c>
      <c r="DP99" s="21">
        <f t="shared" si="348"/>
        <v>9000</v>
      </c>
      <c r="DQ99" s="21">
        <f t="shared" si="348"/>
        <v>9000</v>
      </c>
      <c r="DR99" s="21">
        <f t="shared" si="348"/>
        <v>9000</v>
      </c>
      <c r="DS99" s="21">
        <f t="shared" si="349"/>
        <v>9000</v>
      </c>
      <c r="DT99" s="21">
        <f t="shared" si="349"/>
        <v>9000</v>
      </c>
      <c r="DU99" s="21">
        <f t="shared" si="349"/>
        <v>9000</v>
      </c>
      <c r="DV99" s="21">
        <f t="shared" si="349"/>
        <v>9000</v>
      </c>
      <c r="DW99" s="21">
        <f t="shared" si="349"/>
        <v>9000</v>
      </c>
      <c r="DX99" s="21">
        <f t="shared" si="350"/>
        <v>9000</v>
      </c>
      <c r="DY99" s="21">
        <f t="shared" si="350"/>
        <v>9000</v>
      </c>
      <c r="DZ99" s="21">
        <f t="shared" si="350"/>
        <v>9000</v>
      </c>
      <c r="EA99" s="21">
        <f t="shared" si="350"/>
        <v>9000</v>
      </c>
      <c r="EB99" s="21">
        <f t="shared" si="350"/>
        <v>9000</v>
      </c>
      <c r="EC99" s="21">
        <f t="shared" si="350"/>
        <v>9000</v>
      </c>
      <c r="ED99" s="21">
        <f t="shared" si="351"/>
        <v>9000</v>
      </c>
      <c r="EH99" s="295" t="s">
        <v>914</v>
      </c>
      <c r="EI99" s="293">
        <v>9000</v>
      </c>
      <c r="EJ99" s="293">
        <v>9000</v>
      </c>
    </row>
    <row r="101" spans="1:144" x14ac:dyDescent="0.3">
      <c r="A101" s="21" t="s">
        <v>225</v>
      </c>
      <c r="B101" s="21" t="s">
        <v>126</v>
      </c>
      <c r="EH101" s="21" t="str">
        <f>A101&amp;" (default values from GREET2 account for changes in the power generation mix only)"</f>
        <v>GHG emission intensity of vehicle assembly and disposal (default values from GREET2 account for changes in the power generation mix only)</v>
      </c>
    </row>
    <row r="102" spans="1:144" x14ac:dyDescent="0.3">
      <c r="A102" s="21" t="str">
        <f>A$5</f>
        <v>Vehicle production region</v>
      </c>
      <c r="D102" s="21" t="str">
        <f>D$5</f>
        <v>With Al smelting mostly form coal</v>
      </c>
      <c r="E102" s="21" t="str">
        <f t="shared" ref="E102:ED102" si="353">E$5</f>
        <v>With Al smelting mostly form coal</v>
      </c>
      <c r="F102" s="21" t="str">
        <f t="shared" si="353"/>
        <v>Default</v>
      </c>
      <c r="G102" s="21" t="str">
        <f t="shared" si="353"/>
        <v>With Al smelting mostly form coal</v>
      </c>
      <c r="H102" s="21" t="str">
        <f t="shared" si="353"/>
        <v>With Al smelting mostly form coal</v>
      </c>
      <c r="I102" s="21" t="str">
        <f t="shared" si="353"/>
        <v>With Al smelting mostly form coal</v>
      </c>
      <c r="J102" s="21" t="str">
        <f t="shared" si="353"/>
        <v>With Al smelting mostly form coal</v>
      </c>
      <c r="K102" s="21" t="str">
        <f t="shared" si="353"/>
        <v>With Al smelting mostly form coal</v>
      </c>
      <c r="L102" s="21" t="str">
        <f t="shared" si="353"/>
        <v>With Al smelting mostly form coal</v>
      </c>
      <c r="M102" s="21" t="str">
        <f t="shared" si="353"/>
        <v>With Al smelting mostly form coal</v>
      </c>
      <c r="N102" s="21" t="str">
        <f t="shared" si="353"/>
        <v>With Al smelting mostly form coal</v>
      </c>
      <c r="O102" s="21" t="str">
        <f t="shared" si="353"/>
        <v>With Al smelting mostly form coal</v>
      </c>
      <c r="P102" s="21" t="str">
        <f t="shared" si="353"/>
        <v>With Al smelting mostly form coal</v>
      </c>
      <c r="Q102" s="21" t="str">
        <f t="shared" si="353"/>
        <v>With Al smelting mostly form coal</v>
      </c>
      <c r="R102" s="21" t="str">
        <f t="shared" si="353"/>
        <v>With Al smelting mostly form coal</v>
      </c>
      <c r="S102" s="21" t="str">
        <f t="shared" si="353"/>
        <v>With Al smelting mostly form coal</v>
      </c>
      <c r="T102" s="21" t="str">
        <f t="shared" si="353"/>
        <v>Default</v>
      </c>
      <c r="U102" s="21" t="str">
        <f t="shared" si="353"/>
        <v>With Al smelting mostly form coal</v>
      </c>
      <c r="V102" s="21" t="str">
        <f t="shared" si="353"/>
        <v>With Al smelting mostly form coal</v>
      </c>
      <c r="W102" s="21" t="str">
        <f t="shared" si="353"/>
        <v>With Al smelting mostly form coal</v>
      </c>
      <c r="X102" s="21" t="str">
        <f>X$5</f>
        <v>Default</v>
      </c>
      <c r="Y102" s="21" t="str">
        <f>Y$5</f>
        <v>With Al smelting mostly form coal</v>
      </c>
      <c r="Z102" s="21" t="str">
        <f>Z$5</f>
        <v>With Al smelting mostly form coal</v>
      </c>
      <c r="AA102" s="21" t="str">
        <f>AA$5</f>
        <v>With Al smelting mostly form coal</v>
      </c>
      <c r="AB102" s="21" t="str">
        <f t="shared" ref="AB102:AD102" si="354">AB$5</f>
        <v>Default</v>
      </c>
      <c r="AC102" s="21" t="str">
        <f t="shared" si="354"/>
        <v>With Al smelting mostly form coal</v>
      </c>
      <c r="AD102" s="21" t="str">
        <f t="shared" si="354"/>
        <v>With Al smelting mostly form coal</v>
      </c>
      <c r="AE102" s="21" t="str">
        <f t="shared" si="353"/>
        <v>With Al smelting mostly form coal</v>
      </c>
      <c r="AF102" s="21" t="str">
        <f t="shared" si="353"/>
        <v>With Al smelting mostly form coal</v>
      </c>
      <c r="AG102" s="21" t="str">
        <f t="shared" si="353"/>
        <v>With Al smelting mostly form coal</v>
      </c>
      <c r="AH102" s="21" t="str">
        <f t="shared" si="353"/>
        <v>With Al smelting mostly form coal</v>
      </c>
      <c r="AI102" s="21" t="str">
        <f t="shared" si="353"/>
        <v>With Al smelting mostly form coal</v>
      </c>
      <c r="AJ102" s="21" t="str">
        <f t="shared" si="353"/>
        <v>With Al smelting mostly form coal</v>
      </c>
      <c r="AK102" s="21" t="str">
        <f t="shared" si="353"/>
        <v>With Al smelting mostly form coal</v>
      </c>
      <c r="AL102" s="21" t="str">
        <f t="shared" si="353"/>
        <v>With Al smelting mostly form coal</v>
      </c>
      <c r="AM102" s="21" t="str">
        <f t="shared" si="353"/>
        <v>With Al smelting mostly form coal</v>
      </c>
      <c r="AN102" s="21" t="str">
        <f t="shared" si="353"/>
        <v>With Al smelting mostly form coal</v>
      </c>
      <c r="AO102" s="21" t="str">
        <f t="shared" si="353"/>
        <v>With Al smelting mostly form coal</v>
      </c>
      <c r="AP102" s="21" t="str">
        <f t="shared" si="353"/>
        <v>With Al smelting mostly form coal</v>
      </c>
      <c r="AQ102" s="21" t="str">
        <f t="shared" si="353"/>
        <v>With Al smelting mostly form coal</v>
      </c>
      <c r="AR102" s="21" t="str">
        <f t="shared" si="353"/>
        <v>With Al smelting mostly form coal</v>
      </c>
      <c r="AS102" s="21" t="str">
        <f t="shared" si="353"/>
        <v>With Al smelting mostly form coal</v>
      </c>
      <c r="AT102" s="21" t="str">
        <f t="shared" si="353"/>
        <v>With Al smelting mostly form coal</v>
      </c>
      <c r="AU102" s="21" t="str">
        <f t="shared" si="353"/>
        <v>Default</v>
      </c>
      <c r="AV102" s="21" t="str">
        <f t="shared" si="353"/>
        <v>With Al smelting mostly form coal</v>
      </c>
      <c r="AW102" s="21" t="str">
        <f t="shared" si="353"/>
        <v>With Al smelting mostly form coal</v>
      </c>
      <c r="AX102" s="21" t="str">
        <f t="shared" si="353"/>
        <v>With Al smelting mostly form coal</v>
      </c>
      <c r="AY102" s="21" t="str">
        <f t="shared" si="353"/>
        <v>With Al smelting mostly form coal</v>
      </c>
      <c r="AZ102" s="21" t="str">
        <f t="shared" si="353"/>
        <v>With Al smelting mostly form coal</v>
      </c>
      <c r="BA102" s="21" t="str">
        <f t="shared" si="353"/>
        <v>With Al smelting mostly form coal</v>
      </c>
      <c r="BB102" s="21" t="str">
        <f t="shared" si="353"/>
        <v>With Al smelting mostly form coal</v>
      </c>
      <c r="BC102" s="21" t="str">
        <f t="shared" si="353"/>
        <v>With Al smelting mostly form coal</v>
      </c>
      <c r="BD102" s="21" t="str">
        <f t="shared" si="353"/>
        <v>With Al smelting mostly form coal</v>
      </c>
      <c r="BE102" s="21" t="str">
        <f t="shared" si="353"/>
        <v>With Al smelting mostly form coal</v>
      </c>
      <c r="BF102" s="21" t="str">
        <f t="shared" si="353"/>
        <v>With Al smelting mostly form coal</v>
      </c>
      <c r="BG102" s="21" t="str">
        <f t="shared" si="353"/>
        <v>With Al smelting mostly form coal</v>
      </c>
      <c r="BH102" s="21" t="str">
        <f t="shared" si="353"/>
        <v>With Al smelting mostly form coal</v>
      </c>
      <c r="BI102" s="21" t="str">
        <f t="shared" si="353"/>
        <v>With Al smelting mostly form coal</v>
      </c>
      <c r="BJ102" s="21" t="str">
        <f t="shared" si="353"/>
        <v>With Al smelting mostly form coal</v>
      </c>
      <c r="BK102" s="21" t="str">
        <f t="shared" si="353"/>
        <v>With Al smelting mostly form coal</v>
      </c>
      <c r="BL102" s="21" t="str">
        <f t="shared" si="353"/>
        <v>With Al smelting mostly form coal</v>
      </c>
      <c r="BM102" s="21" t="str">
        <f t="shared" si="353"/>
        <v>With Al smelting mostly form coal</v>
      </c>
      <c r="BN102" s="21" t="str">
        <f t="shared" si="353"/>
        <v>With Al smelting mostly form coal</v>
      </c>
      <c r="BO102" s="21" t="str">
        <f t="shared" si="353"/>
        <v>With Al smelting mostly form coal</v>
      </c>
      <c r="BP102" s="21" t="str">
        <f t="shared" si="353"/>
        <v>With Al smelting mostly form coal</v>
      </c>
      <c r="BQ102" s="21" t="str">
        <f t="shared" si="353"/>
        <v>Default</v>
      </c>
      <c r="BR102" s="21" t="str">
        <f t="shared" si="353"/>
        <v>With Al smelting mostly form coal</v>
      </c>
      <c r="BS102" s="21" t="str">
        <f t="shared" si="353"/>
        <v>With Al smelting mostly form coal</v>
      </c>
      <c r="BT102" s="21" t="str">
        <f t="shared" si="353"/>
        <v>With Al smelting mostly form coal</v>
      </c>
      <c r="BU102" s="21" t="str">
        <f t="shared" ref="BU102:CC102" si="355">BU$5</f>
        <v>With Al smelting mostly form coal</v>
      </c>
      <c r="BV102" s="21" t="str">
        <f t="shared" si="355"/>
        <v>With Al smelting mostly form coal</v>
      </c>
      <c r="BW102" s="21" t="str">
        <f t="shared" si="355"/>
        <v>With Al smelting mostly form coal</v>
      </c>
      <c r="BX102" s="21" t="str">
        <f t="shared" si="355"/>
        <v>With Al smelting mostly form coal</v>
      </c>
      <c r="BY102" s="21" t="str">
        <f t="shared" si="355"/>
        <v>With Al smelting mostly form coal</v>
      </c>
      <c r="BZ102" s="21" t="str">
        <f t="shared" si="355"/>
        <v>Default</v>
      </c>
      <c r="CA102" s="21" t="str">
        <f t="shared" si="355"/>
        <v>With Al smelting mostly form coal</v>
      </c>
      <c r="CB102" s="21" t="str">
        <f t="shared" si="355"/>
        <v>With Al smelting mostly form coal</v>
      </c>
      <c r="CC102" s="21" t="str">
        <f t="shared" si="355"/>
        <v>With Al smelting mostly form coal</v>
      </c>
      <c r="CD102" s="21" t="str">
        <f t="shared" si="353"/>
        <v>With Al smelting mostly form coal</v>
      </c>
      <c r="CE102" s="21" t="str">
        <f t="shared" si="353"/>
        <v>With Al smelting mostly form coal</v>
      </c>
      <c r="CF102" s="21" t="str">
        <f t="shared" si="353"/>
        <v>With Al smelting mostly form coal</v>
      </c>
      <c r="CG102" s="21" t="str">
        <f t="shared" si="353"/>
        <v>With Al smelting mostly form coal</v>
      </c>
      <c r="CH102" s="21" t="str">
        <f t="shared" si="353"/>
        <v>With Al smelting mostly form coal</v>
      </c>
      <c r="CI102" s="21" t="str">
        <f t="shared" si="353"/>
        <v>With Al smelting mostly form coal</v>
      </c>
      <c r="CJ102" s="21" t="str">
        <f t="shared" si="353"/>
        <v>With Al smelting mostly form coal</v>
      </c>
      <c r="CK102" s="21" t="str">
        <f t="shared" si="353"/>
        <v>With Al smelting mostly form coal</v>
      </c>
      <c r="CL102" s="21" t="str">
        <f t="shared" si="353"/>
        <v>With Al smelting mostly form coal</v>
      </c>
      <c r="CM102" s="21" t="str">
        <f t="shared" si="353"/>
        <v>With Al smelting mostly form coal</v>
      </c>
      <c r="CN102" s="21" t="str">
        <f t="shared" si="353"/>
        <v>With Al smelting mostly form coal</v>
      </c>
      <c r="CO102" s="21" t="str">
        <f t="shared" si="353"/>
        <v>With Al smelting mostly form coal</v>
      </c>
      <c r="CP102" s="21" t="str">
        <f t="shared" si="353"/>
        <v>With Al smelting mostly form coal</v>
      </c>
      <c r="CQ102" s="21" t="str">
        <f t="shared" si="353"/>
        <v>With Al smelting mostly form coal</v>
      </c>
      <c r="CR102" s="21" t="str">
        <f t="shared" si="353"/>
        <v>With Al smelting mostly form coal</v>
      </c>
      <c r="CS102" s="21" t="str">
        <f t="shared" si="353"/>
        <v>With Al smelting mostly form coal</v>
      </c>
      <c r="CT102" s="21" t="str">
        <f t="shared" si="353"/>
        <v>With Al smelting mostly form coal</v>
      </c>
      <c r="CU102" s="21" t="str">
        <f t="shared" si="353"/>
        <v>With Al smelting mostly form coal</v>
      </c>
      <c r="CV102" s="21" t="str">
        <f t="shared" si="353"/>
        <v>With Al smelting mostly form coal</v>
      </c>
      <c r="CW102" s="21" t="str">
        <f t="shared" si="353"/>
        <v>With Al smelting mostly form coal</v>
      </c>
      <c r="CX102" s="21" t="str">
        <f t="shared" si="353"/>
        <v>With Al smelting mostly form coal</v>
      </c>
      <c r="CY102" s="21" t="str">
        <f t="shared" si="353"/>
        <v>With Al smelting mostly form coal</v>
      </c>
      <c r="CZ102" s="21" t="str">
        <f t="shared" si="353"/>
        <v>With Al smelting mostly form coal</v>
      </c>
      <c r="DA102" s="21" t="str">
        <f t="shared" si="353"/>
        <v>With Al smelting mostly form coal</v>
      </c>
      <c r="DB102" s="21" t="str">
        <f t="shared" si="353"/>
        <v>With Al smelting mostly form coal</v>
      </c>
      <c r="DC102" s="21" t="str">
        <f t="shared" si="353"/>
        <v>With Al smelting mostly form coal</v>
      </c>
      <c r="DD102" s="21" t="str">
        <f t="shared" si="353"/>
        <v>With Al smelting mostly form coal</v>
      </c>
      <c r="DE102" s="21" t="str">
        <f t="shared" si="353"/>
        <v>With Al smelting mostly form coal</v>
      </c>
      <c r="DF102" s="21" t="str">
        <f t="shared" si="353"/>
        <v>With Al smelting mostly form coal</v>
      </c>
      <c r="DH102" s="21" t="str">
        <f t="shared" si="353"/>
        <v>With Al smelting mostly form coal</v>
      </c>
      <c r="DI102" s="21" t="str">
        <f t="shared" si="353"/>
        <v>With Al smelting mostly form coal</v>
      </c>
      <c r="DJ102" s="21" t="str">
        <f t="shared" si="353"/>
        <v>With Al smelting mostly form coal</v>
      </c>
      <c r="DK102" s="21" t="str">
        <f t="shared" si="353"/>
        <v>With Al smelting mostly form coal</v>
      </c>
      <c r="DL102" s="21" t="str">
        <f t="shared" si="353"/>
        <v>With Al smelting mostly form coal</v>
      </c>
      <c r="DM102" s="21" t="str">
        <f t="shared" si="353"/>
        <v>With Al smelting mostly form coal</v>
      </c>
      <c r="DN102" s="21" t="str">
        <f t="shared" si="353"/>
        <v>With Al smelting mostly form coal</v>
      </c>
      <c r="DO102" s="21" t="str">
        <f t="shared" si="353"/>
        <v>With Al smelting mostly form coal</v>
      </c>
      <c r="DP102" s="21" t="str">
        <f t="shared" si="353"/>
        <v>With Al smelting mostly form coal</v>
      </c>
      <c r="DQ102" s="21" t="str">
        <f t="shared" si="353"/>
        <v>With Al smelting mostly form coal</v>
      </c>
      <c r="DR102" s="21" t="str">
        <f t="shared" si="353"/>
        <v>With Al smelting mostly form coal</v>
      </c>
      <c r="DS102" s="21" t="str">
        <f t="shared" si="353"/>
        <v>With Al smelting mostly form coal</v>
      </c>
      <c r="DT102" s="21" t="str">
        <f t="shared" si="353"/>
        <v>With Al smelting mostly form coal</v>
      </c>
      <c r="DU102" s="21" t="str">
        <f t="shared" si="353"/>
        <v>With Al smelting mostly form coal</v>
      </c>
      <c r="DV102" s="21" t="str">
        <f t="shared" si="353"/>
        <v>With Al smelting mostly form coal</v>
      </c>
      <c r="DW102" s="21" t="str">
        <f t="shared" si="353"/>
        <v>With Al smelting mostly form coal</v>
      </c>
      <c r="DX102" s="21" t="str">
        <f t="shared" si="353"/>
        <v>With Al smelting mostly form coal</v>
      </c>
      <c r="DY102" s="21" t="str">
        <f t="shared" si="353"/>
        <v>With Al smelting mostly form coal</v>
      </c>
      <c r="DZ102" s="21" t="str">
        <f t="shared" si="353"/>
        <v>With Al smelting mostly form coal</v>
      </c>
      <c r="EA102" s="21" t="str">
        <f t="shared" si="353"/>
        <v>With Al smelting mostly form coal</v>
      </c>
      <c r="EB102" s="21" t="str">
        <f t="shared" si="353"/>
        <v>With Al smelting mostly form coal</v>
      </c>
      <c r="EC102" s="21" t="str">
        <f t="shared" si="353"/>
        <v>With Al smelting mostly form coal</v>
      </c>
      <c r="ED102" s="21" t="str">
        <f t="shared" si="353"/>
        <v>With Al smelting mostly form coal</v>
      </c>
      <c r="EH102" s="21" t="s">
        <v>915</v>
      </c>
      <c r="EI102" s="21" t="s">
        <v>951</v>
      </c>
      <c r="EJ102" s="21" t="s">
        <v>950</v>
      </c>
    </row>
    <row r="103" spans="1:144" x14ac:dyDescent="0.3">
      <c r="A103" s="21" t="s">
        <v>132</v>
      </c>
      <c r="D103" s="21">
        <f t="shared" ref="D103:M104" si="356">HLOOKUP(D$102,$EI$102:$EJ$104,ROW($EH103)-ROW($EH$102)+1,FALSE)</f>
        <v>538.63283073745492</v>
      </c>
      <c r="E103" s="21">
        <f t="shared" si="356"/>
        <v>538.63283073745492</v>
      </c>
      <c r="F103" s="21">
        <f t="shared" si="356"/>
        <v>538.63283073745492</v>
      </c>
      <c r="G103" s="21">
        <f t="shared" si="356"/>
        <v>538.63283073745492</v>
      </c>
      <c r="H103" s="21">
        <f t="shared" si="356"/>
        <v>538.63283073745492</v>
      </c>
      <c r="I103" s="21">
        <f t="shared" si="356"/>
        <v>538.63283073745492</v>
      </c>
      <c r="J103" s="21">
        <f t="shared" si="356"/>
        <v>538.63283073745492</v>
      </c>
      <c r="K103" s="21">
        <f t="shared" si="356"/>
        <v>538.63283073745492</v>
      </c>
      <c r="L103" s="21">
        <f t="shared" si="356"/>
        <v>538.63283073745492</v>
      </c>
      <c r="M103" s="21">
        <f t="shared" si="356"/>
        <v>538.63283073745492</v>
      </c>
      <c r="N103" s="21">
        <f t="shared" ref="N103:AA104" si="357">HLOOKUP(N$102,$EI$102:$EJ$104,ROW($EH103)-ROW($EH$102)+1,FALSE)</f>
        <v>538.63283073745492</v>
      </c>
      <c r="O103" s="21">
        <f t="shared" si="357"/>
        <v>538.63283073745492</v>
      </c>
      <c r="P103" s="21">
        <f t="shared" si="357"/>
        <v>538.63283073745492</v>
      </c>
      <c r="Q103" s="21">
        <f t="shared" si="357"/>
        <v>538.63283073745492</v>
      </c>
      <c r="R103" s="21">
        <f t="shared" si="357"/>
        <v>538.63283073745492</v>
      </c>
      <c r="S103" s="21">
        <f t="shared" si="357"/>
        <v>538.63283073745492</v>
      </c>
      <c r="T103" s="21">
        <f t="shared" si="357"/>
        <v>538.63283073745492</v>
      </c>
      <c r="U103" s="21">
        <f t="shared" si="357"/>
        <v>538.63283073745492</v>
      </c>
      <c r="V103" s="21">
        <f t="shared" si="357"/>
        <v>538.63283073745492</v>
      </c>
      <c r="W103" s="21">
        <f t="shared" si="357"/>
        <v>538.63283073745492</v>
      </c>
      <c r="X103" s="21">
        <f t="shared" si="357"/>
        <v>538.63283073745492</v>
      </c>
      <c r="Y103" s="21">
        <f t="shared" si="357"/>
        <v>538.63283073745492</v>
      </c>
      <c r="Z103" s="21">
        <f t="shared" si="357"/>
        <v>538.63283073745492</v>
      </c>
      <c r="AA103" s="21">
        <f t="shared" si="357"/>
        <v>538.63283073745492</v>
      </c>
      <c r="AB103" s="21">
        <f t="shared" ref="AB103:AD104" si="358">HLOOKUP(AB$102,$EI$102:$EJ$104,ROW($EH103)-ROW($EH$102)+1,FALSE)</f>
        <v>538.63283073745492</v>
      </c>
      <c r="AC103" s="21">
        <f t="shared" si="358"/>
        <v>538.63283073745492</v>
      </c>
      <c r="AD103" s="21">
        <f t="shared" si="358"/>
        <v>538.63283073745492</v>
      </c>
      <c r="AE103" s="21">
        <f>HLOOKUP(AE$102,$EI$102:$EJ$104,ROW($EH103)-ROW($EH$102)+1,FALSE)</f>
        <v>538.63283073745492</v>
      </c>
      <c r="AF103" s="21">
        <f>HLOOKUP(AF$102,$EI$102:$EJ$104,ROW($EH103)-ROW($EH$102)+1,FALSE)</f>
        <v>538.63283073745492</v>
      </c>
      <c r="AG103" s="21">
        <f t="shared" ref="AG103:AP104" si="359">HLOOKUP(AG$102,$EI$102:$EJ$104,ROW($EH103)-ROW($EH$102)+1,FALSE)</f>
        <v>538.63283073745492</v>
      </c>
      <c r="AH103" s="21">
        <f t="shared" si="359"/>
        <v>538.63283073745492</v>
      </c>
      <c r="AI103" s="21">
        <f t="shared" si="359"/>
        <v>538.63283073745492</v>
      </c>
      <c r="AJ103" s="21">
        <f t="shared" si="359"/>
        <v>538.63283073745492</v>
      </c>
      <c r="AK103" s="21">
        <f t="shared" si="359"/>
        <v>538.63283073745492</v>
      </c>
      <c r="AL103" s="21">
        <f t="shared" si="359"/>
        <v>538.63283073745492</v>
      </c>
      <c r="AM103" s="21">
        <f t="shared" si="359"/>
        <v>538.63283073745492</v>
      </c>
      <c r="AN103" s="21">
        <f t="shared" si="359"/>
        <v>538.63283073745492</v>
      </c>
      <c r="AO103" s="21">
        <f t="shared" si="359"/>
        <v>538.63283073745492</v>
      </c>
      <c r="AP103" s="21">
        <f t="shared" si="359"/>
        <v>538.63283073745492</v>
      </c>
      <c r="AQ103" s="21">
        <f t="shared" ref="AQ103:AZ104" si="360">HLOOKUP(AQ$102,$EI$102:$EJ$104,ROW($EH103)-ROW($EH$102)+1,FALSE)</f>
        <v>538.63283073745492</v>
      </c>
      <c r="AR103" s="21">
        <f t="shared" si="360"/>
        <v>538.63283073745492</v>
      </c>
      <c r="AS103" s="21">
        <f t="shared" si="360"/>
        <v>538.63283073745492</v>
      </c>
      <c r="AT103" s="21">
        <f t="shared" si="360"/>
        <v>538.63283073745492</v>
      </c>
      <c r="AU103" s="21">
        <f t="shared" si="360"/>
        <v>538.63283073745492</v>
      </c>
      <c r="AV103" s="21">
        <f t="shared" si="360"/>
        <v>538.63283073745492</v>
      </c>
      <c r="AW103" s="21">
        <f t="shared" si="360"/>
        <v>538.63283073745492</v>
      </c>
      <c r="AX103" s="21">
        <f t="shared" si="360"/>
        <v>538.63283073745492</v>
      </c>
      <c r="AY103" s="21">
        <f t="shared" si="360"/>
        <v>538.63283073745492</v>
      </c>
      <c r="AZ103" s="21">
        <f t="shared" si="360"/>
        <v>538.63283073745492</v>
      </c>
      <c r="BA103" s="21">
        <f t="shared" ref="BA103:BJ104" si="361">HLOOKUP(BA$102,$EI$102:$EJ$104,ROW($EH103)-ROW($EH$102)+1,FALSE)</f>
        <v>538.63283073745492</v>
      </c>
      <c r="BB103" s="21">
        <f t="shared" si="361"/>
        <v>538.63283073745492</v>
      </c>
      <c r="BC103" s="21">
        <f t="shared" si="361"/>
        <v>538.63283073745492</v>
      </c>
      <c r="BD103" s="21">
        <f t="shared" si="361"/>
        <v>538.63283073745492</v>
      </c>
      <c r="BE103" s="21">
        <f t="shared" si="361"/>
        <v>538.63283073745492</v>
      </c>
      <c r="BF103" s="21">
        <f t="shared" si="361"/>
        <v>538.63283073745492</v>
      </c>
      <c r="BG103" s="21">
        <f t="shared" si="361"/>
        <v>538.63283073745492</v>
      </c>
      <c r="BH103" s="21">
        <f t="shared" si="361"/>
        <v>538.63283073745492</v>
      </c>
      <c r="BI103" s="21">
        <f t="shared" si="361"/>
        <v>538.63283073745492</v>
      </c>
      <c r="BJ103" s="21">
        <f t="shared" si="361"/>
        <v>538.63283073745492</v>
      </c>
      <c r="BK103" s="21">
        <f t="shared" ref="BK103:BT104" si="362">HLOOKUP(BK$102,$EI$102:$EJ$104,ROW($EH103)-ROW($EH$102)+1,FALSE)</f>
        <v>538.63283073745492</v>
      </c>
      <c r="BL103" s="21">
        <f t="shared" si="362"/>
        <v>538.63283073745492</v>
      </c>
      <c r="BM103" s="21">
        <f t="shared" si="362"/>
        <v>538.63283073745492</v>
      </c>
      <c r="BN103" s="21">
        <f t="shared" si="362"/>
        <v>538.63283073745492</v>
      </c>
      <c r="BO103" s="21">
        <f t="shared" si="362"/>
        <v>538.63283073745492</v>
      </c>
      <c r="BP103" s="21">
        <f t="shared" si="362"/>
        <v>538.63283073745492</v>
      </c>
      <c r="BQ103" s="21">
        <f t="shared" si="362"/>
        <v>538.63283073745492</v>
      </c>
      <c r="BR103" s="21">
        <f t="shared" si="362"/>
        <v>538.63283073745492</v>
      </c>
      <c r="BS103" s="21">
        <f t="shared" si="362"/>
        <v>538.63283073745492</v>
      </c>
      <c r="BT103" s="21">
        <f t="shared" si="362"/>
        <v>538.63283073745492</v>
      </c>
      <c r="BU103" s="21">
        <f t="shared" ref="BU103:CD104" si="363">HLOOKUP(BU$102,$EI$102:$EJ$104,ROW($EH103)-ROW($EH$102)+1,FALSE)</f>
        <v>538.63283073745492</v>
      </c>
      <c r="BV103" s="21">
        <f t="shared" si="363"/>
        <v>538.63283073745492</v>
      </c>
      <c r="BW103" s="21">
        <f t="shared" si="363"/>
        <v>538.63283073745492</v>
      </c>
      <c r="BX103" s="21">
        <f t="shared" si="363"/>
        <v>538.63283073745492</v>
      </c>
      <c r="BY103" s="21">
        <f t="shared" si="363"/>
        <v>538.63283073745492</v>
      </c>
      <c r="BZ103" s="21">
        <f t="shared" si="363"/>
        <v>538.63283073745492</v>
      </c>
      <c r="CA103" s="21">
        <f t="shared" si="363"/>
        <v>538.63283073745492</v>
      </c>
      <c r="CB103" s="21">
        <f t="shared" si="363"/>
        <v>538.63283073745492</v>
      </c>
      <c r="CC103" s="21">
        <f t="shared" si="363"/>
        <v>538.63283073745492</v>
      </c>
      <c r="CD103" s="21">
        <f t="shared" si="363"/>
        <v>538.63283073745492</v>
      </c>
      <c r="CE103" s="21">
        <f t="shared" ref="CE103:CN104" si="364">HLOOKUP(CE$102,$EI$102:$EJ$104,ROW($EH103)-ROW($EH$102)+1,FALSE)</f>
        <v>538.63283073745492</v>
      </c>
      <c r="CF103" s="21">
        <f t="shared" si="364"/>
        <v>538.63283073745492</v>
      </c>
      <c r="CG103" s="21">
        <f t="shared" si="364"/>
        <v>538.63283073745492</v>
      </c>
      <c r="CH103" s="21">
        <f t="shared" si="364"/>
        <v>538.63283073745492</v>
      </c>
      <c r="CI103" s="21">
        <f t="shared" si="364"/>
        <v>538.63283073745492</v>
      </c>
      <c r="CJ103" s="21">
        <f t="shared" si="364"/>
        <v>538.63283073745492</v>
      </c>
      <c r="CK103" s="21">
        <f t="shared" si="364"/>
        <v>538.63283073745492</v>
      </c>
      <c r="CL103" s="21">
        <f t="shared" si="364"/>
        <v>538.63283073745492</v>
      </c>
      <c r="CM103" s="21">
        <f t="shared" si="364"/>
        <v>538.63283073745492</v>
      </c>
      <c r="CN103" s="21">
        <f t="shared" si="364"/>
        <v>538.63283073745492</v>
      </c>
      <c r="CO103" s="21">
        <f t="shared" ref="CO103:CX104" si="365">HLOOKUP(CO$102,$EI$102:$EJ$104,ROW($EH103)-ROW($EH$102)+1,FALSE)</f>
        <v>538.63283073745492</v>
      </c>
      <c r="CP103" s="21">
        <f t="shared" si="365"/>
        <v>538.63283073745492</v>
      </c>
      <c r="CQ103" s="21">
        <f t="shared" si="365"/>
        <v>538.63283073745492</v>
      </c>
      <c r="CR103" s="21">
        <f t="shared" si="365"/>
        <v>538.63283073745492</v>
      </c>
      <c r="CS103" s="21">
        <f t="shared" si="365"/>
        <v>538.63283073745492</v>
      </c>
      <c r="CT103" s="21">
        <f t="shared" si="365"/>
        <v>538.63283073745492</v>
      </c>
      <c r="CU103" s="21">
        <f t="shared" si="365"/>
        <v>538.63283073745492</v>
      </c>
      <c r="CV103" s="21">
        <f t="shared" si="365"/>
        <v>538.63283073745492</v>
      </c>
      <c r="CW103" s="21">
        <f t="shared" si="365"/>
        <v>538.63283073745492</v>
      </c>
      <c r="CX103" s="21">
        <f t="shared" si="365"/>
        <v>538.63283073745492</v>
      </c>
      <c r="CY103" s="21">
        <f t="shared" ref="CY103:DF104" si="366">HLOOKUP(CY$102,$EI$102:$EJ$104,ROW($EH103)-ROW($EH$102)+1,FALSE)</f>
        <v>538.63283073745492</v>
      </c>
      <c r="CZ103" s="21">
        <f t="shared" si="366"/>
        <v>538.63283073745492</v>
      </c>
      <c r="DA103" s="21">
        <f t="shared" si="366"/>
        <v>538.63283073745492</v>
      </c>
      <c r="DB103" s="21">
        <f t="shared" si="366"/>
        <v>538.63283073745492</v>
      </c>
      <c r="DC103" s="21">
        <f t="shared" si="366"/>
        <v>538.63283073745492</v>
      </c>
      <c r="DD103" s="21">
        <f t="shared" si="366"/>
        <v>538.63283073745492</v>
      </c>
      <c r="DE103" s="21">
        <f t="shared" si="366"/>
        <v>538.63283073745492</v>
      </c>
      <c r="DF103" s="21">
        <f t="shared" si="366"/>
        <v>538.63283073745492</v>
      </c>
      <c r="DH103" s="21">
        <f t="shared" ref="DH103:DR104" si="367">HLOOKUP(DH$102,$EI$102:$EJ$104,ROW($EH103)-ROW($EH$102)+1,FALSE)</f>
        <v>538.63283073745492</v>
      </c>
      <c r="DI103" s="21">
        <f t="shared" si="367"/>
        <v>538.63283073745492</v>
      </c>
      <c r="DJ103" s="21">
        <f t="shared" si="367"/>
        <v>538.63283073745492</v>
      </c>
      <c r="DK103" s="21">
        <f t="shared" si="367"/>
        <v>538.63283073745492</v>
      </c>
      <c r="DL103" s="21">
        <f t="shared" si="367"/>
        <v>538.63283073745492</v>
      </c>
      <c r="DM103" s="21">
        <f t="shared" si="367"/>
        <v>538.63283073745492</v>
      </c>
      <c r="DN103" s="21">
        <f t="shared" si="367"/>
        <v>538.63283073745492</v>
      </c>
      <c r="DO103" s="21">
        <f t="shared" si="367"/>
        <v>538.63283073745492</v>
      </c>
      <c r="DP103" s="21">
        <f t="shared" si="367"/>
        <v>538.63283073745492</v>
      </c>
      <c r="DQ103" s="21">
        <f t="shared" si="367"/>
        <v>538.63283073745492</v>
      </c>
      <c r="DR103" s="21">
        <f t="shared" si="367"/>
        <v>538.63283073745492</v>
      </c>
      <c r="DS103" s="21">
        <f t="shared" ref="DS103:DW104" si="368">HLOOKUP(DS$102,$EI$102:$EJ$104,ROW($EH103)-ROW($EH$102)+1,FALSE)</f>
        <v>538.63283073745492</v>
      </c>
      <c r="DT103" s="21">
        <f t="shared" si="368"/>
        <v>538.63283073745492</v>
      </c>
      <c r="DU103" s="21">
        <f t="shared" si="368"/>
        <v>538.63283073745492</v>
      </c>
      <c r="DV103" s="21">
        <f t="shared" si="368"/>
        <v>538.63283073745492</v>
      </c>
      <c r="DW103" s="21">
        <f t="shared" si="368"/>
        <v>538.63283073745492</v>
      </c>
      <c r="DX103" s="21">
        <f t="shared" ref="DX103:EC104" si="369">HLOOKUP(DX$102,$EI$102:$EJ$104,ROW($EH103)-ROW($EH$102)+1,FALSE)</f>
        <v>538.63283073745492</v>
      </c>
      <c r="DY103" s="21">
        <f t="shared" si="369"/>
        <v>538.63283073745492</v>
      </c>
      <c r="DZ103" s="21">
        <f t="shared" si="369"/>
        <v>538.63283073745492</v>
      </c>
      <c r="EA103" s="21">
        <f t="shared" si="369"/>
        <v>538.63283073745492</v>
      </c>
      <c r="EB103" s="21">
        <f t="shared" si="369"/>
        <v>538.63283073745492</v>
      </c>
      <c r="EC103" s="21">
        <f t="shared" si="369"/>
        <v>538.63283073745492</v>
      </c>
      <c r="ED103" s="21">
        <f>HLOOKUP(ED$102,$EI$102:$EJ$104,ROW($EH103)-ROW($EH$102)+1,FALSE)</f>
        <v>538.63283073745492</v>
      </c>
      <c r="EF103" s="21" t="s">
        <v>82</v>
      </c>
      <c r="EH103" s="21" t="s">
        <v>224</v>
      </c>
      <c r="EI103" s="89">
        <f>SUM([7]Vehi_ADR!$B$125:$H$125)/([7]Vehi_Inputs!$C$18*Convert!$G$10)</f>
        <v>538.63283073745492</v>
      </c>
      <c r="EJ103" s="89">
        <f>SUM([5]Vehi_ADR!$B$125:$H$125)/([5]Vehi_Inputs!$C$18*Convert!$G$10)</f>
        <v>538.63283073745492</v>
      </c>
    </row>
    <row r="104" spans="1:144" x14ac:dyDescent="0.3">
      <c r="A104" s="21" t="s">
        <v>133</v>
      </c>
      <c r="D104" s="21">
        <f t="shared" si="356"/>
        <v>153.35318310942364</v>
      </c>
      <c r="E104" s="21">
        <f t="shared" si="356"/>
        <v>153.35318310942364</v>
      </c>
      <c r="F104" s="21">
        <f t="shared" si="356"/>
        <v>153.35318310942364</v>
      </c>
      <c r="G104" s="21">
        <f t="shared" si="356"/>
        <v>153.35318310942364</v>
      </c>
      <c r="H104" s="21">
        <f t="shared" si="356"/>
        <v>153.35318310942364</v>
      </c>
      <c r="I104" s="21">
        <f t="shared" si="356"/>
        <v>153.35318310942364</v>
      </c>
      <c r="J104" s="21">
        <f t="shared" si="356"/>
        <v>153.35318310942364</v>
      </c>
      <c r="K104" s="21">
        <f t="shared" si="356"/>
        <v>153.35318310942364</v>
      </c>
      <c r="L104" s="21">
        <f t="shared" si="356"/>
        <v>153.35318310942364</v>
      </c>
      <c r="M104" s="21">
        <f t="shared" si="356"/>
        <v>153.35318310942364</v>
      </c>
      <c r="N104" s="21">
        <f t="shared" si="357"/>
        <v>153.35318310942364</v>
      </c>
      <c r="O104" s="21">
        <f t="shared" si="357"/>
        <v>153.35318310942364</v>
      </c>
      <c r="P104" s="21">
        <f t="shared" si="357"/>
        <v>153.35318310942364</v>
      </c>
      <c r="Q104" s="21">
        <f t="shared" si="357"/>
        <v>153.35318310942364</v>
      </c>
      <c r="R104" s="21">
        <f t="shared" si="357"/>
        <v>153.35318310942364</v>
      </c>
      <c r="S104" s="21">
        <f t="shared" si="357"/>
        <v>153.35318310942364</v>
      </c>
      <c r="T104" s="21">
        <f t="shared" si="357"/>
        <v>153.35318310942364</v>
      </c>
      <c r="U104" s="21">
        <f t="shared" si="357"/>
        <v>153.35318310942364</v>
      </c>
      <c r="V104" s="21">
        <f t="shared" si="357"/>
        <v>153.35318310942364</v>
      </c>
      <c r="W104" s="21">
        <f t="shared" si="357"/>
        <v>153.35318310942364</v>
      </c>
      <c r="X104" s="21">
        <f t="shared" si="357"/>
        <v>153.35318310942364</v>
      </c>
      <c r="Y104" s="21">
        <f t="shared" si="357"/>
        <v>153.35318310942364</v>
      </c>
      <c r="Z104" s="21">
        <f t="shared" si="357"/>
        <v>153.35318310942364</v>
      </c>
      <c r="AA104" s="21">
        <f t="shared" si="357"/>
        <v>153.35318310942364</v>
      </c>
      <c r="AB104" s="21">
        <f t="shared" si="358"/>
        <v>153.35318310942364</v>
      </c>
      <c r="AC104" s="21">
        <f t="shared" si="358"/>
        <v>153.35318310942364</v>
      </c>
      <c r="AD104" s="21">
        <f t="shared" si="358"/>
        <v>153.35318310942364</v>
      </c>
      <c r="AE104" s="21">
        <f>HLOOKUP(AE$102,$EI$102:$EJ$104,ROW($EH104)-ROW($EH$102)+1,FALSE)</f>
        <v>153.35318310942364</v>
      </c>
      <c r="AF104" s="21">
        <f>HLOOKUP(AF$102,$EI$102:$EJ$104,ROW($EH104)-ROW($EH$102)+1,FALSE)</f>
        <v>153.35318310942364</v>
      </c>
      <c r="AG104" s="21">
        <f t="shared" si="359"/>
        <v>153.35318310942364</v>
      </c>
      <c r="AH104" s="21">
        <f t="shared" si="359"/>
        <v>153.35318310942364</v>
      </c>
      <c r="AI104" s="21">
        <f t="shared" si="359"/>
        <v>153.35318310942364</v>
      </c>
      <c r="AJ104" s="21">
        <f t="shared" si="359"/>
        <v>153.35318310942364</v>
      </c>
      <c r="AK104" s="21">
        <f t="shared" si="359"/>
        <v>153.35318310942364</v>
      </c>
      <c r="AL104" s="21">
        <f t="shared" si="359"/>
        <v>153.35318310942364</v>
      </c>
      <c r="AM104" s="21">
        <f t="shared" si="359"/>
        <v>153.35318310942364</v>
      </c>
      <c r="AN104" s="21">
        <f t="shared" si="359"/>
        <v>153.35318310942364</v>
      </c>
      <c r="AO104" s="21">
        <f t="shared" si="359"/>
        <v>153.35318310942364</v>
      </c>
      <c r="AP104" s="21">
        <f t="shared" si="359"/>
        <v>153.35318310942364</v>
      </c>
      <c r="AQ104" s="21">
        <f t="shared" si="360"/>
        <v>153.35318310942364</v>
      </c>
      <c r="AR104" s="21">
        <f t="shared" si="360"/>
        <v>153.35318310942364</v>
      </c>
      <c r="AS104" s="21">
        <f t="shared" si="360"/>
        <v>153.35318310942364</v>
      </c>
      <c r="AT104" s="21">
        <f t="shared" si="360"/>
        <v>153.35318310942364</v>
      </c>
      <c r="AU104" s="21">
        <f t="shared" si="360"/>
        <v>153.35318310942364</v>
      </c>
      <c r="AV104" s="21">
        <f t="shared" si="360"/>
        <v>153.35318310942364</v>
      </c>
      <c r="AW104" s="21">
        <f t="shared" si="360"/>
        <v>153.35318310942364</v>
      </c>
      <c r="AX104" s="21">
        <f t="shared" si="360"/>
        <v>153.35318310942364</v>
      </c>
      <c r="AY104" s="21">
        <f t="shared" si="360"/>
        <v>153.35318310942364</v>
      </c>
      <c r="AZ104" s="21">
        <f t="shared" si="360"/>
        <v>153.35318310942364</v>
      </c>
      <c r="BA104" s="21">
        <f t="shared" si="361"/>
        <v>153.35318310942364</v>
      </c>
      <c r="BB104" s="21">
        <f t="shared" si="361"/>
        <v>153.35318310942364</v>
      </c>
      <c r="BC104" s="21">
        <f t="shared" si="361"/>
        <v>153.35318310942364</v>
      </c>
      <c r="BD104" s="21">
        <f t="shared" si="361"/>
        <v>153.35318310942364</v>
      </c>
      <c r="BE104" s="21">
        <f t="shared" si="361"/>
        <v>153.35318310942364</v>
      </c>
      <c r="BF104" s="21">
        <f t="shared" si="361"/>
        <v>153.35318310942364</v>
      </c>
      <c r="BG104" s="21">
        <f t="shared" si="361"/>
        <v>153.35318310942364</v>
      </c>
      <c r="BH104" s="21">
        <f t="shared" si="361"/>
        <v>153.35318310942364</v>
      </c>
      <c r="BI104" s="21">
        <f t="shared" si="361"/>
        <v>153.35318310942364</v>
      </c>
      <c r="BJ104" s="21">
        <f t="shared" si="361"/>
        <v>153.35318310942364</v>
      </c>
      <c r="BK104" s="21">
        <f t="shared" si="362"/>
        <v>153.35318310942364</v>
      </c>
      <c r="BL104" s="21">
        <f t="shared" si="362"/>
        <v>153.35318310942364</v>
      </c>
      <c r="BM104" s="21">
        <f t="shared" si="362"/>
        <v>153.35318310942364</v>
      </c>
      <c r="BN104" s="21">
        <f t="shared" si="362"/>
        <v>153.35318310942364</v>
      </c>
      <c r="BO104" s="21">
        <f t="shared" si="362"/>
        <v>153.35318310942364</v>
      </c>
      <c r="BP104" s="21">
        <f t="shared" si="362"/>
        <v>153.35318310942364</v>
      </c>
      <c r="BQ104" s="21">
        <f t="shared" si="362"/>
        <v>153.35318310942364</v>
      </c>
      <c r="BR104" s="21">
        <f t="shared" si="362"/>
        <v>153.35318310942364</v>
      </c>
      <c r="BS104" s="21">
        <f t="shared" si="362"/>
        <v>153.35318310942364</v>
      </c>
      <c r="BT104" s="21">
        <f t="shared" si="362"/>
        <v>153.35318310942364</v>
      </c>
      <c r="BU104" s="21">
        <f t="shared" si="363"/>
        <v>153.35318310942364</v>
      </c>
      <c r="BV104" s="21">
        <f t="shared" si="363"/>
        <v>153.35318310942364</v>
      </c>
      <c r="BW104" s="21">
        <f t="shared" si="363"/>
        <v>153.35318310942364</v>
      </c>
      <c r="BX104" s="21">
        <f t="shared" si="363"/>
        <v>153.35318310942364</v>
      </c>
      <c r="BY104" s="21">
        <f t="shared" si="363"/>
        <v>153.35318310942364</v>
      </c>
      <c r="BZ104" s="21">
        <f t="shared" si="363"/>
        <v>153.35318310942364</v>
      </c>
      <c r="CA104" s="21">
        <f t="shared" si="363"/>
        <v>153.35318310942364</v>
      </c>
      <c r="CB104" s="21">
        <f t="shared" si="363"/>
        <v>153.35318310942364</v>
      </c>
      <c r="CC104" s="21">
        <f t="shared" si="363"/>
        <v>153.35318310942364</v>
      </c>
      <c r="CD104" s="21">
        <f t="shared" si="363"/>
        <v>153.35318310942364</v>
      </c>
      <c r="CE104" s="21">
        <f t="shared" si="364"/>
        <v>153.35318310942364</v>
      </c>
      <c r="CF104" s="21">
        <f t="shared" si="364"/>
        <v>153.35318310942364</v>
      </c>
      <c r="CG104" s="21">
        <f t="shared" si="364"/>
        <v>153.35318310942364</v>
      </c>
      <c r="CH104" s="21">
        <f t="shared" si="364"/>
        <v>153.35318310942364</v>
      </c>
      <c r="CI104" s="21">
        <f t="shared" si="364"/>
        <v>153.35318310942364</v>
      </c>
      <c r="CJ104" s="21">
        <f t="shared" si="364"/>
        <v>153.35318310942364</v>
      </c>
      <c r="CK104" s="21">
        <f t="shared" si="364"/>
        <v>153.35318310942364</v>
      </c>
      <c r="CL104" s="21">
        <f t="shared" si="364"/>
        <v>153.35318310942364</v>
      </c>
      <c r="CM104" s="21">
        <f t="shared" si="364"/>
        <v>153.35318310942364</v>
      </c>
      <c r="CN104" s="21">
        <f t="shared" si="364"/>
        <v>153.35318310942364</v>
      </c>
      <c r="CO104" s="21">
        <f t="shared" si="365"/>
        <v>153.35318310942364</v>
      </c>
      <c r="CP104" s="21">
        <f t="shared" si="365"/>
        <v>153.35318310942364</v>
      </c>
      <c r="CQ104" s="21">
        <f t="shared" si="365"/>
        <v>153.35318310942364</v>
      </c>
      <c r="CR104" s="21">
        <f t="shared" si="365"/>
        <v>153.35318310942364</v>
      </c>
      <c r="CS104" s="21">
        <f t="shared" si="365"/>
        <v>153.35318310942364</v>
      </c>
      <c r="CT104" s="21">
        <f t="shared" si="365"/>
        <v>153.35318310942364</v>
      </c>
      <c r="CU104" s="21">
        <f t="shared" si="365"/>
        <v>153.35318310942364</v>
      </c>
      <c r="CV104" s="21">
        <f t="shared" si="365"/>
        <v>153.35318310942364</v>
      </c>
      <c r="CW104" s="21">
        <f t="shared" si="365"/>
        <v>153.35318310942364</v>
      </c>
      <c r="CX104" s="21">
        <f t="shared" si="365"/>
        <v>153.35318310942364</v>
      </c>
      <c r="CY104" s="21">
        <f t="shared" si="366"/>
        <v>153.35318310942364</v>
      </c>
      <c r="CZ104" s="21">
        <f t="shared" si="366"/>
        <v>153.35318310942364</v>
      </c>
      <c r="DA104" s="21">
        <f t="shared" si="366"/>
        <v>153.35318310942364</v>
      </c>
      <c r="DB104" s="21">
        <f t="shared" si="366"/>
        <v>153.35318310942364</v>
      </c>
      <c r="DC104" s="21">
        <f t="shared" si="366"/>
        <v>153.35318310942364</v>
      </c>
      <c r="DD104" s="21">
        <f t="shared" si="366"/>
        <v>153.35318310942364</v>
      </c>
      <c r="DE104" s="21">
        <f t="shared" si="366"/>
        <v>153.35318310942364</v>
      </c>
      <c r="DF104" s="21">
        <f t="shared" si="366"/>
        <v>153.35318310942364</v>
      </c>
      <c r="DH104" s="21">
        <f t="shared" si="367"/>
        <v>153.35318310942364</v>
      </c>
      <c r="DI104" s="21">
        <f t="shared" si="367"/>
        <v>153.35318310942364</v>
      </c>
      <c r="DJ104" s="21">
        <f t="shared" si="367"/>
        <v>153.35318310942364</v>
      </c>
      <c r="DK104" s="21">
        <f t="shared" si="367"/>
        <v>153.35318310942364</v>
      </c>
      <c r="DL104" s="21">
        <f t="shared" si="367"/>
        <v>153.35318310942364</v>
      </c>
      <c r="DM104" s="21">
        <f t="shared" si="367"/>
        <v>153.35318310942364</v>
      </c>
      <c r="DN104" s="21">
        <f t="shared" si="367"/>
        <v>153.35318310942364</v>
      </c>
      <c r="DO104" s="21">
        <f t="shared" si="367"/>
        <v>153.35318310942364</v>
      </c>
      <c r="DP104" s="21">
        <f t="shared" si="367"/>
        <v>153.35318310942364</v>
      </c>
      <c r="DQ104" s="21">
        <f t="shared" si="367"/>
        <v>153.35318310942364</v>
      </c>
      <c r="DR104" s="21">
        <f t="shared" si="367"/>
        <v>153.35318310942364</v>
      </c>
      <c r="DS104" s="21">
        <f t="shared" si="368"/>
        <v>153.35318310942364</v>
      </c>
      <c r="DT104" s="21">
        <f t="shared" si="368"/>
        <v>153.35318310942364</v>
      </c>
      <c r="DU104" s="21">
        <f t="shared" si="368"/>
        <v>153.35318310942364</v>
      </c>
      <c r="DV104" s="21">
        <f t="shared" si="368"/>
        <v>153.35318310942364</v>
      </c>
      <c r="DW104" s="21">
        <f t="shared" si="368"/>
        <v>153.35318310942364</v>
      </c>
      <c r="DX104" s="21">
        <f t="shared" si="369"/>
        <v>153.35318310942364</v>
      </c>
      <c r="DY104" s="21">
        <f t="shared" si="369"/>
        <v>153.35318310942364</v>
      </c>
      <c r="DZ104" s="21">
        <f t="shared" si="369"/>
        <v>153.35318310942364</v>
      </c>
      <c r="EA104" s="21">
        <f t="shared" si="369"/>
        <v>153.35318310942364</v>
      </c>
      <c r="EB104" s="21">
        <f t="shared" si="369"/>
        <v>153.35318310942364</v>
      </c>
      <c r="EC104" s="21">
        <f t="shared" si="369"/>
        <v>153.35318310942364</v>
      </c>
      <c r="ED104" s="21">
        <f>HLOOKUP(ED$102,$EI$102:$EJ$104,ROW($EH104)-ROW($EH$102)+1,FALSE)</f>
        <v>153.35318310942364</v>
      </c>
      <c r="EF104" s="62" t="s">
        <v>148</v>
      </c>
      <c r="EH104" s="21" t="s">
        <v>224</v>
      </c>
      <c r="EI104" s="89">
        <f>[7]Vehi_ADR!$I$125/([7]Vehi_Inputs!$C$18*Convert!$G$10)</f>
        <v>153.35318310942364</v>
      </c>
      <c r="EJ104" s="89">
        <f>[5]Vehi_ADR!$I$125/([5]Vehi_Inputs!$C$18*Convert!$G$10)</f>
        <v>153.35318310942364</v>
      </c>
    </row>
    <row r="106" spans="1:144" x14ac:dyDescent="0.3">
      <c r="A106" s="21" t="s">
        <v>146</v>
      </c>
      <c r="B106" s="21" t="s">
        <v>342</v>
      </c>
      <c r="EH106" s="21" t="str">
        <f>A106&amp;" (default values from GREET2 account for changes in the power generation mix only)"</f>
        <v>GHG emission intensity of battery manufacturing (default values from GREET2 account for changes in the power generation mix only)</v>
      </c>
      <c r="EJ106" s="21" t="str">
        <f>B106</f>
        <v>[g CO2 eq/kWh of battery capacity]</v>
      </c>
    </row>
    <row r="107" spans="1:144" x14ac:dyDescent="0.3">
      <c r="A107" s="21" t="str">
        <f>A$5</f>
        <v>Vehicle production region</v>
      </c>
      <c r="D107" s="21" t="str">
        <f>D5</f>
        <v>With Al smelting mostly form coal</v>
      </c>
      <c r="E107" s="21" t="str">
        <f t="shared" ref="E107:P107" si="370">E5</f>
        <v>With Al smelting mostly form coal</v>
      </c>
      <c r="F107" s="21" t="str">
        <f t="shared" si="370"/>
        <v>Default</v>
      </c>
      <c r="G107" s="21" t="str">
        <f t="shared" si="370"/>
        <v>With Al smelting mostly form coal</v>
      </c>
      <c r="H107" s="21" t="str">
        <f t="shared" si="370"/>
        <v>With Al smelting mostly form coal</v>
      </c>
      <c r="I107" s="21" t="str">
        <f t="shared" ref="I107" si="371">I5</f>
        <v>With Al smelting mostly form coal</v>
      </c>
      <c r="J107" s="21" t="str">
        <f t="shared" si="370"/>
        <v>With Al smelting mostly form coal</v>
      </c>
      <c r="K107" s="21" t="str">
        <f t="shared" si="370"/>
        <v>With Al smelting mostly form coal</v>
      </c>
      <c r="L107" s="21" t="str">
        <f t="shared" si="370"/>
        <v>With Al smelting mostly form coal</v>
      </c>
      <c r="M107" s="21" t="str">
        <f t="shared" si="370"/>
        <v>With Al smelting mostly form coal</v>
      </c>
      <c r="N107" s="21" t="str">
        <f t="shared" si="370"/>
        <v>With Al smelting mostly form coal</v>
      </c>
      <c r="O107" s="21" t="str">
        <f t="shared" si="370"/>
        <v>With Al smelting mostly form coal</v>
      </c>
      <c r="P107" s="21" t="str">
        <f t="shared" si="370"/>
        <v>With Al smelting mostly form coal</v>
      </c>
      <c r="Q107" s="21" t="str">
        <f t="shared" ref="Q107:V107" si="372">Q5</f>
        <v>With Al smelting mostly form coal</v>
      </c>
      <c r="R107" s="21" t="str">
        <f t="shared" si="372"/>
        <v>With Al smelting mostly form coal</v>
      </c>
      <c r="S107" s="21" t="str">
        <f t="shared" si="372"/>
        <v>With Al smelting mostly form coal</v>
      </c>
      <c r="T107" s="21" t="str">
        <f t="shared" si="372"/>
        <v>Default</v>
      </c>
      <c r="U107" s="21" t="str">
        <f t="shared" si="372"/>
        <v>With Al smelting mostly form coal</v>
      </c>
      <c r="V107" s="21" t="str">
        <f t="shared" si="372"/>
        <v>With Al smelting mostly form coal</v>
      </c>
      <c r="W107" s="21" t="str">
        <f t="shared" ref="W107:BT107" si="373">W5</f>
        <v>With Al smelting mostly form coal</v>
      </c>
      <c r="X107" s="21" t="str">
        <f t="shared" ref="X107:Y107" si="374">X5</f>
        <v>Default</v>
      </c>
      <c r="Y107" s="21" t="str">
        <f t="shared" si="374"/>
        <v>With Al smelting mostly form coal</v>
      </c>
      <c r="Z107" s="21" t="str">
        <f t="shared" si="373"/>
        <v>With Al smelting mostly form coal</v>
      </c>
      <c r="AA107" s="21" t="str">
        <f t="shared" ref="AA107" si="375">AA5</f>
        <v>With Al smelting mostly form coal</v>
      </c>
      <c r="AB107" s="21" t="str">
        <f t="shared" ref="AB107:AC107" si="376">AB5</f>
        <v>Default</v>
      </c>
      <c r="AC107" s="21" t="str">
        <f t="shared" si="376"/>
        <v>With Al smelting mostly form coal</v>
      </c>
      <c r="AD107" s="21" t="str">
        <f t="shared" ref="AD107" si="377">AD5</f>
        <v>With Al smelting mostly form coal</v>
      </c>
      <c r="AE107" s="21" t="str">
        <f t="shared" ref="AE107" si="378">AE5</f>
        <v>With Al smelting mostly form coal</v>
      </c>
      <c r="AF107" s="21" t="str">
        <f t="shared" si="373"/>
        <v>With Al smelting mostly form coal</v>
      </c>
      <c r="AG107" s="21" t="str">
        <f t="shared" si="373"/>
        <v>With Al smelting mostly form coal</v>
      </c>
      <c r="AH107" s="21" t="str">
        <f t="shared" si="373"/>
        <v>With Al smelting mostly form coal</v>
      </c>
      <c r="AI107" s="21" t="str">
        <f t="shared" si="373"/>
        <v>With Al smelting mostly form coal</v>
      </c>
      <c r="AJ107" s="21" t="str">
        <f t="shared" si="373"/>
        <v>With Al smelting mostly form coal</v>
      </c>
      <c r="AK107" s="21" t="str">
        <f t="shared" si="373"/>
        <v>With Al smelting mostly form coal</v>
      </c>
      <c r="AL107" s="21" t="str">
        <f t="shared" si="373"/>
        <v>With Al smelting mostly form coal</v>
      </c>
      <c r="AM107" s="21" t="str">
        <f t="shared" si="373"/>
        <v>With Al smelting mostly form coal</v>
      </c>
      <c r="AN107" s="21" t="str">
        <f t="shared" si="373"/>
        <v>With Al smelting mostly form coal</v>
      </c>
      <c r="AO107" s="21" t="str">
        <f t="shared" si="373"/>
        <v>With Al smelting mostly form coal</v>
      </c>
      <c r="AP107" s="21" t="str">
        <f t="shared" si="373"/>
        <v>With Al smelting mostly form coal</v>
      </c>
      <c r="AQ107" s="21" t="str">
        <f t="shared" si="373"/>
        <v>With Al smelting mostly form coal</v>
      </c>
      <c r="AR107" s="21" t="str">
        <f t="shared" si="373"/>
        <v>With Al smelting mostly form coal</v>
      </c>
      <c r="AS107" s="21" t="str">
        <f t="shared" si="373"/>
        <v>With Al smelting mostly form coal</v>
      </c>
      <c r="AT107" s="21" t="str">
        <f t="shared" si="373"/>
        <v>With Al smelting mostly form coal</v>
      </c>
      <c r="AU107" s="21" t="str">
        <f t="shared" si="373"/>
        <v>Default</v>
      </c>
      <c r="AV107" s="21" t="str">
        <f t="shared" si="373"/>
        <v>With Al smelting mostly form coal</v>
      </c>
      <c r="AW107" s="21" t="str">
        <f t="shared" si="373"/>
        <v>With Al smelting mostly form coal</v>
      </c>
      <c r="AX107" s="21" t="str">
        <f t="shared" si="373"/>
        <v>With Al smelting mostly form coal</v>
      </c>
      <c r="AY107" s="21" t="str">
        <f t="shared" si="373"/>
        <v>With Al smelting mostly form coal</v>
      </c>
      <c r="AZ107" s="21" t="str">
        <f t="shared" si="373"/>
        <v>With Al smelting mostly form coal</v>
      </c>
      <c r="BA107" s="21" t="str">
        <f t="shared" si="373"/>
        <v>With Al smelting mostly form coal</v>
      </c>
      <c r="BB107" s="21" t="str">
        <f t="shared" si="373"/>
        <v>With Al smelting mostly form coal</v>
      </c>
      <c r="BC107" s="21" t="str">
        <f t="shared" si="373"/>
        <v>With Al smelting mostly form coal</v>
      </c>
      <c r="BD107" s="21" t="str">
        <f t="shared" si="373"/>
        <v>With Al smelting mostly form coal</v>
      </c>
      <c r="BE107" s="21" t="str">
        <f t="shared" si="373"/>
        <v>With Al smelting mostly form coal</v>
      </c>
      <c r="BF107" s="21" t="str">
        <f t="shared" si="373"/>
        <v>With Al smelting mostly form coal</v>
      </c>
      <c r="BG107" s="21" t="str">
        <f t="shared" si="373"/>
        <v>With Al smelting mostly form coal</v>
      </c>
      <c r="BH107" s="21" t="str">
        <f t="shared" si="373"/>
        <v>With Al smelting mostly form coal</v>
      </c>
      <c r="BI107" s="21" t="str">
        <f t="shared" si="373"/>
        <v>With Al smelting mostly form coal</v>
      </c>
      <c r="BJ107" s="21" t="str">
        <f t="shared" si="373"/>
        <v>With Al smelting mostly form coal</v>
      </c>
      <c r="BK107" s="21" t="str">
        <f t="shared" si="373"/>
        <v>With Al smelting mostly form coal</v>
      </c>
      <c r="BL107" s="21" t="str">
        <f t="shared" si="373"/>
        <v>With Al smelting mostly form coal</v>
      </c>
      <c r="BM107" s="21" t="str">
        <f t="shared" si="373"/>
        <v>With Al smelting mostly form coal</v>
      </c>
      <c r="BN107" s="21" t="str">
        <f t="shared" si="373"/>
        <v>With Al smelting mostly form coal</v>
      </c>
      <c r="BO107" s="21" t="str">
        <f t="shared" si="373"/>
        <v>With Al smelting mostly form coal</v>
      </c>
      <c r="BP107" s="21" t="str">
        <f t="shared" si="373"/>
        <v>With Al smelting mostly form coal</v>
      </c>
      <c r="BQ107" s="21" t="str">
        <f t="shared" si="373"/>
        <v>Default</v>
      </c>
      <c r="BR107" s="21" t="str">
        <f t="shared" si="373"/>
        <v>With Al smelting mostly form coal</v>
      </c>
      <c r="BS107" s="21" t="str">
        <f t="shared" si="373"/>
        <v>With Al smelting mostly form coal</v>
      </c>
      <c r="BT107" s="21" t="str">
        <f t="shared" si="373"/>
        <v>With Al smelting mostly form coal</v>
      </c>
      <c r="BU107" s="21" t="str">
        <f t="shared" ref="BU107:CC107" si="379">BU5</f>
        <v>With Al smelting mostly form coal</v>
      </c>
      <c r="BV107" s="21" t="str">
        <f t="shared" si="379"/>
        <v>With Al smelting mostly form coal</v>
      </c>
      <c r="BW107" s="21" t="str">
        <f t="shared" si="379"/>
        <v>With Al smelting mostly form coal</v>
      </c>
      <c r="BX107" s="21" t="str">
        <f t="shared" si="379"/>
        <v>With Al smelting mostly form coal</v>
      </c>
      <c r="BY107" s="21" t="str">
        <f t="shared" si="379"/>
        <v>With Al smelting mostly form coal</v>
      </c>
      <c r="BZ107" s="21" t="str">
        <f t="shared" si="379"/>
        <v>Default</v>
      </c>
      <c r="CA107" s="21" t="str">
        <f t="shared" si="379"/>
        <v>With Al smelting mostly form coal</v>
      </c>
      <c r="CB107" s="21" t="str">
        <f t="shared" si="379"/>
        <v>With Al smelting mostly form coal</v>
      </c>
      <c r="CC107" s="21" t="str">
        <f t="shared" si="379"/>
        <v>With Al smelting mostly form coal</v>
      </c>
      <c r="CD107" s="21" t="str">
        <f t="shared" ref="CD107:DF107" si="380">CD5</f>
        <v>With Al smelting mostly form coal</v>
      </c>
      <c r="CE107" s="21" t="str">
        <f t="shared" si="380"/>
        <v>With Al smelting mostly form coal</v>
      </c>
      <c r="CF107" s="21" t="str">
        <f t="shared" si="380"/>
        <v>With Al smelting mostly form coal</v>
      </c>
      <c r="CG107" s="21" t="str">
        <f t="shared" si="380"/>
        <v>With Al smelting mostly form coal</v>
      </c>
      <c r="CH107" s="21" t="str">
        <f t="shared" si="380"/>
        <v>With Al smelting mostly form coal</v>
      </c>
      <c r="CI107" s="21" t="str">
        <f t="shared" si="380"/>
        <v>With Al smelting mostly form coal</v>
      </c>
      <c r="CJ107" s="21" t="str">
        <f t="shared" si="380"/>
        <v>With Al smelting mostly form coal</v>
      </c>
      <c r="CK107" s="21" t="str">
        <f t="shared" si="380"/>
        <v>With Al smelting mostly form coal</v>
      </c>
      <c r="CL107" s="21" t="str">
        <f t="shared" si="380"/>
        <v>With Al smelting mostly form coal</v>
      </c>
      <c r="CM107" s="21" t="str">
        <f t="shared" si="380"/>
        <v>With Al smelting mostly form coal</v>
      </c>
      <c r="CN107" s="21" t="str">
        <f t="shared" si="380"/>
        <v>With Al smelting mostly form coal</v>
      </c>
      <c r="CO107" s="21" t="str">
        <f t="shared" si="380"/>
        <v>With Al smelting mostly form coal</v>
      </c>
      <c r="CP107" s="21" t="str">
        <f t="shared" si="380"/>
        <v>With Al smelting mostly form coal</v>
      </c>
      <c r="CQ107" s="21" t="str">
        <f t="shared" si="380"/>
        <v>With Al smelting mostly form coal</v>
      </c>
      <c r="CR107" s="21" t="str">
        <f t="shared" si="380"/>
        <v>With Al smelting mostly form coal</v>
      </c>
      <c r="CS107" s="21" t="str">
        <f t="shared" si="380"/>
        <v>With Al smelting mostly form coal</v>
      </c>
      <c r="CT107" s="21" t="str">
        <f t="shared" si="380"/>
        <v>With Al smelting mostly form coal</v>
      </c>
      <c r="CU107" s="21" t="str">
        <f t="shared" si="380"/>
        <v>With Al smelting mostly form coal</v>
      </c>
      <c r="CV107" s="21" t="str">
        <f t="shared" si="380"/>
        <v>With Al smelting mostly form coal</v>
      </c>
      <c r="CW107" s="21" t="str">
        <f t="shared" si="380"/>
        <v>With Al smelting mostly form coal</v>
      </c>
      <c r="CX107" s="21" t="str">
        <f t="shared" si="380"/>
        <v>With Al smelting mostly form coal</v>
      </c>
      <c r="CY107" s="21" t="str">
        <f t="shared" si="380"/>
        <v>With Al smelting mostly form coal</v>
      </c>
      <c r="CZ107" s="21" t="str">
        <f t="shared" si="380"/>
        <v>With Al smelting mostly form coal</v>
      </c>
      <c r="DA107" s="21" t="str">
        <f t="shared" si="380"/>
        <v>With Al smelting mostly form coal</v>
      </c>
      <c r="DB107" s="21" t="str">
        <f t="shared" si="380"/>
        <v>With Al smelting mostly form coal</v>
      </c>
      <c r="DC107" s="21" t="str">
        <f t="shared" si="380"/>
        <v>With Al smelting mostly form coal</v>
      </c>
      <c r="DD107" s="21" t="str">
        <f t="shared" si="380"/>
        <v>With Al smelting mostly form coal</v>
      </c>
      <c r="DE107" s="21" t="str">
        <f t="shared" si="380"/>
        <v>With Al smelting mostly form coal</v>
      </c>
      <c r="DF107" s="21" t="str">
        <f t="shared" si="380"/>
        <v>With Al smelting mostly form coal</v>
      </c>
      <c r="DH107" s="21" t="str">
        <f>DH5</f>
        <v>With Al smelting mostly form coal</v>
      </c>
      <c r="DI107" s="21" t="str">
        <f>DI5</f>
        <v>With Al smelting mostly form coal</v>
      </c>
      <c r="DJ107" s="21" t="str">
        <f>DJ5</f>
        <v>With Al smelting mostly form coal</v>
      </c>
      <c r="DK107" s="21" t="str">
        <f t="shared" ref="DK107:DP107" si="381">DK5</f>
        <v>With Al smelting mostly form coal</v>
      </c>
      <c r="DL107" s="21" t="str">
        <f t="shared" si="381"/>
        <v>With Al smelting mostly form coal</v>
      </c>
      <c r="DM107" s="21" t="str">
        <f>DM5</f>
        <v>With Al smelting mostly form coal</v>
      </c>
      <c r="DN107" s="21" t="str">
        <f t="shared" si="381"/>
        <v>With Al smelting mostly form coal</v>
      </c>
      <c r="DO107" s="21" t="str">
        <f t="shared" si="381"/>
        <v>With Al smelting mostly form coal</v>
      </c>
      <c r="DP107" s="21" t="str">
        <f t="shared" si="381"/>
        <v>With Al smelting mostly form coal</v>
      </c>
      <c r="DQ107" s="21" t="str">
        <f t="shared" ref="DQ107:DW107" si="382">DQ5</f>
        <v>With Al smelting mostly form coal</v>
      </c>
      <c r="DR107" s="21" t="str">
        <f t="shared" si="382"/>
        <v>With Al smelting mostly form coal</v>
      </c>
      <c r="DS107" s="21" t="str">
        <f t="shared" si="382"/>
        <v>With Al smelting mostly form coal</v>
      </c>
      <c r="DT107" s="21" t="str">
        <f t="shared" si="382"/>
        <v>With Al smelting mostly form coal</v>
      </c>
      <c r="DU107" s="21" t="str">
        <f t="shared" si="382"/>
        <v>With Al smelting mostly form coal</v>
      </c>
      <c r="DV107" s="21" t="str">
        <f t="shared" si="382"/>
        <v>With Al smelting mostly form coal</v>
      </c>
      <c r="DW107" s="21" t="str">
        <f t="shared" si="382"/>
        <v>With Al smelting mostly form coal</v>
      </c>
      <c r="DX107" s="21" t="str">
        <f t="shared" ref="DX107:EC107" si="383">DX5</f>
        <v>With Al smelting mostly form coal</v>
      </c>
      <c r="DY107" s="21" t="str">
        <f t="shared" si="383"/>
        <v>With Al smelting mostly form coal</v>
      </c>
      <c r="DZ107" s="21" t="str">
        <f t="shared" si="383"/>
        <v>With Al smelting mostly form coal</v>
      </c>
      <c r="EA107" s="21" t="str">
        <f t="shared" si="383"/>
        <v>With Al smelting mostly form coal</v>
      </c>
      <c r="EB107" s="21" t="str">
        <f t="shared" si="383"/>
        <v>With Al smelting mostly form coal</v>
      </c>
      <c r="EC107" s="21" t="str">
        <f t="shared" si="383"/>
        <v>With Al smelting mostly form coal</v>
      </c>
      <c r="ED107" s="21" t="str">
        <f>ED5</f>
        <v>With Al smelting mostly form coal</v>
      </c>
      <c r="EH107" s="21" t="s">
        <v>915</v>
      </c>
      <c r="EI107" s="21" t="s">
        <v>951</v>
      </c>
      <c r="EJ107" s="21" t="s">
        <v>950</v>
      </c>
    </row>
    <row r="108" spans="1:144" x14ac:dyDescent="0.3">
      <c r="A108" s="21" t="str">
        <f>A74</f>
        <v xml:space="preserve">   Assembly</v>
      </c>
      <c r="D108" s="21" t="str">
        <f>IF(D$26=0,"",D$26)</f>
        <v>NMC111</v>
      </c>
      <c r="E108" s="21" t="str">
        <f t="shared" ref="E108:ED108" si="384">IF(E$26=0,"",E$26)</f>
        <v>NMC111</v>
      </c>
      <c r="F108" s="21" t="str">
        <f t="shared" si="384"/>
        <v>NMC111</v>
      </c>
      <c r="G108" s="21" t="str">
        <f t="shared" si="384"/>
        <v>NMC111</v>
      </c>
      <c r="H108" s="21" t="str">
        <f t="shared" si="384"/>
        <v>NMC111</v>
      </c>
      <c r="I108" s="21" t="str">
        <f t="shared" si="384"/>
        <v>NMC111</v>
      </c>
      <c r="J108" s="21" t="str">
        <f t="shared" si="384"/>
        <v>NMC111</v>
      </c>
      <c r="K108" s="21" t="str">
        <f t="shared" si="384"/>
        <v>NMC111</v>
      </c>
      <c r="L108" s="21" t="str">
        <f t="shared" si="384"/>
        <v>NMC111</v>
      </c>
      <c r="M108" s="21" t="str">
        <f t="shared" si="384"/>
        <v>NMC111</v>
      </c>
      <c r="N108" s="21" t="str">
        <f t="shared" si="384"/>
        <v>NMC111</v>
      </c>
      <c r="O108" s="21" t="str">
        <f t="shared" si="384"/>
        <v>NMC111</v>
      </c>
      <c r="P108" s="21" t="str">
        <f t="shared" si="384"/>
        <v>NMC111</v>
      </c>
      <c r="Q108" s="21" t="str">
        <f t="shared" si="384"/>
        <v>NMC111</v>
      </c>
      <c r="R108" s="21" t="str">
        <f t="shared" si="384"/>
        <v>NMC111</v>
      </c>
      <c r="S108" s="21" t="str">
        <f t="shared" si="384"/>
        <v>NMC111</v>
      </c>
      <c r="T108" s="21" t="str">
        <f t="shared" si="384"/>
        <v>NMC111</v>
      </c>
      <c r="U108" s="21" t="str">
        <f t="shared" si="384"/>
        <v>NMC111</v>
      </c>
      <c r="V108" s="21" t="str">
        <f t="shared" si="384"/>
        <v>NMC111</v>
      </c>
      <c r="W108" s="21" t="str">
        <f t="shared" si="384"/>
        <v>NMC111</v>
      </c>
      <c r="X108" s="21" t="str">
        <f>IF(X$26=0,"",X$26)</f>
        <v>NMC111</v>
      </c>
      <c r="Y108" s="21" t="str">
        <f>IF(Y$26=0,"",Y$26)</f>
        <v>NMC111</v>
      </c>
      <c r="Z108" s="21" t="str">
        <f>IF(Z$26=0,"",Z$26)</f>
        <v>NMC111</v>
      </c>
      <c r="AA108" s="21" t="str">
        <f>IF(AA$26=0,"",AA$26)</f>
        <v>NMC111</v>
      </c>
      <c r="AB108" s="21" t="str">
        <f t="shared" ref="AB108:AD108" si="385">IF(AB$26=0,"",AB$26)</f>
        <v>NMC111</v>
      </c>
      <c r="AC108" s="21" t="str">
        <f t="shared" si="385"/>
        <v>NMC111</v>
      </c>
      <c r="AD108" s="21" t="str">
        <f t="shared" si="385"/>
        <v>NMC111</v>
      </c>
      <c r="AE108" s="21" t="str">
        <f t="shared" si="384"/>
        <v>NMC111</v>
      </c>
      <c r="AF108" s="21" t="str">
        <f t="shared" si="384"/>
        <v>NMC111</v>
      </c>
      <c r="AG108" s="21" t="str">
        <f t="shared" si="384"/>
        <v/>
      </c>
      <c r="AH108" s="21" t="str">
        <f t="shared" si="384"/>
        <v>NMC111</v>
      </c>
      <c r="AI108" s="21" t="str">
        <f t="shared" si="384"/>
        <v/>
      </c>
      <c r="AJ108" s="21" t="str">
        <f t="shared" si="384"/>
        <v>NMC111</v>
      </c>
      <c r="AK108" s="21" t="str">
        <f t="shared" si="384"/>
        <v/>
      </c>
      <c r="AL108" s="21" t="str">
        <f t="shared" si="384"/>
        <v>NMC111</v>
      </c>
      <c r="AM108" s="21" t="str">
        <f t="shared" si="384"/>
        <v/>
      </c>
      <c r="AN108" s="21" t="str">
        <f t="shared" si="384"/>
        <v>NMC111</v>
      </c>
      <c r="AO108" s="21" t="str">
        <f t="shared" si="384"/>
        <v/>
      </c>
      <c r="AP108" s="21" t="str">
        <f t="shared" si="384"/>
        <v>NMC111</v>
      </c>
      <c r="AQ108" s="21" t="str">
        <f t="shared" si="384"/>
        <v>NMC111</v>
      </c>
      <c r="AR108" s="21" t="str">
        <f t="shared" si="384"/>
        <v>NMC111</v>
      </c>
      <c r="AS108" s="21" t="str">
        <f t="shared" si="384"/>
        <v>NMC111</v>
      </c>
      <c r="AT108" s="21" t="str">
        <f t="shared" si="384"/>
        <v>NMC111</v>
      </c>
      <c r="AU108" s="21" t="str">
        <f t="shared" si="384"/>
        <v>NMC111</v>
      </c>
      <c r="AV108" s="21" t="str">
        <f t="shared" si="384"/>
        <v>NMC111</v>
      </c>
      <c r="AW108" s="21" t="str">
        <f t="shared" si="384"/>
        <v>NMC111</v>
      </c>
      <c r="AX108" s="21" t="str">
        <f t="shared" si="384"/>
        <v>NMC111</v>
      </c>
      <c r="AY108" s="21" t="str">
        <f t="shared" si="384"/>
        <v>NMC111</v>
      </c>
      <c r="AZ108" s="21" t="str">
        <f t="shared" si="384"/>
        <v>NMC111</v>
      </c>
      <c r="BA108" s="21" t="str">
        <f t="shared" si="384"/>
        <v>NMC111</v>
      </c>
      <c r="BB108" s="21" t="str">
        <f t="shared" si="384"/>
        <v>NMC111</v>
      </c>
      <c r="BC108" s="21" t="str">
        <f t="shared" si="384"/>
        <v/>
      </c>
      <c r="BD108" s="21" t="str">
        <f t="shared" si="384"/>
        <v/>
      </c>
      <c r="BE108" s="21" t="str">
        <f t="shared" si="384"/>
        <v/>
      </c>
      <c r="BF108" s="21" t="str">
        <f t="shared" si="384"/>
        <v/>
      </c>
      <c r="BG108" s="21" t="str">
        <f t="shared" si="384"/>
        <v/>
      </c>
      <c r="BH108" s="21" t="str">
        <f t="shared" si="384"/>
        <v/>
      </c>
      <c r="BI108" s="21" t="str">
        <f t="shared" si="384"/>
        <v/>
      </c>
      <c r="BJ108" s="21" t="str">
        <f t="shared" si="384"/>
        <v>NMC111</v>
      </c>
      <c r="BK108" s="21" t="str">
        <f t="shared" si="384"/>
        <v>NMC111</v>
      </c>
      <c r="BL108" s="21" t="str">
        <f t="shared" si="384"/>
        <v>NMC111</v>
      </c>
      <c r="BM108" s="21" t="str">
        <f t="shared" si="384"/>
        <v>NMC111</v>
      </c>
      <c r="BN108" s="21" t="str">
        <f t="shared" si="384"/>
        <v>NMC111</v>
      </c>
      <c r="BO108" s="21" t="str">
        <f t="shared" si="384"/>
        <v>NMC111</v>
      </c>
      <c r="BP108" s="21" t="str">
        <f t="shared" si="384"/>
        <v>NMC111</v>
      </c>
      <c r="BQ108" s="21" t="str">
        <f t="shared" si="384"/>
        <v>NMC111</v>
      </c>
      <c r="BR108" s="21" t="str">
        <f t="shared" si="384"/>
        <v>NMC111</v>
      </c>
      <c r="BS108" s="21" t="str">
        <f t="shared" si="384"/>
        <v>NMC111</v>
      </c>
      <c r="BT108" s="21" t="str">
        <f t="shared" si="384"/>
        <v>NMC111</v>
      </c>
      <c r="BU108" s="21" t="str">
        <f t="shared" ref="BU108:CC108" si="386">IF(BU$26=0,"",BU$26)</f>
        <v>NMC111</v>
      </c>
      <c r="BV108" s="21" t="str">
        <f t="shared" si="386"/>
        <v>NMC111</v>
      </c>
      <c r="BW108" s="21" t="str">
        <f t="shared" si="386"/>
        <v>NMC111</v>
      </c>
      <c r="BX108" s="21" t="str">
        <f t="shared" si="386"/>
        <v>NMC111</v>
      </c>
      <c r="BY108" s="21" t="str">
        <f t="shared" si="386"/>
        <v>NMC111</v>
      </c>
      <c r="BZ108" s="21" t="str">
        <f t="shared" si="386"/>
        <v>NMC111</v>
      </c>
      <c r="CA108" s="21" t="str">
        <f t="shared" si="386"/>
        <v>NMC111</v>
      </c>
      <c r="CB108" s="21" t="str">
        <f t="shared" si="386"/>
        <v>NMC111</v>
      </c>
      <c r="CC108" s="21" t="str">
        <f t="shared" si="386"/>
        <v>NMC111</v>
      </c>
      <c r="CD108" s="21" t="str">
        <f t="shared" si="384"/>
        <v>NMC111</v>
      </c>
      <c r="CE108" s="21" t="str">
        <f t="shared" si="384"/>
        <v>NMC111</v>
      </c>
      <c r="CF108" s="21" t="str">
        <f t="shared" si="384"/>
        <v>NMC111</v>
      </c>
      <c r="CG108" s="21" t="str">
        <f t="shared" si="384"/>
        <v>NMC111</v>
      </c>
      <c r="CH108" s="21" t="str">
        <f t="shared" si="384"/>
        <v/>
      </c>
      <c r="CI108" s="21" t="str">
        <f t="shared" si="384"/>
        <v>NMC111</v>
      </c>
      <c r="CJ108" s="21" t="str">
        <f t="shared" si="384"/>
        <v>NMC111</v>
      </c>
      <c r="CK108" s="21" t="str">
        <f t="shared" si="384"/>
        <v>NMC111</v>
      </c>
      <c r="CL108" s="21" t="str">
        <f t="shared" si="384"/>
        <v>NMC111</v>
      </c>
      <c r="CM108" s="21" t="str">
        <f t="shared" si="384"/>
        <v>NMC111</v>
      </c>
      <c r="CN108" s="21" t="str">
        <f t="shared" si="384"/>
        <v/>
      </c>
      <c r="CO108" s="21" t="str">
        <f t="shared" si="384"/>
        <v>NMC111</v>
      </c>
      <c r="CP108" s="21" t="str">
        <f t="shared" si="384"/>
        <v>NMC111</v>
      </c>
      <c r="CQ108" s="21" t="str">
        <f t="shared" si="384"/>
        <v>NMC111</v>
      </c>
      <c r="CR108" s="21" t="str">
        <f t="shared" si="384"/>
        <v>NMC111</v>
      </c>
      <c r="CS108" s="21" t="str">
        <f t="shared" si="384"/>
        <v/>
      </c>
      <c r="CT108" s="21" t="str">
        <f t="shared" si="384"/>
        <v>NMC111</v>
      </c>
      <c r="CU108" s="21" t="str">
        <f t="shared" si="384"/>
        <v>NMC111</v>
      </c>
      <c r="CV108" s="21" t="str">
        <f t="shared" si="384"/>
        <v>NMC111</v>
      </c>
      <c r="CW108" s="21" t="str">
        <f t="shared" si="384"/>
        <v>NMC111</v>
      </c>
      <c r="CX108" s="21" t="str">
        <f t="shared" si="384"/>
        <v>NMC111</v>
      </c>
      <c r="CY108" s="21" t="str">
        <f t="shared" si="384"/>
        <v/>
      </c>
      <c r="CZ108" s="21" t="str">
        <f t="shared" si="384"/>
        <v>NMC111</v>
      </c>
      <c r="DA108" s="21" t="str">
        <f t="shared" si="384"/>
        <v>NMC111</v>
      </c>
      <c r="DB108" s="21" t="str">
        <f t="shared" si="384"/>
        <v>NMC111</v>
      </c>
      <c r="DC108" s="21" t="str">
        <f t="shared" si="384"/>
        <v>NMC111</v>
      </c>
      <c r="DD108" s="21" t="str">
        <f t="shared" si="384"/>
        <v>NMC111</v>
      </c>
      <c r="DE108" s="21" t="str">
        <f t="shared" si="384"/>
        <v/>
      </c>
      <c r="DF108" s="21" t="str">
        <f t="shared" si="384"/>
        <v>NMC111</v>
      </c>
      <c r="DH108" s="21" t="str">
        <f t="shared" si="384"/>
        <v>NMC111</v>
      </c>
      <c r="DI108" s="21" t="str">
        <f t="shared" si="384"/>
        <v>NMC111</v>
      </c>
      <c r="DJ108" s="21" t="str">
        <f t="shared" si="384"/>
        <v>NMC111</v>
      </c>
      <c r="DK108" s="21" t="str">
        <f t="shared" si="384"/>
        <v/>
      </c>
      <c r="DL108" s="21" t="str">
        <f t="shared" si="384"/>
        <v/>
      </c>
      <c r="DM108" s="21" t="str">
        <f t="shared" si="384"/>
        <v/>
      </c>
      <c r="DN108" s="21" t="str">
        <f t="shared" si="384"/>
        <v/>
      </c>
      <c r="DO108" s="21" t="str">
        <f t="shared" si="384"/>
        <v/>
      </c>
      <c r="DP108" s="21" t="str">
        <f t="shared" si="384"/>
        <v/>
      </c>
      <c r="DQ108" s="21" t="str">
        <f t="shared" si="384"/>
        <v/>
      </c>
      <c r="DR108" s="21" t="str">
        <f t="shared" si="384"/>
        <v>LFP: solid state</v>
      </c>
      <c r="DS108" s="21" t="str">
        <f t="shared" si="384"/>
        <v>LFP: solid state</v>
      </c>
      <c r="DT108" s="21" t="str">
        <f t="shared" si="384"/>
        <v>LFP: solid state</v>
      </c>
      <c r="DU108" s="21" t="str">
        <f t="shared" si="384"/>
        <v>LFP: solid state</v>
      </c>
      <c r="DV108" s="21" t="str">
        <f t="shared" si="384"/>
        <v>LFP: solid state</v>
      </c>
      <c r="DW108" s="21" t="str">
        <f t="shared" si="384"/>
        <v>LFP: solid state</v>
      </c>
      <c r="DX108" s="21" t="str">
        <f t="shared" si="384"/>
        <v/>
      </c>
      <c r="DY108" s="21" t="str">
        <f t="shared" si="384"/>
        <v/>
      </c>
      <c r="DZ108" s="21" t="str">
        <f t="shared" si="384"/>
        <v/>
      </c>
      <c r="EA108" s="21" t="str">
        <f t="shared" si="384"/>
        <v/>
      </c>
      <c r="EB108" s="21" t="str">
        <f t="shared" si="384"/>
        <v/>
      </c>
      <c r="EC108" s="21" t="str">
        <f t="shared" si="384"/>
        <v/>
      </c>
      <c r="ED108" s="21" t="str">
        <f t="shared" si="384"/>
        <v/>
      </c>
      <c r="EH108" s="21" t="str">
        <f>A110</f>
        <v xml:space="preserve">   Assembly</v>
      </c>
      <c r="EI108" s="70">
        <f>('[7]Battery Assembly'!$F75)</f>
        <v>13854.30547718205</v>
      </c>
      <c r="EJ108" s="70">
        <f>('[5]Battery Assembly'!$F75)</f>
        <v>13854.30547718205</v>
      </c>
      <c r="EK108" s="74"/>
    </row>
    <row r="109" spans="1:144" x14ac:dyDescent="0.3">
      <c r="A109" s="21" t="str">
        <f>A115</f>
        <v xml:space="preserve">   Manufacturing</v>
      </c>
      <c r="D109" s="116">
        <f ca="1">IFERROR(OFFSET($EJ$115,MATCH(D$107,$EI$115:$EI$116,0)-1,MATCH(D$108,$EJ$114:$ER$114,0)-1,1,1),0)/[5]Battery_Sum!$C$22</f>
        <v>78116.710443271717</v>
      </c>
      <c r="E109" s="116">
        <f ca="1">IFERROR(OFFSET($EJ$115,MATCH(E$107,$EI$115:$EI$116,0)-1,MATCH(E$108,$EJ$114:$ER$114,0)-1,1,1),0)/[5]Battery_Sum!$C$22</f>
        <v>78116.710443271717</v>
      </c>
      <c r="F109" s="116">
        <f ca="1">IFERROR(OFFSET($EJ$115,MATCH(F$107,$EI$115:$EI$116,0)-1,MATCH(F$108,$EJ$114:$ER$114,0)-1,1,1),0)/[5]Battery_Sum!$C$22</f>
        <v>59874.851661115259</v>
      </c>
      <c r="G109" s="116">
        <f ca="1">IFERROR(OFFSET($EJ$115,MATCH(G$107,$EI$115:$EI$116,0)-1,MATCH(G$108,$EJ$114:$ER$114,0)-1,1,1),0)/[5]Battery_Sum!$C$22</f>
        <v>78116.710443271717</v>
      </c>
      <c r="H109" s="116">
        <f ca="1">IFERROR(OFFSET($EJ$115,MATCH(H$107,$EI$115:$EI$116,0)-1,MATCH(H$108,$EJ$114:$ER$114,0)-1,1,1),0)/[5]Battery_Sum!$C$22</f>
        <v>78116.710443271717</v>
      </c>
      <c r="I109" s="116">
        <f ca="1">IFERROR(OFFSET($EJ$115,MATCH(I$107,$EI$115:$EI$116,0)-1,MATCH(I$108,$EJ$114:$ER$114,0)-1,1,1),0)/[5]Battery_Sum!$C$22</f>
        <v>78116.710443271717</v>
      </c>
      <c r="J109" s="116">
        <f ca="1">IFERROR(OFFSET($EJ$115,MATCH(J$107,$EI$115:$EI$116,0)-1,MATCH(J$108,$EJ$114:$ER$114,0)-1,1,1),0)/[5]Battery_Sum!$C$22</f>
        <v>78116.710443271717</v>
      </c>
      <c r="K109" s="116">
        <f ca="1">IFERROR(OFFSET($EJ$115,MATCH(K$107,$EI$115:$EI$116,0)-1,MATCH(K$108,$EJ$114:$ER$114,0)-1,1,1),0)/[5]Battery_Sum!$C$22</f>
        <v>78116.710443271717</v>
      </c>
      <c r="L109" s="116">
        <f ca="1">IFERROR(OFFSET($EJ$115,MATCH(L$107,$EI$115:$EI$116,0)-1,MATCH(L$108,$EJ$114:$ER$114,0)-1,1,1),0)/[5]Battery_Sum!$C$22</f>
        <v>78116.710443271717</v>
      </c>
      <c r="M109" s="116">
        <f ca="1">IFERROR(OFFSET($EJ$115,MATCH(M$107,$EI$115:$EI$116,0)-1,MATCH(M$108,$EJ$114:$ER$114,0)-1,1,1),0)/[5]Battery_Sum!$C$22</f>
        <v>78116.710443271717</v>
      </c>
      <c r="N109" s="116">
        <f ca="1">IFERROR(OFFSET($EJ$115,MATCH(N$107,$EI$115:$EI$116,0)-1,MATCH(N$108,$EJ$114:$ER$114,0)-1,1,1),0)/[5]Battery_Sum!$C$22</f>
        <v>78116.710443271717</v>
      </c>
      <c r="O109" s="116">
        <f ca="1">IFERROR(OFFSET($EJ$115,MATCH(O$107,$EI$115:$EI$116,0)-1,MATCH(O$108,$EJ$114:$ER$114,0)-1,1,1),0)/[5]Battery_Sum!$C$22</f>
        <v>78116.710443271717</v>
      </c>
      <c r="P109" s="116">
        <f ca="1">IFERROR(OFFSET($EJ$115,MATCH(P$107,$EI$115:$EI$116,0)-1,MATCH(P$108,$EJ$114:$ER$114,0)-1,1,1),0)/[5]Battery_Sum!$C$22</f>
        <v>78116.710443271717</v>
      </c>
      <c r="Q109" s="116">
        <f ca="1">IFERROR(OFFSET($EJ$115,MATCH(Q$107,$EI$115:$EI$116,0)-1,MATCH(Q$108,$EJ$114:$ER$114,0)-1,1,1),0)/[5]Battery_Sum!$C$22</f>
        <v>78116.710443271717</v>
      </c>
      <c r="R109" s="116">
        <f ca="1">IFERROR(OFFSET($EJ$115,MATCH(R$107,$EI$115:$EI$116,0)-1,MATCH(R$108,$EJ$114:$ER$114,0)-1,1,1),0)/[5]Battery_Sum!$C$22</f>
        <v>78116.710443271717</v>
      </c>
      <c r="S109" s="116">
        <f ca="1">IFERROR(OFFSET($EJ$115,MATCH(S$107,$EI$115:$EI$116,0)-1,MATCH(S$108,$EJ$114:$ER$114,0)-1,1,1),0)/[5]Battery_Sum!$C$22</f>
        <v>78116.710443271717</v>
      </c>
      <c r="T109" s="116">
        <f ca="1">IFERROR(OFFSET($EJ$115,MATCH(T$107,$EI$115:$EI$116,0)-1,MATCH(T$108,$EJ$114:$ER$114,0)-1,1,1),0)/[5]Battery_Sum!$C$22</f>
        <v>59874.851661115259</v>
      </c>
      <c r="U109" s="116">
        <f ca="1">IFERROR(OFFSET($EJ$115,MATCH(U$107,$EI$115:$EI$116,0)-1,MATCH(U$108,$EJ$114:$ER$114,0)-1,1,1),0)/[5]Battery_Sum!$C$22</f>
        <v>78116.710443271717</v>
      </c>
      <c r="V109" s="116">
        <f ca="1">IFERROR(OFFSET($EJ$115,MATCH(V$107,$EI$115:$EI$116,0)-1,MATCH(V$108,$EJ$114:$ER$114,0)-1,1,1),0)/[5]Battery_Sum!$C$22</f>
        <v>78116.710443271717</v>
      </c>
      <c r="W109" s="116">
        <f ca="1">IFERROR(OFFSET($EJ$115,MATCH(W$107,$EI$115:$EI$116,0)-1,MATCH(W$108,$EJ$114:$ER$114,0)-1,1,1),0)/[5]Battery_Sum!$C$22</f>
        <v>78116.710443271717</v>
      </c>
      <c r="X109" s="116">
        <f ca="1">IFERROR(OFFSET($EJ$115,MATCH(X$107,$EI$115:$EI$116,0)-1,MATCH(X$108,$EJ$114:$ER$114,0)-1,1,1),0)/[5]Battery_Sum!$C$22</f>
        <v>59874.851661115259</v>
      </c>
      <c r="Y109" s="116">
        <f ca="1">IFERROR(OFFSET($EJ$115,MATCH(Y$107,$EI$115:$EI$116,0)-1,MATCH(Y$108,$EJ$114:$ER$114,0)-1,1,1),0)/[5]Battery_Sum!$C$22</f>
        <v>78116.710443271717</v>
      </c>
      <c r="Z109" s="116">
        <f ca="1">IFERROR(OFFSET($EJ$115,MATCH(Z$107,$EI$115:$EI$116,0)-1,MATCH(Z$108,$EJ$114:$ER$114,0)-1,1,1),0)/[5]Battery_Sum!$C$22</f>
        <v>78116.710443271717</v>
      </c>
      <c r="AA109" s="116">
        <f ca="1">IFERROR(OFFSET($EJ$115,MATCH(AA$107,$EI$115:$EI$116,0)-1,MATCH(AA$108,$EJ$114:$ER$114,0)-1,1,1),0)/[5]Battery_Sum!$C$22</f>
        <v>78116.710443271717</v>
      </c>
      <c r="AB109" s="116">
        <f ca="1">IFERROR(OFFSET($EJ$115,MATCH(AB$107,$EI$115:$EI$116,0)-1,MATCH(AB$108,$EJ$114:$ER$114,0)-1,1,1),0)/[5]Battery_Sum!$C$22</f>
        <v>59874.851661115259</v>
      </c>
      <c r="AC109" s="116">
        <f ca="1">IFERROR(OFFSET($EJ$115,MATCH(AC$107,$EI$115:$EI$116,0)-1,MATCH(AC$108,$EJ$114:$ER$114,0)-1,1,1),0)/[5]Battery_Sum!$C$22</f>
        <v>78116.710443271717</v>
      </c>
      <c r="AD109" s="116">
        <f ca="1">IFERROR(OFFSET($EJ$115,MATCH(AD$107,$EI$115:$EI$116,0)-1,MATCH(AD$108,$EJ$114:$ER$114,0)-1,1,1),0)/[5]Battery_Sum!$C$22</f>
        <v>78116.710443271717</v>
      </c>
      <c r="AE109" s="116">
        <f ca="1">IFERROR(OFFSET($EJ$115,MATCH(AE$107,$EI$115:$EI$116,0)-1,MATCH(AE$108,$EJ$114:$ER$114,0)-1,1,1),0)/[5]Battery_Sum!$C$22</f>
        <v>78116.710443271717</v>
      </c>
      <c r="AF109" s="116">
        <f ca="1">IFERROR(OFFSET($EJ$115,MATCH(AF$107,$EI$115:$EI$116,0)-1,MATCH(AF$108,$EJ$114:$ER$114,0)-1,1,1),0)/[5]Battery_Sum!$C$22</f>
        <v>78116.710443271717</v>
      </c>
      <c r="AG109" s="116">
        <f ca="1">IFERROR(OFFSET($EJ$115,MATCH(AG$107,$EI$115:$EI$116,0)-1,MATCH(AG$108,$EJ$114:$ER$114,0)-1,1,1),0)/[5]Battery_Sum!$C$22</f>
        <v>0</v>
      </c>
      <c r="AH109" s="116">
        <f ca="1">IFERROR(OFFSET($EJ$115,MATCH(AH$107,$EI$115:$EI$116,0)-1,MATCH(AH$108,$EJ$114:$ER$114,0)-1,1,1),0)/[5]Battery_Sum!$C$22</f>
        <v>78116.710443271717</v>
      </c>
      <c r="AI109" s="116">
        <f ca="1">IFERROR(OFFSET($EJ$115,MATCH(AI$107,$EI$115:$EI$116,0)-1,MATCH(AI$108,$EJ$114:$ER$114,0)-1,1,1),0)/[5]Battery_Sum!$C$22</f>
        <v>0</v>
      </c>
      <c r="AJ109" s="116">
        <f ca="1">IFERROR(OFFSET($EJ$115,MATCH(AJ$107,$EI$115:$EI$116,0)-1,MATCH(AJ$108,$EJ$114:$ER$114,0)-1,1,1),0)/[5]Battery_Sum!$C$22</f>
        <v>78116.710443271717</v>
      </c>
      <c r="AK109" s="116">
        <f ca="1">IFERROR(OFFSET($EJ$115,MATCH(AK$107,$EI$115:$EI$116,0)-1,MATCH(AK$108,$EJ$114:$ER$114,0)-1,1,1),0)/[5]Battery_Sum!$C$22</f>
        <v>0</v>
      </c>
      <c r="AL109" s="116">
        <f ca="1">IFERROR(OFFSET($EJ$115,MATCH(AL$107,$EI$115:$EI$116,0)-1,MATCH(AL$108,$EJ$114:$ER$114,0)-1,1,1),0)/[5]Battery_Sum!$C$22</f>
        <v>78116.710443271717</v>
      </c>
      <c r="AM109" s="116">
        <f ca="1">IFERROR(OFFSET($EJ$115,MATCH(AM$107,$EI$115:$EI$116,0)-1,MATCH(AM$108,$EJ$114:$ER$114,0)-1,1,1),0)/[5]Battery_Sum!$C$22</f>
        <v>0</v>
      </c>
      <c r="AN109" s="116">
        <f ca="1">IFERROR(OFFSET($EJ$115,MATCH(AN$107,$EI$115:$EI$116,0)-1,MATCH(AN$108,$EJ$114:$ER$114,0)-1,1,1),0)/[5]Battery_Sum!$C$22</f>
        <v>78116.710443271717</v>
      </c>
      <c r="AO109" s="116">
        <f ca="1">IFERROR(OFFSET($EJ$115,MATCH(AO$107,$EI$115:$EI$116,0)-1,MATCH(AO$108,$EJ$114:$ER$114,0)-1,1,1),0)/[5]Battery_Sum!$C$22</f>
        <v>0</v>
      </c>
      <c r="AP109" s="116">
        <f ca="1">IFERROR(OFFSET($EJ$115,MATCH(AP$107,$EI$115:$EI$116,0)-1,MATCH(AP$108,$EJ$114:$ER$114,0)-1,1,1),0)/[5]Battery_Sum!$C$22</f>
        <v>78116.710443271717</v>
      </c>
      <c r="AQ109" s="116">
        <f ca="1">IFERROR(OFFSET($EJ$115,MATCH(AQ$107,$EI$115:$EI$116,0)-1,MATCH(AQ$108,$EJ$114:$ER$114,0)-1,1,1),0)/[5]Battery_Sum!$C$22</f>
        <v>78116.710443271717</v>
      </c>
      <c r="AR109" s="116">
        <f ca="1">IFERROR(OFFSET($EJ$115,MATCH(AR$107,$EI$115:$EI$116,0)-1,MATCH(AR$108,$EJ$114:$ER$114,0)-1,1,1),0)/[5]Battery_Sum!$C$22</f>
        <v>78116.710443271717</v>
      </c>
      <c r="AS109" s="116">
        <f ca="1">IFERROR(OFFSET($EJ$115,MATCH(AS$107,$EI$115:$EI$116,0)-1,MATCH(AS$108,$EJ$114:$ER$114,0)-1,1,1),0)/[5]Battery_Sum!$C$22</f>
        <v>78116.710443271717</v>
      </c>
      <c r="AT109" s="116">
        <f ca="1">IFERROR(OFFSET($EJ$115,MATCH(AT$107,$EI$115:$EI$116,0)-1,MATCH(AT$108,$EJ$114:$ER$114,0)-1,1,1),0)/[5]Battery_Sum!$C$22</f>
        <v>78116.710443271717</v>
      </c>
      <c r="AU109" s="116">
        <f ca="1">IFERROR(OFFSET($EJ$115,MATCH(AU$107,$EI$115:$EI$116,0)-1,MATCH(AU$108,$EJ$114:$ER$114,0)-1,1,1),0)/[5]Battery_Sum!$C$22</f>
        <v>59874.851661115259</v>
      </c>
      <c r="AV109" s="116">
        <f ca="1">IFERROR(OFFSET($EJ$115,MATCH(AV$107,$EI$115:$EI$116,0)-1,MATCH(AV$108,$EJ$114:$ER$114,0)-1,1,1),0)/[5]Battery_Sum!$C$22</f>
        <v>78116.710443271717</v>
      </c>
      <c r="AW109" s="116">
        <f ca="1">IFERROR(OFFSET($EJ$115,MATCH(AW$107,$EI$115:$EI$116,0)-1,MATCH(AW$108,$EJ$114:$ER$114,0)-1,1,1),0)/[5]Battery_Sum!$C$22</f>
        <v>78116.710443271717</v>
      </c>
      <c r="AX109" s="116">
        <f ca="1">IFERROR(OFFSET($EJ$115,MATCH(AX$107,$EI$115:$EI$116,0)-1,MATCH(AX$108,$EJ$114:$ER$114,0)-1,1,1),0)/[5]Battery_Sum!$C$22</f>
        <v>78116.710443271717</v>
      </c>
      <c r="AY109" s="116">
        <f ca="1">IFERROR(OFFSET($EJ$115,MATCH(AY$107,$EI$115:$EI$116,0)-1,MATCH(AY$108,$EJ$114:$ER$114,0)-1,1,1),0)/[5]Battery_Sum!$C$22</f>
        <v>78116.710443271717</v>
      </c>
      <c r="AZ109" s="116">
        <f ca="1">IFERROR(OFFSET($EJ$115,MATCH(AZ$107,$EI$115:$EI$116,0)-1,MATCH(AZ$108,$EJ$114:$ER$114,0)-1,1,1),0)/[5]Battery_Sum!$C$22</f>
        <v>78116.710443271717</v>
      </c>
      <c r="BA109" s="116">
        <f ca="1">IFERROR(OFFSET($EJ$115,MATCH(BA$107,$EI$115:$EI$116,0)-1,MATCH(BA$108,$EJ$114:$ER$114,0)-1,1,1),0)/[5]Battery_Sum!$C$22</f>
        <v>78116.710443271717</v>
      </c>
      <c r="BB109" s="116">
        <f ca="1">IFERROR(OFFSET($EJ$115,MATCH(BB$107,$EI$115:$EI$116,0)-1,MATCH(BB$108,$EJ$114:$ER$114,0)-1,1,1),0)/[5]Battery_Sum!$C$22</f>
        <v>78116.710443271717</v>
      </c>
      <c r="BC109" s="116">
        <f ca="1">IFERROR(OFFSET($EJ$115,MATCH(BC$107,$EI$115:$EI$116,0)-1,MATCH(BC$108,$EJ$114:$ER$114,0)-1,1,1),0)/[5]Battery_Sum!$C$22</f>
        <v>0</v>
      </c>
      <c r="BD109" s="116">
        <f ca="1">IFERROR(OFFSET($EJ$115,MATCH(BD$107,$EI$115:$EI$116,0)-1,MATCH(BD$108,$EJ$114:$ER$114,0)-1,1,1),0)/[5]Battery_Sum!$C$22</f>
        <v>0</v>
      </c>
      <c r="BE109" s="116">
        <f ca="1">IFERROR(OFFSET($EJ$115,MATCH(BE$107,$EI$115:$EI$116,0)-1,MATCH(BE$108,$EJ$114:$ER$114,0)-1,1,1),0)/[5]Battery_Sum!$C$22</f>
        <v>0</v>
      </c>
      <c r="BF109" s="116">
        <f ca="1">IFERROR(OFFSET($EJ$115,MATCH(BF$107,$EI$115:$EI$116,0)-1,MATCH(BF$108,$EJ$114:$ER$114,0)-1,1,1),0)/[5]Battery_Sum!$C$22</f>
        <v>0</v>
      </c>
      <c r="BG109" s="116">
        <f ca="1">IFERROR(OFFSET($EJ$115,MATCH(BG$107,$EI$115:$EI$116,0)-1,MATCH(BG$108,$EJ$114:$ER$114,0)-1,1,1),0)/[5]Battery_Sum!$C$22</f>
        <v>0</v>
      </c>
      <c r="BH109" s="116">
        <f ca="1">IFERROR(OFFSET($EJ$115,MATCH(BH$107,$EI$115:$EI$116,0)-1,MATCH(BH$108,$EJ$114:$ER$114,0)-1,1,1),0)/[5]Battery_Sum!$C$22</f>
        <v>0</v>
      </c>
      <c r="BI109" s="116">
        <f ca="1">IFERROR(OFFSET($EJ$115,MATCH(BI$107,$EI$115:$EI$116,0)-1,MATCH(BI$108,$EJ$114:$ER$114,0)-1,1,1),0)/[5]Battery_Sum!$C$22</f>
        <v>0</v>
      </c>
      <c r="BJ109" s="116">
        <f ca="1">IFERROR(OFFSET($EJ$115,MATCH(BJ$107,$EI$115:$EI$116,0)-1,MATCH(BJ$108,$EJ$114:$ER$114,0)-1,1,1),0)/[5]Battery_Sum!$C$22</f>
        <v>78116.710443271717</v>
      </c>
      <c r="BK109" s="116">
        <f ca="1">IFERROR(OFFSET($EJ$115,MATCH(BK$107,$EI$115:$EI$116,0)-1,MATCH(BK$108,$EJ$114:$ER$114,0)-1,1,1),0)/[5]Battery_Sum!$C$22</f>
        <v>78116.710443271717</v>
      </c>
      <c r="BL109" s="116">
        <f ca="1">IFERROR(OFFSET($EJ$115,MATCH(BL$107,$EI$115:$EI$116,0)-1,MATCH(BL$108,$EJ$114:$ER$114,0)-1,1,1),0)/[5]Battery_Sum!$C$22</f>
        <v>78116.710443271717</v>
      </c>
      <c r="BM109" s="116">
        <f ca="1">IFERROR(OFFSET($EJ$115,MATCH(BM$107,$EI$115:$EI$116,0)-1,MATCH(BM$108,$EJ$114:$ER$114,0)-1,1,1),0)/[5]Battery_Sum!$C$22</f>
        <v>78116.710443271717</v>
      </c>
      <c r="BN109" s="116">
        <f ca="1">IFERROR(OFFSET($EJ$115,MATCH(BN$107,$EI$115:$EI$116,0)-1,MATCH(BN$108,$EJ$114:$ER$114,0)-1,1,1),0)/[5]Battery_Sum!$C$22</f>
        <v>78116.710443271717</v>
      </c>
      <c r="BO109" s="116">
        <f ca="1">IFERROR(OFFSET($EJ$115,MATCH(BO$107,$EI$115:$EI$116,0)-1,MATCH(BO$108,$EJ$114:$ER$114,0)-1,1,1),0)/[5]Battery_Sum!$C$22</f>
        <v>78116.710443271717</v>
      </c>
      <c r="BP109" s="116">
        <f ca="1">IFERROR(OFFSET($EJ$115,MATCH(BP$107,$EI$115:$EI$116,0)-1,MATCH(BP$108,$EJ$114:$ER$114,0)-1,1,1),0)/[5]Battery_Sum!$C$22</f>
        <v>78116.710443271717</v>
      </c>
      <c r="BQ109" s="116">
        <f ca="1">IFERROR(OFFSET($EJ$115,MATCH(BQ$107,$EI$115:$EI$116,0)-1,MATCH(BQ$108,$EJ$114:$ER$114,0)-1,1,1),0)/[5]Battery_Sum!$C$22</f>
        <v>59874.851661115259</v>
      </c>
      <c r="BR109" s="116">
        <f ca="1">IFERROR(OFFSET($EJ$115,MATCH(BR$107,$EI$115:$EI$116,0)-1,MATCH(BR$108,$EJ$114:$ER$114,0)-1,1,1),0)/[5]Battery_Sum!$C$22</f>
        <v>78116.710443271717</v>
      </c>
      <c r="BS109" s="116">
        <f ca="1">IFERROR(OFFSET($EJ$115,MATCH(BS$107,$EI$115:$EI$116,0)-1,MATCH(BS$108,$EJ$114:$ER$114,0)-1,1,1),0)/[5]Battery_Sum!$C$22</f>
        <v>78116.710443271717</v>
      </c>
      <c r="BT109" s="116">
        <f ca="1">IFERROR(OFFSET($EJ$115,MATCH(BT$107,$EI$115:$EI$116,0)-1,MATCH(BT$108,$EJ$114:$ER$114,0)-1,1,1),0)/[5]Battery_Sum!$C$22</f>
        <v>78116.710443271717</v>
      </c>
      <c r="BU109" s="116">
        <f ca="1">IFERROR(OFFSET($EJ$115,MATCH(BU$107,$EI$115:$EI$116,0)-1,MATCH(BU$108,$EJ$114:$ER$114,0)-1,1,1),0)/[5]Battery_Sum!$C$22</f>
        <v>78116.710443271717</v>
      </c>
      <c r="BV109" s="116">
        <f ca="1">IFERROR(OFFSET($EJ$115,MATCH(BV$107,$EI$115:$EI$116,0)-1,MATCH(BV$108,$EJ$114:$ER$114,0)-1,1,1),0)/[5]Battery_Sum!$C$22</f>
        <v>78116.710443271717</v>
      </c>
      <c r="BW109" s="116">
        <f ca="1">IFERROR(OFFSET($EJ$115,MATCH(BW$107,$EI$115:$EI$116,0)-1,MATCH(BW$108,$EJ$114:$ER$114,0)-1,1,1),0)/[5]Battery_Sum!$C$22</f>
        <v>78116.710443271717</v>
      </c>
      <c r="BX109" s="116">
        <f ca="1">IFERROR(OFFSET($EJ$115,MATCH(BX$107,$EI$115:$EI$116,0)-1,MATCH(BX$108,$EJ$114:$ER$114,0)-1,1,1),0)/[5]Battery_Sum!$C$22</f>
        <v>78116.710443271717</v>
      </c>
      <c r="BY109" s="116">
        <f ca="1">IFERROR(OFFSET($EJ$115,MATCH(BY$107,$EI$115:$EI$116,0)-1,MATCH(BY$108,$EJ$114:$ER$114,0)-1,1,1),0)/[5]Battery_Sum!$C$22</f>
        <v>78116.710443271717</v>
      </c>
      <c r="BZ109" s="116">
        <f ca="1">IFERROR(OFFSET($EJ$115,MATCH(BZ$107,$EI$115:$EI$116,0)-1,MATCH(BZ$108,$EJ$114:$ER$114,0)-1,1,1),0)/[5]Battery_Sum!$C$22</f>
        <v>59874.851661115259</v>
      </c>
      <c r="CA109" s="116">
        <f ca="1">IFERROR(OFFSET($EJ$115,MATCH(CA$107,$EI$115:$EI$116,0)-1,MATCH(CA$108,$EJ$114:$ER$114,0)-1,1,1),0)/[5]Battery_Sum!$C$22</f>
        <v>78116.710443271717</v>
      </c>
      <c r="CB109" s="116">
        <f ca="1">IFERROR(OFFSET($EJ$115,MATCH(CB$107,$EI$115:$EI$116,0)-1,MATCH(CB$108,$EJ$114:$ER$114,0)-1,1,1),0)/[5]Battery_Sum!$C$22</f>
        <v>78116.710443271717</v>
      </c>
      <c r="CC109" s="116">
        <f ca="1">IFERROR(OFFSET($EJ$115,MATCH(CC$107,$EI$115:$EI$116,0)-1,MATCH(CC$108,$EJ$114:$ER$114,0)-1,1,1),0)/[5]Battery_Sum!$C$22</f>
        <v>78116.710443271717</v>
      </c>
      <c r="CD109" s="116">
        <f ca="1">IFERROR(OFFSET($EJ$115,MATCH(CD$107,$EI$115:$EI$116,0)-1,MATCH(CD$108,$EJ$114:$ER$114,0)-1,1,1),0)/[5]Battery_Sum!$C$22</f>
        <v>78116.710443271717</v>
      </c>
      <c r="CE109" s="116">
        <f ca="1">IFERROR(OFFSET($EJ$115,MATCH(CE$107,$EI$115:$EI$116,0)-1,MATCH(CE$108,$EJ$114:$ER$114,0)-1,1,1),0)/[5]Battery_Sum!$C$22</f>
        <v>78116.710443271717</v>
      </c>
      <c r="CF109" s="116">
        <f ca="1">IFERROR(OFFSET($EJ$115,MATCH(CF$107,$EI$115:$EI$116,0)-1,MATCH(CF$108,$EJ$114:$ER$114,0)-1,1,1),0)/[5]Battery_Sum!$C$22</f>
        <v>78116.710443271717</v>
      </c>
      <c r="CG109" s="116">
        <f ca="1">IFERROR(OFFSET($EJ$115,MATCH(CG$107,$EI$115:$EI$116,0)-1,MATCH(CG$108,$EJ$114:$ER$114,0)-1,1,1),0)/[5]Battery_Sum!$C$22</f>
        <v>78116.710443271717</v>
      </c>
      <c r="CH109" s="116">
        <f ca="1">IFERROR(OFFSET($EJ$115,MATCH(CH$107,$EI$115:$EI$116,0)-1,MATCH(CH$108,$EJ$114:$ER$114,0)-1,1,1),0)/[5]Battery_Sum!$C$22</f>
        <v>0</v>
      </c>
      <c r="CI109" s="116">
        <f ca="1">IFERROR(OFFSET($EJ$115,MATCH(CI$107,$EI$115:$EI$116,0)-1,MATCH(CI$108,$EJ$114:$ER$114,0)-1,1,1),0)/[5]Battery_Sum!$C$22</f>
        <v>78116.710443271717</v>
      </c>
      <c r="CJ109" s="116">
        <f ca="1">IFERROR(OFFSET($EJ$115,MATCH(CJ$107,$EI$115:$EI$116,0)-1,MATCH(CJ$108,$EJ$114:$ER$114,0)-1,1,1),0)/[5]Battery_Sum!$C$22</f>
        <v>78116.710443271717</v>
      </c>
      <c r="CK109" s="116">
        <f ca="1">IFERROR(OFFSET($EJ$115,MATCH(CK$107,$EI$115:$EI$116,0)-1,MATCH(CK$108,$EJ$114:$ER$114,0)-1,1,1),0)/[5]Battery_Sum!$C$22</f>
        <v>78116.710443271717</v>
      </c>
      <c r="CL109" s="116">
        <f ca="1">IFERROR(OFFSET($EJ$115,MATCH(CL$107,$EI$115:$EI$116,0)-1,MATCH(CL$108,$EJ$114:$ER$114,0)-1,1,1),0)/[5]Battery_Sum!$C$22</f>
        <v>78116.710443271717</v>
      </c>
      <c r="CM109" s="116">
        <f ca="1">IFERROR(OFFSET($EJ$115,MATCH(CM$107,$EI$115:$EI$116,0)-1,MATCH(CM$108,$EJ$114:$ER$114,0)-1,1,1),0)/[5]Battery_Sum!$C$22</f>
        <v>78116.710443271717</v>
      </c>
      <c r="CN109" s="116">
        <f ca="1">IFERROR(OFFSET($EJ$115,MATCH(CN$107,$EI$115:$EI$116,0)-1,MATCH(CN$108,$EJ$114:$ER$114,0)-1,1,1),0)/[5]Battery_Sum!$C$22</f>
        <v>0</v>
      </c>
      <c r="CO109" s="116">
        <f ca="1">IFERROR(OFFSET($EJ$115,MATCH(CO$107,$EI$115:$EI$116,0)-1,MATCH(CO$108,$EJ$114:$ER$114,0)-1,1,1),0)/[5]Battery_Sum!$C$22</f>
        <v>78116.710443271717</v>
      </c>
      <c r="CP109" s="116">
        <f ca="1">IFERROR(OFFSET($EJ$115,MATCH(CP$107,$EI$115:$EI$116,0)-1,MATCH(CP$108,$EJ$114:$ER$114,0)-1,1,1),0)/[5]Battery_Sum!$C$22</f>
        <v>78116.710443271717</v>
      </c>
      <c r="CQ109" s="116">
        <f ca="1">IFERROR(OFFSET($EJ$115,MATCH(CQ$107,$EI$115:$EI$116,0)-1,MATCH(CQ$108,$EJ$114:$ER$114,0)-1,1,1),0)/[5]Battery_Sum!$C$22</f>
        <v>78116.710443271717</v>
      </c>
      <c r="CR109" s="116">
        <f ca="1">IFERROR(OFFSET($EJ$115,MATCH(CR$107,$EI$115:$EI$116,0)-1,MATCH(CR$108,$EJ$114:$ER$114,0)-1,1,1),0)/[5]Battery_Sum!$C$22</f>
        <v>78116.710443271717</v>
      </c>
      <c r="CS109" s="116">
        <f ca="1">IFERROR(OFFSET($EJ$115,MATCH(CS$107,$EI$115:$EI$116,0)-1,MATCH(CS$108,$EJ$114:$ER$114,0)-1,1,1),0)/[5]Battery_Sum!$C$22</f>
        <v>0</v>
      </c>
      <c r="CT109" s="116">
        <f ca="1">IFERROR(OFFSET($EJ$115,MATCH(CT$107,$EI$115:$EI$116,0)-1,MATCH(CT$108,$EJ$114:$ER$114,0)-1,1,1),0)/[5]Battery_Sum!$C$22</f>
        <v>78116.710443271717</v>
      </c>
      <c r="CU109" s="116">
        <f ca="1">IFERROR(OFFSET($EJ$115,MATCH(CU$107,$EI$115:$EI$116,0)-1,MATCH(CU$108,$EJ$114:$ER$114,0)-1,1,1),0)/[5]Battery_Sum!$C$22</f>
        <v>78116.710443271717</v>
      </c>
      <c r="CV109" s="116">
        <f ca="1">IFERROR(OFFSET($EJ$115,MATCH(CV$107,$EI$115:$EI$116,0)-1,MATCH(CV$108,$EJ$114:$ER$114,0)-1,1,1),0)/[5]Battery_Sum!$C$22</f>
        <v>78116.710443271717</v>
      </c>
      <c r="CW109" s="116">
        <f ca="1">IFERROR(OFFSET($EJ$115,MATCH(CW$107,$EI$115:$EI$116,0)-1,MATCH(CW$108,$EJ$114:$ER$114,0)-1,1,1),0)/[5]Battery_Sum!$C$22</f>
        <v>78116.710443271717</v>
      </c>
      <c r="CX109" s="116">
        <f ca="1">IFERROR(OFFSET($EJ$115,MATCH(CX$107,$EI$115:$EI$116,0)-1,MATCH(CX$108,$EJ$114:$ER$114,0)-1,1,1),0)/[5]Battery_Sum!$C$22</f>
        <v>78116.710443271717</v>
      </c>
      <c r="CY109" s="116">
        <f ca="1">IFERROR(OFFSET($EJ$115,MATCH(CY$107,$EI$115:$EI$116,0)-1,MATCH(CY$108,$EJ$114:$ER$114,0)-1,1,1),0)/[5]Battery_Sum!$C$22</f>
        <v>0</v>
      </c>
      <c r="CZ109" s="116">
        <f ca="1">IFERROR(OFFSET($EJ$115,MATCH(CZ$107,$EI$115:$EI$116,0)-1,MATCH(CZ$108,$EJ$114:$ER$114,0)-1,1,1),0)/[5]Battery_Sum!$C$22</f>
        <v>78116.710443271717</v>
      </c>
      <c r="DA109" s="116">
        <f ca="1">IFERROR(OFFSET($EJ$115,MATCH(DA$107,$EI$115:$EI$116,0)-1,MATCH(DA$108,$EJ$114:$ER$114,0)-1,1,1),0)/[5]Battery_Sum!$C$22</f>
        <v>78116.710443271717</v>
      </c>
      <c r="DB109" s="116">
        <f ca="1">IFERROR(OFFSET($EJ$115,MATCH(DB$107,$EI$115:$EI$116,0)-1,MATCH(DB$108,$EJ$114:$ER$114,0)-1,1,1),0)/[5]Battery_Sum!$C$22</f>
        <v>78116.710443271717</v>
      </c>
      <c r="DC109" s="116">
        <f ca="1">IFERROR(OFFSET($EJ$115,MATCH(DC$107,$EI$115:$EI$116,0)-1,MATCH(DC$108,$EJ$114:$ER$114,0)-1,1,1),0)/[5]Battery_Sum!$C$22</f>
        <v>78116.710443271717</v>
      </c>
      <c r="DD109" s="116">
        <f ca="1">IFERROR(OFFSET($EJ$115,MATCH(DD$107,$EI$115:$EI$116,0)-1,MATCH(DD$108,$EJ$114:$ER$114,0)-1,1,1),0)/[5]Battery_Sum!$C$22</f>
        <v>78116.710443271717</v>
      </c>
      <c r="DE109" s="116">
        <f ca="1">IFERROR(OFFSET($EJ$115,MATCH(DE$107,$EI$115:$EI$116,0)-1,MATCH(DE$108,$EJ$114:$ER$114,0)-1,1,1),0)/[5]Battery_Sum!$C$22</f>
        <v>0</v>
      </c>
      <c r="DF109" s="116">
        <f ca="1">IFERROR(OFFSET($EJ$115,MATCH(DF$107,$EI$115:$EI$116,0)-1,MATCH(DF$108,$EJ$114:$ER$114,0)-1,1,1),0)/[5]Battery_Sum!$C$22</f>
        <v>78116.710443271717</v>
      </c>
      <c r="DG109" s="116"/>
      <c r="DH109" s="116">
        <f ca="1">IFERROR(OFFSET($EJ$115,MATCH(DH$107,$EI$115:$EI$116,0)-1,MATCH(DH$108,$EJ$114:$ER$114,0)-1,1,1),0)/[5]Battery_Sum!$C$22</f>
        <v>78116.710443271717</v>
      </c>
      <c r="DI109" s="116">
        <f ca="1">IFERROR(OFFSET($EJ$115,MATCH(DI$107,$EI$115:$EI$116,0)-1,MATCH(DI$108,$EJ$114:$ER$114,0)-1,1,1),0)/[5]Battery_Sum!$C$22</f>
        <v>78116.710443271717</v>
      </c>
      <c r="DJ109" s="116">
        <f ca="1">IFERROR(OFFSET($EJ$115,MATCH(DJ$107,$EI$115:$EI$116,0)-1,MATCH(DJ$108,$EJ$114:$ER$114,0)-1,1,1),0)/[5]Battery_Sum!$C$22</f>
        <v>78116.710443271717</v>
      </c>
      <c r="DK109" s="116">
        <f ca="1">IFERROR(OFFSET($EJ$115,MATCH(DK$107,$EI$115:$EI$116,0)-1,MATCH(DK$108,$EJ$114:$ER$114,0)-1,1,1),0)/[5]Battery_Sum!$C$22</f>
        <v>0</v>
      </c>
      <c r="DL109" s="116">
        <f ca="1">IFERROR(OFFSET($EJ$115,MATCH(DL$107,$EI$115:$EI$116,0)-1,MATCH(DL$108,$EJ$114:$ER$114,0)-1,1,1),0)/[5]Battery_Sum!$C$22</f>
        <v>0</v>
      </c>
      <c r="DM109" s="116">
        <f ca="1">IFERROR(OFFSET($EJ$115,MATCH(DM$107,$EI$115:$EI$116,0)-1,MATCH(DM$108,$EJ$114:$ER$114,0)-1,1,1),0)/[5]Battery_Sum!$C$22</f>
        <v>0</v>
      </c>
      <c r="DN109" s="116">
        <f ca="1">IFERROR(OFFSET($EJ$115,MATCH(DN$107,$EI$115:$EI$116,0)-1,MATCH(DN$108,$EJ$114:$ER$114,0)-1,1,1),0)/[5]Battery_Sum!$C$22</f>
        <v>0</v>
      </c>
      <c r="DO109" s="116">
        <f ca="1">IFERROR(OFFSET($EJ$115,MATCH(DO$107,$EI$115:$EI$116,0)-1,MATCH(DO$108,$EJ$114:$ER$114,0)-1,1,1),0)/[5]Battery_Sum!$C$22</f>
        <v>0</v>
      </c>
      <c r="DP109" s="116">
        <f ca="1">IFERROR(OFFSET($EJ$115,MATCH(DP$107,$EI$115:$EI$116,0)-1,MATCH(DP$108,$EJ$114:$ER$114,0)-1,1,1),0)/[5]Battery_Sum!$C$22</f>
        <v>0</v>
      </c>
      <c r="DQ109" s="116">
        <f ca="1">IFERROR(OFFSET($EJ$115,MATCH(DQ$107,$EI$115:$EI$116,0)-1,MATCH(DQ$108,$EJ$114:$ER$114,0)-1,1,1),0)/[5]Battery_Sum!$C$22</f>
        <v>0</v>
      </c>
      <c r="DR109" s="116">
        <f ca="1">IFERROR(OFFSET($EJ$115,MATCH(DR$107,$EI$115:$EI$116,0)-1,MATCH(DR$108,$EJ$114:$ER$114,0)-1,1,1),0)/[5]Battery_Sum!$C$22</f>
        <v>53011.391573676934</v>
      </c>
      <c r="DS109" s="116">
        <f ca="1">IFERROR(OFFSET($EJ$115,MATCH(DS$107,$EI$115:$EI$116,0)-1,MATCH(DS$108,$EJ$114:$ER$114,0)-1,1,1),0)/[5]Battery_Sum!$C$22</f>
        <v>53011.391573676934</v>
      </c>
      <c r="DT109" s="116">
        <f ca="1">IFERROR(OFFSET($EJ$115,MATCH(DT$107,$EI$115:$EI$116,0)-1,MATCH(DT$108,$EJ$114:$ER$114,0)-1,1,1),0)/[5]Battery_Sum!$C$22</f>
        <v>53011.391573676934</v>
      </c>
      <c r="DU109" s="116">
        <f ca="1">IFERROR(OFFSET($EJ$115,MATCH(DU$107,$EI$115:$EI$116,0)-1,MATCH(DU$108,$EJ$114:$ER$114,0)-1,1,1),0)/[5]Battery_Sum!$C$22</f>
        <v>53011.391573676934</v>
      </c>
      <c r="DV109" s="116">
        <f ca="1">IFERROR(OFFSET($EJ$115,MATCH(DV$107,$EI$115:$EI$116,0)-1,MATCH(DV$108,$EJ$114:$ER$114,0)-1,1,1),0)/[5]Battery_Sum!$C$22</f>
        <v>53011.391573676934</v>
      </c>
      <c r="DW109" s="116">
        <f ca="1">IFERROR(OFFSET($EJ$115,MATCH(DW$107,$EI$115:$EI$116,0)-1,MATCH(DW$108,$EJ$114:$ER$114,0)-1,1,1),0)/[5]Battery_Sum!$C$22</f>
        <v>53011.391573676934</v>
      </c>
      <c r="DX109" s="116">
        <f ca="1">IFERROR(OFFSET($EJ$115,MATCH(DX$107,$EI$115:$EI$116,0)-1,MATCH(DX$108,$EJ$114:$ER$114,0)-1,1,1),0)/[5]Battery_Sum!$C$22</f>
        <v>0</v>
      </c>
      <c r="DY109" s="116">
        <f ca="1">IFERROR(OFFSET($EJ$115,MATCH(DY$107,$EI$115:$EI$116,0)-1,MATCH(DY$108,$EJ$114:$ER$114,0)-1,1,1),0)/[5]Battery_Sum!$C$22</f>
        <v>0</v>
      </c>
      <c r="DZ109" s="116">
        <f ca="1">IFERROR(OFFSET($EJ$115,MATCH(DZ$107,$EI$115:$EI$116,0)-1,MATCH(DZ$108,$EJ$114:$ER$114,0)-1,1,1),0)/[5]Battery_Sum!$C$22</f>
        <v>0</v>
      </c>
      <c r="EA109" s="116">
        <f ca="1">IFERROR(OFFSET($EJ$115,MATCH(EA$107,$EI$115:$EI$116,0)-1,MATCH(EA$108,$EJ$114:$ER$114,0)-1,1,1),0)/[5]Battery_Sum!$C$22</f>
        <v>0</v>
      </c>
      <c r="EB109" s="116">
        <f ca="1">IFERROR(OFFSET($EJ$115,MATCH(EB$107,$EI$115:$EI$116,0)-1,MATCH(EB$108,$EJ$114:$ER$114,0)-1,1,1),0)/[5]Battery_Sum!$C$22</f>
        <v>0</v>
      </c>
      <c r="EC109" s="116">
        <f ca="1">IFERROR(OFFSET($EJ$115,MATCH(EC$107,$EI$115:$EI$116,0)-1,MATCH(EC$108,$EJ$114:$ER$114,0)-1,1,1),0)/[5]Battery_Sum!$C$22</f>
        <v>0</v>
      </c>
      <c r="ED109" s="116">
        <f ca="1">IFERROR(OFFSET($EJ$115,MATCH(ED$107,$EI$115:$EI$116,0)-1,MATCH(ED$108,$EJ$114:$ER$114,0)-1,1,1),0)/[5]Battery_Sum!$C$22</f>
        <v>0</v>
      </c>
      <c r="EF109" s="21" t="s">
        <v>82</v>
      </c>
      <c r="EN109" s="24"/>
    </row>
    <row r="110" spans="1:144" x14ac:dyDescent="0.3">
      <c r="A110" s="21" t="str">
        <f>A116</f>
        <v xml:space="preserve">   Assembly</v>
      </c>
      <c r="D110" s="21">
        <f t="shared" ref="D110:AA110" si="387">IF(D$108="",0,HLOOKUP(D$107,$EI$107:$EJ$112,ROW($EH108)-ROW($EH$107)+1,FALSE))</f>
        <v>13854.30547718205</v>
      </c>
      <c r="E110" s="21">
        <f t="shared" si="387"/>
        <v>13854.30547718205</v>
      </c>
      <c r="F110" s="21">
        <f t="shared" si="387"/>
        <v>13854.30547718205</v>
      </c>
      <c r="G110" s="21">
        <f t="shared" si="387"/>
        <v>13854.30547718205</v>
      </c>
      <c r="H110" s="21">
        <f t="shared" si="387"/>
        <v>13854.30547718205</v>
      </c>
      <c r="I110" s="21">
        <f t="shared" si="387"/>
        <v>13854.30547718205</v>
      </c>
      <c r="J110" s="21">
        <f t="shared" si="387"/>
        <v>13854.30547718205</v>
      </c>
      <c r="K110" s="21">
        <f t="shared" si="387"/>
        <v>13854.30547718205</v>
      </c>
      <c r="L110" s="21">
        <f t="shared" si="387"/>
        <v>13854.30547718205</v>
      </c>
      <c r="M110" s="21">
        <f t="shared" si="387"/>
        <v>13854.30547718205</v>
      </c>
      <c r="N110" s="21">
        <f t="shared" si="387"/>
        <v>13854.30547718205</v>
      </c>
      <c r="O110" s="21">
        <f t="shared" si="387"/>
        <v>13854.30547718205</v>
      </c>
      <c r="P110" s="21">
        <f t="shared" si="387"/>
        <v>13854.30547718205</v>
      </c>
      <c r="Q110" s="21">
        <f t="shared" si="387"/>
        <v>13854.30547718205</v>
      </c>
      <c r="R110" s="21">
        <f t="shared" si="387"/>
        <v>13854.30547718205</v>
      </c>
      <c r="S110" s="21">
        <f t="shared" si="387"/>
        <v>13854.30547718205</v>
      </c>
      <c r="T110" s="21">
        <f t="shared" si="387"/>
        <v>13854.30547718205</v>
      </c>
      <c r="U110" s="21">
        <f t="shared" si="387"/>
        <v>13854.30547718205</v>
      </c>
      <c r="V110" s="21">
        <f t="shared" si="387"/>
        <v>13854.30547718205</v>
      </c>
      <c r="W110" s="21">
        <f t="shared" si="387"/>
        <v>13854.30547718205</v>
      </c>
      <c r="X110" s="21">
        <f t="shared" si="387"/>
        <v>13854.30547718205</v>
      </c>
      <c r="Y110" s="21">
        <f t="shared" si="387"/>
        <v>13854.30547718205</v>
      </c>
      <c r="Z110" s="21">
        <f t="shared" si="387"/>
        <v>13854.30547718205</v>
      </c>
      <c r="AA110" s="21">
        <f t="shared" si="387"/>
        <v>13854.30547718205</v>
      </c>
      <c r="AB110" s="21">
        <f t="shared" ref="AB110:AC110" si="388">IF(AB$108="",0,HLOOKUP(AB$107,$EI$107:$EJ$112,ROW($EH108)-ROW($EH$107)+1,FALSE))</f>
        <v>13854.30547718205</v>
      </c>
      <c r="AC110" s="21">
        <f t="shared" si="388"/>
        <v>13854.30547718205</v>
      </c>
      <c r="AD110" s="21">
        <f t="shared" ref="AD110" si="389">IF(AD$108="",0,HLOOKUP(AD$107,$EI$107:$EJ$112,ROW($EH108)-ROW($EH$107)+1,FALSE))</f>
        <v>13854.30547718205</v>
      </c>
      <c r="AE110" s="21">
        <f t="shared" ref="AE110:AR110" si="390">IF(AE$108="",0,HLOOKUP(AE$107,$EI$107:$EJ$112,ROW($EH108)-ROW($EH$107)+1,FALSE))</f>
        <v>13854.30547718205</v>
      </c>
      <c r="AF110" s="21">
        <f t="shared" si="390"/>
        <v>13854.30547718205</v>
      </c>
      <c r="AG110" s="21">
        <f t="shared" si="390"/>
        <v>0</v>
      </c>
      <c r="AH110" s="21">
        <f t="shared" si="390"/>
        <v>13854.30547718205</v>
      </c>
      <c r="AI110" s="21">
        <f t="shared" si="390"/>
        <v>0</v>
      </c>
      <c r="AJ110" s="21">
        <f t="shared" si="390"/>
        <v>13854.30547718205</v>
      </c>
      <c r="AK110" s="21">
        <f t="shared" si="390"/>
        <v>0</v>
      </c>
      <c r="AL110" s="21">
        <f t="shared" si="390"/>
        <v>13854.30547718205</v>
      </c>
      <c r="AM110" s="21">
        <f t="shared" si="390"/>
        <v>0</v>
      </c>
      <c r="AN110" s="21">
        <f t="shared" si="390"/>
        <v>13854.30547718205</v>
      </c>
      <c r="AO110" s="21">
        <f t="shared" si="390"/>
        <v>0</v>
      </c>
      <c r="AP110" s="21">
        <f t="shared" si="390"/>
        <v>13854.30547718205</v>
      </c>
      <c r="AQ110" s="21">
        <f t="shared" si="390"/>
        <v>13854.30547718205</v>
      </c>
      <c r="AR110" s="21">
        <f t="shared" si="390"/>
        <v>13854.30547718205</v>
      </c>
      <c r="AS110" s="21">
        <f t="shared" ref="AS110:BX110" si="391">IF(AS$108="",0,HLOOKUP(AS$107,$EI$107:$EJ$112,ROW($EH108)-ROW($EH$107)+1,FALSE))</f>
        <v>13854.30547718205</v>
      </c>
      <c r="AT110" s="21">
        <f t="shared" si="391"/>
        <v>13854.30547718205</v>
      </c>
      <c r="AU110" s="21">
        <f t="shared" si="391"/>
        <v>13854.30547718205</v>
      </c>
      <c r="AV110" s="21">
        <f t="shared" si="391"/>
        <v>13854.30547718205</v>
      </c>
      <c r="AW110" s="21">
        <f t="shared" si="391"/>
        <v>13854.30547718205</v>
      </c>
      <c r="AX110" s="21">
        <f t="shared" si="391"/>
        <v>13854.30547718205</v>
      </c>
      <c r="AY110" s="21">
        <f t="shared" si="391"/>
        <v>13854.30547718205</v>
      </c>
      <c r="AZ110" s="21">
        <f t="shared" si="391"/>
        <v>13854.30547718205</v>
      </c>
      <c r="BA110" s="21">
        <f t="shared" si="391"/>
        <v>13854.30547718205</v>
      </c>
      <c r="BB110" s="21">
        <f t="shared" si="391"/>
        <v>13854.30547718205</v>
      </c>
      <c r="BC110" s="21">
        <f t="shared" si="391"/>
        <v>0</v>
      </c>
      <c r="BD110" s="21">
        <f t="shared" si="391"/>
        <v>0</v>
      </c>
      <c r="BE110" s="21">
        <f t="shared" si="391"/>
        <v>0</v>
      </c>
      <c r="BF110" s="21">
        <f t="shared" si="391"/>
        <v>0</v>
      </c>
      <c r="BG110" s="21">
        <f t="shared" si="391"/>
        <v>0</v>
      </c>
      <c r="BH110" s="21">
        <f t="shared" si="391"/>
        <v>0</v>
      </c>
      <c r="BI110" s="21">
        <f t="shared" si="391"/>
        <v>0</v>
      </c>
      <c r="BJ110" s="21">
        <f t="shared" si="391"/>
        <v>13854.30547718205</v>
      </c>
      <c r="BK110" s="21">
        <f t="shared" si="391"/>
        <v>13854.30547718205</v>
      </c>
      <c r="BL110" s="21">
        <f t="shared" si="391"/>
        <v>13854.30547718205</v>
      </c>
      <c r="BM110" s="21">
        <f t="shared" si="391"/>
        <v>13854.30547718205</v>
      </c>
      <c r="BN110" s="21">
        <f t="shared" si="391"/>
        <v>13854.30547718205</v>
      </c>
      <c r="BO110" s="21">
        <f t="shared" si="391"/>
        <v>13854.30547718205</v>
      </c>
      <c r="BP110" s="21">
        <f t="shared" si="391"/>
        <v>13854.30547718205</v>
      </c>
      <c r="BQ110" s="21">
        <f t="shared" si="391"/>
        <v>13854.30547718205</v>
      </c>
      <c r="BR110" s="21">
        <f t="shared" si="391"/>
        <v>13854.30547718205</v>
      </c>
      <c r="BS110" s="21">
        <f t="shared" si="391"/>
        <v>13854.30547718205</v>
      </c>
      <c r="BT110" s="21">
        <f t="shared" si="391"/>
        <v>13854.30547718205</v>
      </c>
      <c r="BU110" s="21">
        <f t="shared" si="391"/>
        <v>13854.30547718205</v>
      </c>
      <c r="BV110" s="21">
        <f t="shared" si="391"/>
        <v>13854.30547718205</v>
      </c>
      <c r="BW110" s="21">
        <f t="shared" si="391"/>
        <v>13854.30547718205</v>
      </c>
      <c r="BX110" s="21">
        <f t="shared" si="391"/>
        <v>13854.30547718205</v>
      </c>
      <c r="BY110" s="21">
        <f t="shared" ref="BY110:DF110" si="392">IF(BY$108="",0,HLOOKUP(BY$107,$EI$107:$EJ$112,ROW($EH108)-ROW($EH$107)+1,FALSE))</f>
        <v>13854.30547718205</v>
      </c>
      <c r="BZ110" s="21">
        <f t="shared" si="392"/>
        <v>13854.30547718205</v>
      </c>
      <c r="CA110" s="21">
        <f t="shared" si="392"/>
        <v>13854.30547718205</v>
      </c>
      <c r="CB110" s="21">
        <f t="shared" si="392"/>
        <v>13854.30547718205</v>
      </c>
      <c r="CC110" s="21">
        <f t="shared" si="392"/>
        <v>13854.30547718205</v>
      </c>
      <c r="CD110" s="21">
        <f t="shared" si="392"/>
        <v>13854.30547718205</v>
      </c>
      <c r="CE110" s="21">
        <f t="shared" si="392"/>
        <v>13854.30547718205</v>
      </c>
      <c r="CF110" s="21">
        <f t="shared" si="392"/>
        <v>13854.30547718205</v>
      </c>
      <c r="CG110" s="21">
        <f t="shared" si="392"/>
        <v>13854.30547718205</v>
      </c>
      <c r="CH110" s="21">
        <f t="shared" si="392"/>
        <v>0</v>
      </c>
      <c r="CI110" s="21">
        <f t="shared" si="392"/>
        <v>13854.30547718205</v>
      </c>
      <c r="CJ110" s="21">
        <f t="shared" si="392"/>
        <v>13854.30547718205</v>
      </c>
      <c r="CK110" s="21">
        <f t="shared" si="392"/>
        <v>13854.30547718205</v>
      </c>
      <c r="CL110" s="21">
        <f t="shared" si="392"/>
        <v>13854.30547718205</v>
      </c>
      <c r="CM110" s="21">
        <f t="shared" si="392"/>
        <v>13854.30547718205</v>
      </c>
      <c r="CN110" s="21">
        <f t="shared" si="392"/>
        <v>0</v>
      </c>
      <c r="CO110" s="21">
        <f t="shared" si="392"/>
        <v>13854.30547718205</v>
      </c>
      <c r="CP110" s="21">
        <f t="shared" si="392"/>
        <v>13854.30547718205</v>
      </c>
      <c r="CQ110" s="21">
        <f t="shared" si="392"/>
        <v>13854.30547718205</v>
      </c>
      <c r="CR110" s="21">
        <f t="shared" si="392"/>
        <v>13854.30547718205</v>
      </c>
      <c r="CS110" s="21">
        <f t="shared" si="392"/>
        <v>0</v>
      </c>
      <c r="CT110" s="21">
        <f t="shared" si="392"/>
        <v>13854.30547718205</v>
      </c>
      <c r="CU110" s="21">
        <f t="shared" si="392"/>
        <v>13854.30547718205</v>
      </c>
      <c r="CV110" s="21">
        <f t="shared" si="392"/>
        <v>13854.30547718205</v>
      </c>
      <c r="CW110" s="21">
        <f t="shared" si="392"/>
        <v>13854.30547718205</v>
      </c>
      <c r="CX110" s="21">
        <f t="shared" si="392"/>
        <v>13854.30547718205</v>
      </c>
      <c r="CY110" s="21">
        <f t="shared" si="392"/>
        <v>0</v>
      </c>
      <c r="CZ110" s="21">
        <f t="shared" si="392"/>
        <v>13854.30547718205</v>
      </c>
      <c r="DA110" s="21">
        <f t="shared" si="392"/>
        <v>13854.30547718205</v>
      </c>
      <c r="DB110" s="21">
        <f t="shared" si="392"/>
        <v>13854.30547718205</v>
      </c>
      <c r="DC110" s="21">
        <f t="shared" si="392"/>
        <v>13854.30547718205</v>
      </c>
      <c r="DD110" s="21">
        <f t="shared" si="392"/>
        <v>13854.30547718205</v>
      </c>
      <c r="DE110" s="21">
        <f t="shared" si="392"/>
        <v>0</v>
      </c>
      <c r="DF110" s="21">
        <f t="shared" si="392"/>
        <v>13854.30547718205</v>
      </c>
      <c r="DH110" s="21">
        <f t="shared" ref="DH110:DR110" si="393">IF(DH$108="",0,HLOOKUP(DH$107,$EI$107:$EJ$112,ROW($EH108)-ROW($EH$107)+1,FALSE))</f>
        <v>13854.30547718205</v>
      </c>
      <c r="DI110" s="21">
        <f t="shared" si="393"/>
        <v>13854.30547718205</v>
      </c>
      <c r="DJ110" s="21">
        <f t="shared" si="393"/>
        <v>13854.30547718205</v>
      </c>
      <c r="DK110" s="21">
        <f t="shared" si="393"/>
        <v>0</v>
      </c>
      <c r="DL110" s="21">
        <f t="shared" si="393"/>
        <v>0</v>
      </c>
      <c r="DM110" s="21">
        <f t="shared" si="393"/>
        <v>0</v>
      </c>
      <c r="DN110" s="21">
        <f t="shared" si="393"/>
        <v>0</v>
      </c>
      <c r="DO110" s="21">
        <f t="shared" si="393"/>
        <v>0</v>
      </c>
      <c r="DP110" s="21">
        <f t="shared" si="393"/>
        <v>0</v>
      </c>
      <c r="DQ110" s="21">
        <f t="shared" si="393"/>
        <v>0</v>
      </c>
      <c r="DR110" s="21">
        <f t="shared" si="393"/>
        <v>13854.30547718205</v>
      </c>
      <c r="DS110" s="21">
        <f>IF(DS$108="",0,HLOOKUP(DS$107,$EI$107:$EJ$112,ROW($EH108)-ROW($EH$107)+1,FALSE))</f>
        <v>13854.30547718205</v>
      </c>
      <c r="DT110" s="21">
        <f>IF(DT$108="",0,HLOOKUP(DT$107,$EI$107:$EJ$112,ROW($EH108)-ROW($EH$107)+1,FALSE))</f>
        <v>13854.30547718205</v>
      </c>
      <c r="DU110" s="21">
        <f>IF(DU$108="",0,HLOOKUP(DU$107,$EI$107:$EJ$112,ROW($EH108)-ROW($EH$107)+1,FALSE))</f>
        <v>13854.30547718205</v>
      </c>
      <c r="DV110" s="21">
        <f>IF(DV$108="",0,HLOOKUP(DV$107,$EI$107:$EJ$112,ROW($EH108)-ROW($EH$107)+1,FALSE))</f>
        <v>13854.30547718205</v>
      </c>
      <c r="DW110" s="21">
        <f>IF(DW$108="",0,HLOOKUP(DW$107,$EI$107:$EJ$112,ROW($EH108)-ROW($EH$107)+1,FALSE))</f>
        <v>13854.30547718205</v>
      </c>
      <c r="DX110" s="21">
        <f t="shared" ref="DX110:EC110" si="394">IF(DX$108="",0,HLOOKUP(DX$107,$EI$107:$EJ$112,ROW($EH108)-ROW($EH$107)+1,FALSE))</f>
        <v>0</v>
      </c>
      <c r="DY110" s="21">
        <f t="shared" si="394"/>
        <v>0</v>
      </c>
      <c r="DZ110" s="21">
        <f t="shared" si="394"/>
        <v>0</v>
      </c>
      <c r="EA110" s="21">
        <f t="shared" si="394"/>
        <v>0</v>
      </c>
      <c r="EB110" s="21">
        <f t="shared" si="394"/>
        <v>0</v>
      </c>
      <c r="EC110" s="21">
        <f t="shared" si="394"/>
        <v>0</v>
      </c>
      <c r="ED110" s="21">
        <f>IF(ED$108="",0,HLOOKUP(ED$107,$EI$107:$EJ$112,ROW($EH108)-ROW($EH$107)+1,FALSE))</f>
        <v>0</v>
      </c>
      <c r="EF110" s="62" t="s">
        <v>148</v>
      </c>
      <c r="EH110" s="21" t="s">
        <v>930</v>
      </c>
      <c r="EJ110" s="21" t="s">
        <v>341</v>
      </c>
    </row>
    <row r="111" spans="1:144" x14ac:dyDescent="0.3">
      <c r="A111" s="21" t="str">
        <f>A117</f>
        <v xml:space="preserve">   Disposal</v>
      </c>
      <c r="D111" s="21">
        <f t="shared" ref="D111:AA111" si="395">IF(D$108="",0,HLOOKUP(D$107,$EI$107:$EJ$112,ROW($EH112)-ROW($EH$107)+1,FALSE)/D29)</f>
        <v>1075.2343242737034</v>
      </c>
      <c r="E111" s="21">
        <f t="shared" si="395"/>
        <v>1075.2343242737034</v>
      </c>
      <c r="F111" s="21">
        <f t="shared" si="395"/>
        <v>1075.2343242737034</v>
      </c>
      <c r="G111" s="21">
        <f t="shared" si="395"/>
        <v>1075.2343242737034</v>
      </c>
      <c r="H111" s="21">
        <f t="shared" si="395"/>
        <v>1075.2343242737034</v>
      </c>
      <c r="I111" s="21">
        <f t="shared" si="395"/>
        <v>1075.2343242737034</v>
      </c>
      <c r="J111" s="21">
        <f t="shared" si="395"/>
        <v>1075.2343242737034</v>
      </c>
      <c r="K111" s="21">
        <f t="shared" si="395"/>
        <v>1075.2343242737034</v>
      </c>
      <c r="L111" s="21">
        <f t="shared" si="395"/>
        <v>1075.2343242737034</v>
      </c>
      <c r="M111" s="21">
        <f t="shared" si="395"/>
        <v>1075.2343242737034</v>
      </c>
      <c r="N111" s="21">
        <f t="shared" si="395"/>
        <v>1075.2343242737034</v>
      </c>
      <c r="O111" s="21">
        <f t="shared" si="395"/>
        <v>1075.2343242737034</v>
      </c>
      <c r="P111" s="21">
        <f t="shared" si="395"/>
        <v>1075.2343242737034</v>
      </c>
      <c r="Q111" s="21">
        <f t="shared" si="395"/>
        <v>1075.2343242737034</v>
      </c>
      <c r="R111" s="21">
        <f t="shared" si="395"/>
        <v>1075.2343242737034</v>
      </c>
      <c r="S111" s="21">
        <f t="shared" si="395"/>
        <v>1075.2343242737034</v>
      </c>
      <c r="T111" s="21">
        <f t="shared" si="395"/>
        <v>1075.2343242737034</v>
      </c>
      <c r="U111" s="21">
        <f t="shared" si="395"/>
        <v>1075.2343242737034</v>
      </c>
      <c r="V111" s="21">
        <f t="shared" si="395"/>
        <v>1075.2343242737034</v>
      </c>
      <c r="W111" s="21">
        <f t="shared" si="395"/>
        <v>1075.2343242737034</v>
      </c>
      <c r="X111" s="21">
        <f t="shared" si="395"/>
        <v>1075.2343242737034</v>
      </c>
      <c r="Y111" s="21">
        <f t="shared" si="395"/>
        <v>1075.2343242737034</v>
      </c>
      <c r="Z111" s="21">
        <f t="shared" si="395"/>
        <v>1075.2343242737034</v>
      </c>
      <c r="AA111" s="21">
        <f t="shared" si="395"/>
        <v>1075.2343242737034</v>
      </c>
      <c r="AB111" s="21">
        <f t="shared" ref="AB111:AD111" si="396">IF(AB$108="",0,HLOOKUP(AB$107,$EI$107:$EJ$112,ROW($EH112)-ROW($EH$107)+1,FALSE)/AB29)</f>
        <v>1075.2343242737034</v>
      </c>
      <c r="AC111" s="21">
        <f t="shared" si="396"/>
        <v>1075.2343242737034</v>
      </c>
      <c r="AD111" s="21">
        <f t="shared" si="396"/>
        <v>1075.2343242737034</v>
      </c>
      <c r="AE111" s="21">
        <f t="shared" ref="AE111:AR111" si="397">IF(AE$108="",0,HLOOKUP(AE$107,$EI$107:$EJ$112,ROW($EH112)-ROW($EH$107)+1,FALSE)/AE29)</f>
        <v>1075.2343242737034</v>
      </c>
      <c r="AF111" s="21">
        <f t="shared" si="397"/>
        <v>1075.2343242737034</v>
      </c>
      <c r="AG111" s="21">
        <f t="shared" si="397"/>
        <v>0</v>
      </c>
      <c r="AH111" s="21">
        <f t="shared" si="397"/>
        <v>1075.2343242737034</v>
      </c>
      <c r="AI111" s="21">
        <f t="shared" si="397"/>
        <v>0</v>
      </c>
      <c r="AJ111" s="21">
        <f t="shared" si="397"/>
        <v>1075.2343242737034</v>
      </c>
      <c r="AK111" s="21">
        <f t="shared" si="397"/>
        <v>0</v>
      </c>
      <c r="AL111" s="21">
        <f t="shared" si="397"/>
        <v>1075.2343242737034</v>
      </c>
      <c r="AM111" s="21">
        <f t="shared" si="397"/>
        <v>0</v>
      </c>
      <c r="AN111" s="21">
        <f t="shared" si="397"/>
        <v>1075.2343242737034</v>
      </c>
      <c r="AO111" s="21">
        <f t="shared" si="397"/>
        <v>0</v>
      </c>
      <c r="AP111" s="21">
        <f t="shared" si="397"/>
        <v>1075.2343242737034</v>
      </c>
      <c r="AQ111" s="21">
        <f t="shared" si="397"/>
        <v>1075.2343242737034</v>
      </c>
      <c r="AR111" s="21">
        <f t="shared" si="397"/>
        <v>1075.2343242737034</v>
      </c>
      <c r="AS111" s="21">
        <f t="shared" ref="AS111:BX111" si="398">IF(AS$108="",0,HLOOKUP(AS$107,$EI$107:$EJ$112,ROW($EH112)-ROW($EH$107)+1,FALSE)/AS29)</f>
        <v>1075.2343242737034</v>
      </c>
      <c r="AT111" s="21">
        <f t="shared" si="398"/>
        <v>1075.2343242737034</v>
      </c>
      <c r="AU111" s="21">
        <f t="shared" si="398"/>
        <v>1075.2343242737034</v>
      </c>
      <c r="AV111" s="21">
        <f t="shared" si="398"/>
        <v>1075.2343242737034</v>
      </c>
      <c r="AW111" s="21">
        <f t="shared" si="398"/>
        <v>1075.2343242737034</v>
      </c>
      <c r="AX111" s="21">
        <f t="shared" si="398"/>
        <v>1075.2343242737034</v>
      </c>
      <c r="AY111" s="21">
        <f t="shared" si="398"/>
        <v>1075.2343242737034</v>
      </c>
      <c r="AZ111" s="21">
        <f t="shared" si="398"/>
        <v>1075.2343242737034</v>
      </c>
      <c r="BA111" s="21">
        <f t="shared" si="398"/>
        <v>1075.2343242737034</v>
      </c>
      <c r="BB111" s="21">
        <f t="shared" si="398"/>
        <v>1075.2343242737034</v>
      </c>
      <c r="BC111" s="21">
        <f t="shared" si="398"/>
        <v>0</v>
      </c>
      <c r="BD111" s="21">
        <f t="shared" si="398"/>
        <v>0</v>
      </c>
      <c r="BE111" s="21">
        <f t="shared" si="398"/>
        <v>0</v>
      </c>
      <c r="BF111" s="21">
        <f t="shared" si="398"/>
        <v>0</v>
      </c>
      <c r="BG111" s="21">
        <f t="shared" si="398"/>
        <v>0</v>
      </c>
      <c r="BH111" s="21">
        <f t="shared" si="398"/>
        <v>0</v>
      </c>
      <c r="BI111" s="21">
        <f t="shared" si="398"/>
        <v>0</v>
      </c>
      <c r="BJ111" s="21">
        <f t="shared" si="398"/>
        <v>1075.2343242737034</v>
      </c>
      <c r="BK111" s="21">
        <f t="shared" si="398"/>
        <v>1075.2343242737034</v>
      </c>
      <c r="BL111" s="21">
        <f t="shared" si="398"/>
        <v>1075.2343242737034</v>
      </c>
      <c r="BM111" s="21">
        <f t="shared" si="398"/>
        <v>1075.2343242737034</v>
      </c>
      <c r="BN111" s="21">
        <f t="shared" si="398"/>
        <v>1075.2343242737034</v>
      </c>
      <c r="BO111" s="21">
        <f t="shared" si="398"/>
        <v>1075.2343242737034</v>
      </c>
      <c r="BP111" s="21">
        <f t="shared" si="398"/>
        <v>1075.2343242737034</v>
      </c>
      <c r="BQ111" s="21">
        <f t="shared" si="398"/>
        <v>1075.2343242737034</v>
      </c>
      <c r="BR111" s="21">
        <f t="shared" si="398"/>
        <v>1075.2343242737034</v>
      </c>
      <c r="BS111" s="21">
        <f t="shared" si="398"/>
        <v>1075.2343242737034</v>
      </c>
      <c r="BT111" s="21">
        <f t="shared" si="398"/>
        <v>1075.2343242737034</v>
      </c>
      <c r="BU111" s="21">
        <f t="shared" si="398"/>
        <v>1075.2343242737034</v>
      </c>
      <c r="BV111" s="21">
        <f t="shared" si="398"/>
        <v>1075.2343242737034</v>
      </c>
      <c r="BW111" s="21">
        <f t="shared" si="398"/>
        <v>1075.2343242737034</v>
      </c>
      <c r="BX111" s="21">
        <f t="shared" si="398"/>
        <v>1075.2343242737034</v>
      </c>
      <c r="BY111" s="21">
        <f t="shared" ref="BY111:DD111" si="399">IF(BY$108="",0,HLOOKUP(BY$107,$EI$107:$EJ$112,ROW($EH112)-ROW($EH$107)+1,FALSE)/BY29)</f>
        <v>1075.2343242737034</v>
      </c>
      <c r="BZ111" s="21">
        <f t="shared" si="399"/>
        <v>1075.2343242737034</v>
      </c>
      <c r="CA111" s="21">
        <f t="shared" si="399"/>
        <v>1075.2343242737034</v>
      </c>
      <c r="CB111" s="21">
        <f t="shared" si="399"/>
        <v>1075.2343242737034</v>
      </c>
      <c r="CC111" s="21">
        <f t="shared" si="399"/>
        <v>1075.2343242737034</v>
      </c>
      <c r="CD111" s="21">
        <f t="shared" si="399"/>
        <v>1075.2343242737034</v>
      </c>
      <c r="CE111" s="21">
        <f t="shared" si="399"/>
        <v>1075.2343242737034</v>
      </c>
      <c r="CF111" s="21">
        <f t="shared" si="399"/>
        <v>1075.2343242737034</v>
      </c>
      <c r="CG111" s="21">
        <f t="shared" si="399"/>
        <v>1075.2343242737034</v>
      </c>
      <c r="CH111" s="21">
        <f t="shared" si="399"/>
        <v>0</v>
      </c>
      <c r="CI111" s="21">
        <f t="shared" si="399"/>
        <v>1075.2343242737034</v>
      </c>
      <c r="CJ111" s="21">
        <f t="shared" si="399"/>
        <v>1075.2343242737034</v>
      </c>
      <c r="CK111" s="21">
        <f t="shared" si="399"/>
        <v>1075.2343242737034</v>
      </c>
      <c r="CL111" s="21">
        <f t="shared" si="399"/>
        <v>1075.2343242737034</v>
      </c>
      <c r="CM111" s="21">
        <f t="shared" si="399"/>
        <v>1075.2343242737034</v>
      </c>
      <c r="CN111" s="21">
        <f t="shared" si="399"/>
        <v>0</v>
      </c>
      <c r="CO111" s="21">
        <f t="shared" si="399"/>
        <v>1075.2343242737034</v>
      </c>
      <c r="CP111" s="21">
        <f t="shared" si="399"/>
        <v>1075.2343242737034</v>
      </c>
      <c r="CQ111" s="21">
        <f t="shared" si="399"/>
        <v>1075.2343242737034</v>
      </c>
      <c r="CR111" s="21">
        <f t="shared" si="399"/>
        <v>1075.2343242737034</v>
      </c>
      <c r="CS111" s="21">
        <f t="shared" si="399"/>
        <v>0</v>
      </c>
      <c r="CT111" s="21">
        <f t="shared" si="399"/>
        <v>1075.2343242737034</v>
      </c>
      <c r="CU111" s="21">
        <f t="shared" si="399"/>
        <v>1075.2343242737034</v>
      </c>
      <c r="CV111" s="21">
        <f t="shared" si="399"/>
        <v>1075.2343242737034</v>
      </c>
      <c r="CW111" s="21">
        <f t="shared" si="399"/>
        <v>1075.2343242737034</v>
      </c>
      <c r="CX111" s="21">
        <f t="shared" si="399"/>
        <v>1075.2343242737034</v>
      </c>
      <c r="CY111" s="21">
        <f t="shared" si="399"/>
        <v>0</v>
      </c>
      <c r="CZ111" s="21">
        <f t="shared" si="399"/>
        <v>1075.2343242737034</v>
      </c>
      <c r="DA111" s="21">
        <f t="shared" si="399"/>
        <v>1075.2343242737034</v>
      </c>
      <c r="DB111" s="21">
        <f t="shared" si="399"/>
        <v>1075.2343242737034</v>
      </c>
      <c r="DC111" s="21">
        <f t="shared" si="399"/>
        <v>1075.2343242737034</v>
      </c>
      <c r="DD111" s="21">
        <f t="shared" si="399"/>
        <v>1075.2343242737034</v>
      </c>
      <c r="DE111" s="21">
        <f t="shared" ref="DE111:DF111" si="400">IF(DE$108="",0,HLOOKUP(DE$107,$EI$107:$EJ$112,ROW($EH112)-ROW($EH$107)+1,FALSE)/DE29)</f>
        <v>0</v>
      </c>
      <c r="DF111" s="21">
        <f t="shared" si="400"/>
        <v>1075.2343242737034</v>
      </c>
      <c r="DH111" s="21">
        <f t="shared" ref="DH111:DR111" si="401">IF(DH$108="",0,HLOOKUP(DH$107,$EI$107:$EJ$112,ROW($EH112)-ROW($EH$107)+1,FALSE)/DH29)</f>
        <v>1075.2343242737034</v>
      </c>
      <c r="DI111" s="21">
        <f t="shared" si="401"/>
        <v>1075.2343242737034</v>
      </c>
      <c r="DJ111" s="21">
        <f t="shared" si="401"/>
        <v>1075.2343242737034</v>
      </c>
      <c r="DK111" s="21">
        <f t="shared" si="401"/>
        <v>0</v>
      </c>
      <c r="DL111" s="21">
        <f t="shared" si="401"/>
        <v>0</v>
      </c>
      <c r="DM111" s="21">
        <f t="shared" si="401"/>
        <v>0</v>
      </c>
      <c r="DN111" s="21">
        <f t="shared" si="401"/>
        <v>0</v>
      </c>
      <c r="DO111" s="21">
        <f t="shared" si="401"/>
        <v>0</v>
      </c>
      <c r="DP111" s="21">
        <f t="shared" si="401"/>
        <v>0</v>
      </c>
      <c r="DQ111" s="21">
        <f t="shared" si="401"/>
        <v>0</v>
      </c>
      <c r="DR111" s="21">
        <f t="shared" si="401"/>
        <v>1322.9981158230478</v>
      </c>
      <c r="DS111" s="21">
        <f>IF(DS$108="",0,HLOOKUP(DS$107,$EI$107:$EJ$112,ROW($EH112)-ROW($EH$107)+1,FALSE)/DS29)</f>
        <v>1322.9981158230478</v>
      </c>
      <c r="DT111" s="21">
        <f>IF(DT$108="",0,HLOOKUP(DT$107,$EI$107:$EJ$112,ROW($EH112)-ROW($EH$107)+1,FALSE)/DT29)</f>
        <v>1322.9981158230478</v>
      </c>
      <c r="DU111" s="21">
        <f>IF(DU$108="",0,HLOOKUP(DU$107,$EI$107:$EJ$112,ROW($EH112)-ROW($EH$107)+1,FALSE)/DU29)</f>
        <v>1322.9981158230478</v>
      </c>
      <c r="DV111" s="21">
        <f>IF(DV$108="",0,HLOOKUP(DV$107,$EI$107:$EJ$112,ROW($EH112)-ROW($EH$107)+1,FALSE)/DV29)</f>
        <v>1322.9981158230478</v>
      </c>
      <c r="DW111" s="21">
        <f>IF(DW$108="",0,HLOOKUP(DW$107,$EI$107:$EJ$112,ROW($EH112)-ROW($EH$107)+1,FALSE)/DW29)</f>
        <v>1322.9981158230478</v>
      </c>
      <c r="DX111" s="21">
        <f t="shared" ref="DX111:EC111" si="402">IF(DX$108="",0,HLOOKUP(DX$107,$EI$107:$EJ$112,ROW($EH112)-ROW($EH$107)+1,FALSE)/DX29)</f>
        <v>0</v>
      </c>
      <c r="DY111" s="21">
        <f t="shared" si="402"/>
        <v>0</v>
      </c>
      <c r="DZ111" s="21">
        <f t="shared" si="402"/>
        <v>0</v>
      </c>
      <c r="EA111" s="21">
        <f t="shared" si="402"/>
        <v>0</v>
      </c>
      <c r="EB111" s="21">
        <f t="shared" si="402"/>
        <v>0</v>
      </c>
      <c r="EC111" s="21">
        <f t="shared" si="402"/>
        <v>0</v>
      </c>
      <c r="ED111" s="21">
        <f>IF(ED$108="",0,HLOOKUP(ED$107,$EI$107:$EJ$112,ROW($EH112)-ROW($EH$107)+1,FALSE)/ED29)</f>
        <v>0</v>
      </c>
      <c r="EH111" s="21" t="s">
        <v>915</v>
      </c>
      <c r="EI111" s="21" t="s">
        <v>951</v>
      </c>
      <c r="EJ111" s="21" t="s">
        <v>950</v>
      </c>
      <c r="EK111" s="74"/>
    </row>
    <row r="112" spans="1:144" x14ac:dyDescent="0.3">
      <c r="A112" s="21" t="str">
        <f>A118</f>
        <v xml:space="preserve">   Total</v>
      </c>
      <c r="D112" s="116">
        <f ca="1">SUM(D109:D111)</f>
        <v>93046.25024472746</v>
      </c>
      <c r="E112" s="116">
        <f t="shared" ref="E112:R112" ca="1" si="403">SUM(E109:E111)</f>
        <v>93046.25024472746</v>
      </c>
      <c r="F112" s="116">
        <f t="shared" ca="1" si="403"/>
        <v>74804.391462571002</v>
      </c>
      <c r="G112" s="116">
        <f t="shared" ca="1" si="403"/>
        <v>93046.25024472746</v>
      </c>
      <c r="H112" s="116">
        <f t="shared" ca="1" si="403"/>
        <v>93046.25024472746</v>
      </c>
      <c r="I112" s="116">
        <f t="shared" ref="I112" ca="1" si="404">SUM(I109:I111)</f>
        <v>93046.25024472746</v>
      </c>
      <c r="J112" s="116">
        <f t="shared" ca="1" si="403"/>
        <v>93046.25024472746</v>
      </c>
      <c r="K112" s="116">
        <f t="shared" ca="1" si="403"/>
        <v>93046.25024472746</v>
      </c>
      <c r="L112" s="116">
        <f t="shared" ca="1" si="403"/>
        <v>93046.25024472746</v>
      </c>
      <c r="M112" s="116">
        <f t="shared" ca="1" si="403"/>
        <v>93046.25024472746</v>
      </c>
      <c r="N112" s="116">
        <f t="shared" ca="1" si="403"/>
        <v>93046.25024472746</v>
      </c>
      <c r="O112" s="116">
        <f t="shared" ca="1" si="403"/>
        <v>93046.25024472746</v>
      </c>
      <c r="P112" s="116">
        <f t="shared" ca="1" si="403"/>
        <v>93046.25024472746</v>
      </c>
      <c r="Q112" s="116">
        <f ca="1">SUM(Q109:Q111)</f>
        <v>93046.25024472746</v>
      </c>
      <c r="R112" s="116">
        <f t="shared" ca="1" si="403"/>
        <v>93046.25024472746</v>
      </c>
      <c r="S112" s="116">
        <f t="shared" ref="S112:BT112" ca="1" si="405">SUM(S109:S111)</f>
        <v>93046.25024472746</v>
      </c>
      <c r="T112" s="116">
        <f t="shared" ca="1" si="405"/>
        <v>74804.391462571002</v>
      </c>
      <c r="U112" s="116">
        <f t="shared" ca="1" si="405"/>
        <v>93046.25024472746</v>
      </c>
      <c r="V112" s="116">
        <f t="shared" ca="1" si="405"/>
        <v>93046.25024472746</v>
      </c>
      <c r="W112" s="116">
        <f t="shared" ca="1" si="405"/>
        <v>93046.25024472746</v>
      </c>
      <c r="X112" s="116">
        <f t="shared" ref="X112:Y112" ca="1" si="406">SUM(X109:X111)</f>
        <v>74804.391462571002</v>
      </c>
      <c r="Y112" s="116">
        <f t="shared" ca="1" si="406"/>
        <v>93046.25024472746</v>
      </c>
      <c r="Z112" s="116">
        <f t="shared" ca="1" si="405"/>
        <v>93046.25024472746</v>
      </c>
      <c r="AA112" s="116">
        <f t="shared" ref="AA112" ca="1" si="407">SUM(AA109:AA111)</f>
        <v>93046.25024472746</v>
      </c>
      <c r="AB112" s="116">
        <f t="shared" ref="AB112:AC112" ca="1" si="408">SUM(AB109:AB111)</f>
        <v>74804.391462571002</v>
      </c>
      <c r="AC112" s="116">
        <f t="shared" ca="1" si="408"/>
        <v>93046.25024472746</v>
      </c>
      <c r="AD112" s="116">
        <f t="shared" ref="AD112" ca="1" si="409">SUM(AD109:AD111)</f>
        <v>93046.25024472746</v>
      </c>
      <c r="AE112" s="116">
        <f t="shared" ref="AE112" ca="1" si="410">SUM(AE109:AE111)</f>
        <v>93046.25024472746</v>
      </c>
      <c r="AF112" s="116">
        <f t="shared" ca="1" si="405"/>
        <v>93046.25024472746</v>
      </c>
      <c r="AG112" s="116">
        <f t="shared" ca="1" si="405"/>
        <v>0</v>
      </c>
      <c r="AH112" s="116">
        <f t="shared" ca="1" si="405"/>
        <v>93046.25024472746</v>
      </c>
      <c r="AI112" s="116">
        <f t="shared" ca="1" si="405"/>
        <v>0</v>
      </c>
      <c r="AJ112" s="116">
        <f t="shared" ca="1" si="405"/>
        <v>93046.25024472746</v>
      </c>
      <c r="AK112" s="116">
        <f t="shared" ca="1" si="405"/>
        <v>0</v>
      </c>
      <c r="AL112" s="116">
        <f t="shared" ca="1" si="405"/>
        <v>93046.25024472746</v>
      </c>
      <c r="AM112" s="116">
        <f t="shared" ca="1" si="405"/>
        <v>0</v>
      </c>
      <c r="AN112" s="116">
        <f t="shared" ca="1" si="405"/>
        <v>93046.25024472746</v>
      </c>
      <c r="AO112" s="116">
        <f t="shared" ca="1" si="405"/>
        <v>0</v>
      </c>
      <c r="AP112" s="116">
        <f t="shared" ca="1" si="405"/>
        <v>93046.25024472746</v>
      </c>
      <c r="AQ112" s="116">
        <f t="shared" ca="1" si="405"/>
        <v>93046.25024472746</v>
      </c>
      <c r="AR112" s="116">
        <f t="shared" ca="1" si="405"/>
        <v>93046.25024472746</v>
      </c>
      <c r="AS112" s="116">
        <f t="shared" ca="1" si="405"/>
        <v>93046.25024472746</v>
      </c>
      <c r="AT112" s="116">
        <f t="shared" ca="1" si="405"/>
        <v>93046.25024472746</v>
      </c>
      <c r="AU112" s="116">
        <f t="shared" ca="1" si="405"/>
        <v>74804.391462571002</v>
      </c>
      <c r="AV112" s="116">
        <f t="shared" ca="1" si="405"/>
        <v>93046.25024472746</v>
      </c>
      <c r="AW112" s="116">
        <f t="shared" ca="1" si="405"/>
        <v>93046.25024472746</v>
      </c>
      <c r="AX112" s="116">
        <f t="shared" ca="1" si="405"/>
        <v>93046.25024472746</v>
      </c>
      <c r="AY112" s="116">
        <f t="shared" ca="1" si="405"/>
        <v>93046.25024472746</v>
      </c>
      <c r="AZ112" s="116">
        <f t="shared" ca="1" si="405"/>
        <v>93046.25024472746</v>
      </c>
      <c r="BA112" s="116">
        <f t="shared" ca="1" si="405"/>
        <v>93046.25024472746</v>
      </c>
      <c r="BB112" s="116">
        <f t="shared" ca="1" si="405"/>
        <v>93046.25024472746</v>
      </c>
      <c r="BC112" s="116">
        <f t="shared" ca="1" si="405"/>
        <v>0</v>
      </c>
      <c r="BD112" s="116">
        <f t="shared" ca="1" si="405"/>
        <v>0</v>
      </c>
      <c r="BE112" s="116">
        <f t="shared" ca="1" si="405"/>
        <v>0</v>
      </c>
      <c r="BF112" s="116">
        <f t="shared" ca="1" si="405"/>
        <v>0</v>
      </c>
      <c r="BG112" s="116">
        <f t="shared" ca="1" si="405"/>
        <v>0</v>
      </c>
      <c r="BH112" s="116">
        <f t="shared" ca="1" si="405"/>
        <v>0</v>
      </c>
      <c r="BI112" s="116">
        <f t="shared" ca="1" si="405"/>
        <v>0</v>
      </c>
      <c r="BJ112" s="116">
        <f t="shared" ca="1" si="405"/>
        <v>93046.25024472746</v>
      </c>
      <c r="BK112" s="116">
        <f t="shared" ca="1" si="405"/>
        <v>93046.25024472746</v>
      </c>
      <c r="BL112" s="116">
        <f t="shared" ca="1" si="405"/>
        <v>93046.25024472746</v>
      </c>
      <c r="BM112" s="116">
        <f t="shared" ca="1" si="405"/>
        <v>93046.25024472746</v>
      </c>
      <c r="BN112" s="116">
        <f t="shared" ca="1" si="405"/>
        <v>93046.25024472746</v>
      </c>
      <c r="BO112" s="116">
        <f t="shared" ca="1" si="405"/>
        <v>93046.25024472746</v>
      </c>
      <c r="BP112" s="116">
        <f t="shared" ca="1" si="405"/>
        <v>93046.25024472746</v>
      </c>
      <c r="BQ112" s="116">
        <f t="shared" ca="1" si="405"/>
        <v>74804.391462571002</v>
      </c>
      <c r="BR112" s="116">
        <f t="shared" ca="1" si="405"/>
        <v>93046.25024472746</v>
      </c>
      <c r="BS112" s="116">
        <f t="shared" ca="1" si="405"/>
        <v>93046.25024472746</v>
      </c>
      <c r="BT112" s="116">
        <f t="shared" ca="1" si="405"/>
        <v>93046.25024472746</v>
      </c>
      <c r="BU112" s="116">
        <f t="shared" ref="BU112:CC112" ca="1" si="411">SUM(BU109:BU111)</f>
        <v>93046.25024472746</v>
      </c>
      <c r="BV112" s="116">
        <f t="shared" ca="1" si="411"/>
        <v>93046.25024472746</v>
      </c>
      <c r="BW112" s="116">
        <f t="shared" ca="1" si="411"/>
        <v>93046.25024472746</v>
      </c>
      <c r="BX112" s="116">
        <f t="shared" ca="1" si="411"/>
        <v>93046.25024472746</v>
      </c>
      <c r="BY112" s="116">
        <f t="shared" ca="1" si="411"/>
        <v>93046.25024472746</v>
      </c>
      <c r="BZ112" s="116">
        <f t="shared" ca="1" si="411"/>
        <v>74804.391462571002</v>
      </c>
      <c r="CA112" s="116">
        <f t="shared" ca="1" si="411"/>
        <v>93046.25024472746</v>
      </c>
      <c r="CB112" s="116">
        <f t="shared" ca="1" si="411"/>
        <v>93046.25024472746</v>
      </c>
      <c r="CC112" s="116">
        <f t="shared" ca="1" si="411"/>
        <v>93046.25024472746</v>
      </c>
      <c r="CD112" s="116">
        <f t="shared" ref="CD112:DF112" ca="1" si="412">SUM(CD109:CD111)</f>
        <v>93046.25024472746</v>
      </c>
      <c r="CE112" s="116">
        <f t="shared" ca="1" si="412"/>
        <v>93046.25024472746</v>
      </c>
      <c r="CF112" s="116">
        <f t="shared" ca="1" si="412"/>
        <v>93046.25024472746</v>
      </c>
      <c r="CG112" s="116">
        <f t="shared" ca="1" si="412"/>
        <v>93046.25024472746</v>
      </c>
      <c r="CH112" s="116">
        <f t="shared" ca="1" si="412"/>
        <v>0</v>
      </c>
      <c r="CI112" s="116">
        <f t="shared" ca="1" si="412"/>
        <v>93046.25024472746</v>
      </c>
      <c r="CJ112" s="116">
        <f t="shared" ca="1" si="412"/>
        <v>93046.25024472746</v>
      </c>
      <c r="CK112" s="116">
        <f t="shared" ca="1" si="412"/>
        <v>93046.25024472746</v>
      </c>
      <c r="CL112" s="116">
        <f t="shared" ca="1" si="412"/>
        <v>93046.25024472746</v>
      </c>
      <c r="CM112" s="116">
        <f t="shared" ca="1" si="412"/>
        <v>93046.25024472746</v>
      </c>
      <c r="CN112" s="116">
        <f t="shared" ca="1" si="412"/>
        <v>0</v>
      </c>
      <c r="CO112" s="116">
        <f t="shared" ca="1" si="412"/>
        <v>93046.25024472746</v>
      </c>
      <c r="CP112" s="116">
        <f t="shared" ca="1" si="412"/>
        <v>93046.25024472746</v>
      </c>
      <c r="CQ112" s="116">
        <f t="shared" ca="1" si="412"/>
        <v>93046.25024472746</v>
      </c>
      <c r="CR112" s="116">
        <f t="shared" ca="1" si="412"/>
        <v>93046.25024472746</v>
      </c>
      <c r="CS112" s="116">
        <f t="shared" ca="1" si="412"/>
        <v>0</v>
      </c>
      <c r="CT112" s="116">
        <f t="shared" ca="1" si="412"/>
        <v>93046.25024472746</v>
      </c>
      <c r="CU112" s="116">
        <f t="shared" ca="1" si="412"/>
        <v>93046.25024472746</v>
      </c>
      <c r="CV112" s="116">
        <f t="shared" ca="1" si="412"/>
        <v>93046.25024472746</v>
      </c>
      <c r="CW112" s="116">
        <f t="shared" ca="1" si="412"/>
        <v>93046.25024472746</v>
      </c>
      <c r="CX112" s="116">
        <f t="shared" ca="1" si="412"/>
        <v>93046.25024472746</v>
      </c>
      <c r="CY112" s="116">
        <f t="shared" ca="1" si="412"/>
        <v>0</v>
      </c>
      <c r="CZ112" s="116">
        <f t="shared" ca="1" si="412"/>
        <v>93046.25024472746</v>
      </c>
      <c r="DA112" s="116">
        <f t="shared" ca="1" si="412"/>
        <v>93046.25024472746</v>
      </c>
      <c r="DB112" s="116">
        <f t="shared" ca="1" si="412"/>
        <v>93046.25024472746</v>
      </c>
      <c r="DC112" s="116">
        <f t="shared" ca="1" si="412"/>
        <v>93046.25024472746</v>
      </c>
      <c r="DD112" s="116">
        <f t="shared" ca="1" si="412"/>
        <v>93046.25024472746</v>
      </c>
      <c r="DE112" s="116">
        <f t="shared" ca="1" si="412"/>
        <v>0</v>
      </c>
      <c r="DF112" s="116">
        <f t="shared" ca="1" si="412"/>
        <v>93046.25024472746</v>
      </c>
      <c r="DG112" s="116"/>
      <c r="DH112" s="116">
        <f ca="1">SUM(DH109:DH111)</f>
        <v>93046.25024472746</v>
      </c>
      <c r="DI112" s="116">
        <f ca="1">SUM(DI109:DI111)</f>
        <v>93046.25024472746</v>
      </c>
      <c r="DJ112" s="116">
        <f ca="1">SUM(DJ109:DJ111)</f>
        <v>93046.25024472746</v>
      </c>
      <c r="DK112" s="116">
        <f t="shared" ref="DK112:DP112" ca="1" si="413">SUM(DK109:DK111)</f>
        <v>0</v>
      </c>
      <c r="DL112" s="116">
        <f t="shared" ca="1" si="413"/>
        <v>0</v>
      </c>
      <c r="DM112" s="116">
        <f ca="1">SUM(DM109:DM111)</f>
        <v>0</v>
      </c>
      <c r="DN112" s="116">
        <f t="shared" ca="1" si="413"/>
        <v>0</v>
      </c>
      <c r="DO112" s="116">
        <f t="shared" ca="1" si="413"/>
        <v>0</v>
      </c>
      <c r="DP112" s="116">
        <f t="shared" ca="1" si="413"/>
        <v>0</v>
      </c>
      <c r="DQ112" s="116">
        <f t="shared" ref="DQ112:DW112" ca="1" si="414">SUM(DQ109:DQ111)</f>
        <v>0</v>
      </c>
      <c r="DR112" s="116">
        <f t="shared" ca="1" si="414"/>
        <v>68188.695166682039</v>
      </c>
      <c r="DS112" s="116">
        <f t="shared" ca="1" si="414"/>
        <v>68188.695166682039</v>
      </c>
      <c r="DT112" s="116">
        <f t="shared" ca="1" si="414"/>
        <v>68188.695166682039</v>
      </c>
      <c r="DU112" s="116">
        <f t="shared" ca="1" si="414"/>
        <v>68188.695166682039</v>
      </c>
      <c r="DV112" s="116">
        <f t="shared" ca="1" si="414"/>
        <v>68188.695166682039</v>
      </c>
      <c r="DW112" s="116">
        <f t="shared" ca="1" si="414"/>
        <v>68188.695166682039</v>
      </c>
      <c r="DX112" s="116">
        <f t="shared" ref="DX112:EC112" ca="1" si="415">SUM(DX109:DX111)</f>
        <v>0</v>
      </c>
      <c r="DY112" s="116">
        <f t="shared" ca="1" si="415"/>
        <v>0</v>
      </c>
      <c r="DZ112" s="116">
        <f t="shared" ca="1" si="415"/>
        <v>0</v>
      </c>
      <c r="EA112" s="116">
        <f t="shared" ca="1" si="415"/>
        <v>0</v>
      </c>
      <c r="EB112" s="116">
        <f t="shared" ca="1" si="415"/>
        <v>0</v>
      </c>
      <c r="EC112" s="116">
        <f t="shared" ca="1" si="415"/>
        <v>0</v>
      </c>
      <c r="ED112" s="116">
        <f ca="1">SUM(ED109:ED111)</f>
        <v>0</v>
      </c>
      <c r="EH112" s="21" t="str">
        <f>A111</f>
        <v xml:space="preserve">   Disposal</v>
      </c>
      <c r="EI112" s="71">
        <f>[7]Vehi_ADR!$I$125/([7]Vehi_Inputs!$C$18*Convert!$G$10)</f>
        <v>153.35318310942364</v>
      </c>
      <c r="EJ112" s="71">
        <f>[5]Vehi_ADR!$I$125/([5]Vehi_Inputs!$C$18*Convert!$G$10)</f>
        <v>153.35318310942364</v>
      </c>
      <c r="EK112" s="74" t="s">
        <v>927</v>
      </c>
    </row>
    <row r="113" spans="1:154" x14ac:dyDescent="0.3">
      <c r="AO113" s="93"/>
      <c r="AP113" s="93"/>
      <c r="AQ113" s="93"/>
      <c r="AR113" s="93"/>
      <c r="AS113" s="93"/>
      <c r="AT113" s="93"/>
      <c r="AU113" s="93"/>
      <c r="AV113" s="93"/>
      <c r="AW113" s="93"/>
      <c r="AX113" s="93"/>
      <c r="AY113" s="93"/>
      <c r="AZ113" s="93"/>
      <c r="BA113" s="93"/>
      <c r="BB113" s="93"/>
      <c r="BC113" s="93"/>
      <c r="BD113" s="93"/>
      <c r="BE113" s="93"/>
      <c r="BF113" s="93"/>
      <c r="BG113" s="93"/>
      <c r="BH113" s="93"/>
      <c r="BI113" s="93"/>
      <c r="BJ113" s="93"/>
      <c r="BK113" s="93"/>
      <c r="BL113" s="93"/>
      <c r="BM113" s="93"/>
      <c r="BN113" s="93"/>
      <c r="BO113" s="93"/>
      <c r="BP113" s="93"/>
      <c r="BQ113" s="93"/>
      <c r="BR113" s="93"/>
      <c r="BS113" s="93"/>
      <c r="BT113" s="93"/>
      <c r="BU113" s="93"/>
      <c r="BV113" s="93"/>
      <c r="BW113" s="93"/>
      <c r="BX113" s="93"/>
      <c r="BY113" s="93"/>
      <c r="BZ113" s="93"/>
      <c r="CA113" s="93"/>
      <c r="CB113" s="93"/>
      <c r="CC113" s="93"/>
      <c r="CD113" s="93"/>
      <c r="CE113" s="93"/>
      <c r="CF113" s="93"/>
      <c r="CG113" s="93"/>
      <c r="CH113" s="93"/>
      <c r="CI113" s="93"/>
      <c r="CJ113" s="93"/>
      <c r="CK113" s="93"/>
      <c r="CL113" s="93"/>
      <c r="CM113" s="93"/>
      <c r="CN113" s="93"/>
      <c r="CO113" s="93"/>
      <c r="CP113" s="93"/>
      <c r="CQ113" s="93"/>
      <c r="CR113" s="93"/>
      <c r="CS113" s="93"/>
      <c r="CT113" s="93"/>
      <c r="CU113" s="93"/>
      <c r="CV113" s="93"/>
      <c r="CW113" s="93"/>
      <c r="CX113" s="93"/>
      <c r="CY113" s="93"/>
      <c r="CZ113" s="93"/>
      <c r="DA113" s="93"/>
      <c r="DB113" s="93"/>
      <c r="DC113" s="93"/>
      <c r="DD113" s="93"/>
      <c r="DE113" s="93"/>
      <c r="DF113" s="93"/>
      <c r="DG113" s="93"/>
      <c r="DH113" s="93"/>
      <c r="DI113" s="93"/>
      <c r="DJ113" s="93"/>
    </row>
    <row r="114" spans="1:154" x14ac:dyDescent="0.3">
      <c r="A114" s="21" t="s">
        <v>173</v>
      </c>
      <c r="B114" s="21" t="s">
        <v>343</v>
      </c>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EH114" s="21" t="s">
        <v>165</v>
      </c>
      <c r="EI114" s="21" t="s">
        <v>915</v>
      </c>
      <c r="EJ114" s="21" t="s">
        <v>154</v>
      </c>
      <c r="EK114" s="21" t="s">
        <v>124</v>
      </c>
      <c r="EL114" s="21" t="s">
        <v>155</v>
      </c>
      <c r="EM114" s="21" t="s">
        <v>156</v>
      </c>
      <c r="EN114" s="21" t="s">
        <v>157</v>
      </c>
      <c r="EO114" s="21" t="s">
        <v>158</v>
      </c>
      <c r="EP114" s="21" t="s">
        <v>159</v>
      </c>
      <c r="EQ114" s="21" t="s">
        <v>160</v>
      </c>
      <c r="ER114" s="21" t="s">
        <v>161</v>
      </c>
    </row>
    <row r="115" spans="1:154" x14ac:dyDescent="0.3">
      <c r="A115" s="21" t="s">
        <v>134</v>
      </c>
      <c r="D115" s="115">
        <f>D$3*D$8*(1-$D$22)*D86+D$3*D$8*$D$22*D87+D$3*D$9*D88+D$3*D$10*D89+D$3*D$11*(1-$D$23)*D90+D$3*D$11*$D$23*D91+D$3*D$12*(1-$D$24)*D92+D$3*D$12*$D$24*D93+D$3*D$13*D94+D$3*D$14*D95+D$3*D$15*D96+D$3*D$16*D97+D$3*D$17*D98+D$3*D$18*D99+D139</f>
        <v>123427.93650570852</v>
      </c>
      <c r="E115" s="115">
        <f t="shared" ref="E115:P115" si="416">E$3*E$8*(1-$D$22)*E86+E$3*E$8*$D$22*E87+E$3*E$9*E88+E$3*E$10*E89+E$3*E$11*(1-$D$23)*E90+E$3*E$11*$D$23*E91+E$3*E$12*(1-$D$24)*E92+E$3*E$12*$D$24*E93+E$3*E$13*E94+E$3*E$14*E95+E$3*E$15*E96+E$3*E$16*E97+E$3*E$17*E98+E$3*E$18*E99+E139</f>
        <v>154284.92063213565</v>
      </c>
      <c r="F115" s="115">
        <f t="shared" si="416"/>
        <v>62910.338509754431</v>
      </c>
      <c r="G115" s="115">
        <f t="shared" si="416"/>
        <v>123427.93650570852</v>
      </c>
      <c r="H115" s="115">
        <f t="shared" si="416"/>
        <v>123427.93650570852</v>
      </c>
      <c r="I115" s="115">
        <f t="shared" ref="I115" si="417">I$3*I$8*(1-$D$22)*I86+I$3*I$8*$D$22*I87+I$3*I$9*I88+I$3*I$10*I89+I$3*I$11*(1-$D$23)*I90+I$3*I$11*$D$23*I91+I$3*I$12*(1-$D$24)*I92+I$3*I$12*$D$24*I93+I$3*I$13*I94+I$3*I$14*I95+I$3*I$15*I96+I$3*I$16*I97+I$3*I$17*I98+I$3*I$18*I99+I139</f>
        <v>123427.93650570852</v>
      </c>
      <c r="J115" s="115">
        <f t="shared" si="416"/>
        <v>123427.93650570852</v>
      </c>
      <c r="K115" s="115">
        <f t="shared" si="416"/>
        <v>123427.93650570852</v>
      </c>
      <c r="L115" s="115">
        <f t="shared" si="416"/>
        <v>123427.93650570852</v>
      </c>
      <c r="M115" s="115">
        <f t="shared" si="416"/>
        <v>123427.93650570852</v>
      </c>
      <c r="N115" s="115">
        <f t="shared" si="416"/>
        <v>123427.93650570852</v>
      </c>
      <c r="O115" s="115">
        <f t="shared" si="416"/>
        <v>123427.93650570852</v>
      </c>
      <c r="P115" s="115">
        <f t="shared" si="416"/>
        <v>123427.93650570852</v>
      </c>
      <c r="Q115" s="115">
        <f t="shared" ref="Q115:V115" si="418">Q$3*Q$8*(1-$D$22)*Q86+Q$3*Q$8*$D$22*Q87+Q$3*Q$9*Q88+Q$3*Q$10*Q89+Q$3*Q$11*(1-$D$23)*Q90+Q$3*Q$11*$D$23*Q91+Q$3*Q$12*(1-$D$24)*Q92+Q$3*Q$12*$D$24*Q93+Q$3*Q$13*Q94+Q$3*Q$14*Q95+Q$3*Q$15*Q96+Q$3*Q$16*Q97+Q$3*Q$17*Q98+Q$3*Q$18*Q99+Q139</f>
        <v>123427.93650570852</v>
      </c>
      <c r="R115" s="115">
        <f t="shared" si="418"/>
        <v>123427.93650570852</v>
      </c>
      <c r="S115" s="115">
        <f t="shared" si="418"/>
        <v>154284.92063213565</v>
      </c>
      <c r="T115" s="115">
        <f t="shared" si="418"/>
        <v>62910.338509754431</v>
      </c>
      <c r="U115" s="115">
        <f t="shared" si="418"/>
        <v>123427.93650570852</v>
      </c>
      <c r="V115" s="115">
        <f t="shared" si="418"/>
        <v>123427.93650570852</v>
      </c>
      <c r="W115" s="115">
        <f t="shared" ref="W115:BT115" si="419">W$3*W$8*(1-$D$22)*W86+W$3*W$8*$D$22*W87+W$3*W$9*W88+W$3*W$10*W89+W$3*W$11*(1-$D$23)*W90+W$3*W$11*$D$23*W91+W$3*W$12*(1-$D$24)*W92+W$3*W$12*$D$24*W93+W$3*W$13*W94+W$3*W$14*W95+W$3*W$15*W96+W$3*W$16*W97+W$3*W$17*W98+W$3*W$18*W99+W139</f>
        <v>123427.93650570852</v>
      </c>
      <c r="X115" s="115">
        <f>X$3*X$8*(1-$D$22)*X86+X$3*X$8*$D$22*X87+X$3*X$9*X88+X$3*X$10*X89+X$3*X$11*(1-$D$23)*X90+X$3*X$11*$D$23*X91+X$3*X$12*(1-$D$24)*X92+X$3*X$12*$D$24*X93+X$3*X$13*X94+X$3*X$14*X95+X$3*X$15*X96+X$3*X$16*X97+X$3*X$17*X98+X$3*X$18*X99+X139</f>
        <v>143153.96834707478</v>
      </c>
      <c r="Y115" s="115">
        <f>Y$3*Y$8*(1-$D$22)*Y86+Y$3*Y$8*$D$22*Y87+Y$3*Y$9*Y88+Y$3*Y$10*Y89+Y$3*Y$11*(1-$D$23)*Y90+Y$3*Y$11*$D$23*Y91+Y$3*Y$12*(1-$D$24)*Y92+Y$3*Y$12*$D$24*Y93+Y$3*Y$13*Y94+Y$3*Y$14*Y95+Y$3*Y$15*Y96+Y$3*Y$16*Y97+Y$3*Y$17*Y98+Y$3*Y$18*Y99+Y139</f>
        <v>268502.19706083118</v>
      </c>
      <c r="Z115" s="115">
        <f>Z$3*Z$8*(1-$D$22)*Z86+Z$3*Z$8*$D$22*Z87+Z$3*Z$9*Z88+Z$3*Z$10*Z89+Z$3*Z$11*(1-$D$23)*Z90+Z$3*Z$11*$D$23*Z91+Z$3*Z$12*(1-$D$24)*Z92+Z$3*Z$12*$D$24*Z93+Z$3*Z$13*Z94+Z$3*Z$14*Z95+Z$3*Z$15*Z96+Z$3*Z$16*Z97+Z$3*Z$17*Z98+Z$3*Z$18*Z99+Z139</f>
        <v>268502.19706083118</v>
      </c>
      <c r="AA115" s="115">
        <f>AA$3*AA$8*(1-$D$22)*AA86+AA$3*AA$8*$D$22*AA87+AA$3*AA$9*AA88+AA$3*AA$10*AA89+AA$3*AA$11*(1-$D$23)*AA90+AA$3*AA$11*$D$23*AA91+AA$3*AA$12*(1-$D$24)*AA92+AA$3*AA$12*$D$24*AA93+AA$3*AA$13*AA94+AA$3*AA$14*AA95+AA$3*AA$15*AA96+AA$3*AA$16*AA97+AA$3*AA$17*AA98+AA$3*AA$18*AA99+AA139</f>
        <v>268502.19706083118</v>
      </c>
      <c r="AB115" s="115">
        <f t="shared" ref="AB115:AC115" si="420">AB$3*AB$8*(1-$D$22)*AB86+AB$3*AB$8*$D$22*AB87+AB$3*AB$9*AB88+AB$3*AB$10*AB89+AB$3*AB$11*(1-$D$23)*AB90+AB$3*AB$11*$D$23*AB91+AB$3*AB$12*(1-$D$24)*AB92+AB$3*AB$12*$D$24*AB93+AB$3*AB$13*AB94+AB$3*AB$14*AB95+AB$3*AB$15*AB96+AB$3*AB$16*AB97+AB$3*AB$17*AB98+AB$3*AB$18*AB99+AB139</f>
        <v>143153.96834707478</v>
      </c>
      <c r="AC115" s="115">
        <f t="shared" si="420"/>
        <v>268502.19706083118</v>
      </c>
      <c r="AD115" s="115">
        <f t="shared" ref="AD115" si="421">AD$3*AD$8*(1-$D$22)*AD86+AD$3*AD$8*$D$22*AD87+AD$3*AD$9*AD88+AD$3*AD$10*AD89+AD$3*AD$11*(1-$D$23)*AD90+AD$3*AD$11*$D$23*AD91+AD$3*AD$12*(1-$D$24)*AD92+AD$3*AD$12*$D$24*AD93+AD$3*AD$13*AD94+AD$3*AD$14*AD95+AD$3*AD$15*AD96+AD$3*AD$16*AD97+AD$3*AD$17*AD98+AD$3*AD$18*AD99+AD139</f>
        <v>268502.19706083118</v>
      </c>
      <c r="AE115" s="115">
        <f t="shared" ref="AE115" si="422">AE$3*AE$8*(1-$D$22)*AE86+AE$3*AE$8*$D$22*AE87+AE$3*AE$9*AE88+AE$3*AE$10*AE89+AE$3*AE$11*(1-$D$23)*AE90+AE$3*AE$11*$D$23*AE91+AE$3*AE$12*(1-$D$24)*AE92+AE$3*AE$12*$D$24*AE93+AE$3*AE$13*AE94+AE$3*AE$14*AE95+AE$3*AE$15*AE96+AE$3*AE$16*AE97+AE$3*AE$17*AE98+AE$3*AE$18*AE99+AE139</f>
        <v>268502.19706083118</v>
      </c>
      <c r="AF115" s="115">
        <f t="shared" si="419"/>
        <v>123427.93650570852</v>
      </c>
      <c r="AG115" s="115">
        <f t="shared" si="419"/>
        <v>72580.51631933765</v>
      </c>
      <c r="AH115" s="115">
        <f t="shared" si="419"/>
        <v>89948.735585001399</v>
      </c>
      <c r="AI115" s="115">
        <f t="shared" si="419"/>
        <v>92063.271483901859</v>
      </c>
      <c r="AJ115" s="115">
        <f t="shared" si="419"/>
        <v>103666.33881890685</v>
      </c>
      <c r="AK115" s="115">
        <f t="shared" si="419"/>
        <v>270304.25400998758</v>
      </c>
      <c r="AL115" s="115">
        <f t="shared" si="419"/>
        <v>248454.2028964434</v>
      </c>
      <c r="AM115" s="115">
        <f t="shared" si="419"/>
        <v>270304.25400998758</v>
      </c>
      <c r="AN115" s="115">
        <f t="shared" si="419"/>
        <v>248454.2028964434</v>
      </c>
      <c r="AO115" s="115">
        <f t="shared" si="419"/>
        <v>4503470.1704088394</v>
      </c>
      <c r="AP115" s="115">
        <f t="shared" si="419"/>
        <v>4761901.3264313973</v>
      </c>
      <c r="AQ115" s="115">
        <f t="shared" si="419"/>
        <v>4998982.5101468973</v>
      </c>
      <c r="AR115" s="115">
        <f t="shared" si="419"/>
        <v>4419242.1430152245</v>
      </c>
      <c r="AS115" s="115">
        <f t="shared" si="419"/>
        <v>4419242.1430152245</v>
      </c>
      <c r="AT115" s="115">
        <f t="shared" si="419"/>
        <v>4419242.1430152245</v>
      </c>
      <c r="AU115" s="115">
        <f t="shared" si="419"/>
        <v>4039709.8934013513</v>
      </c>
      <c r="AV115" s="115">
        <f t="shared" si="419"/>
        <v>4419242.1430152245</v>
      </c>
      <c r="AW115" s="115">
        <f t="shared" si="419"/>
        <v>4419242.1430152245</v>
      </c>
      <c r="AX115" s="115">
        <f t="shared" si="419"/>
        <v>4419242.1430152245</v>
      </c>
      <c r="AY115" s="115">
        <f t="shared" si="419"/>
        <v>8511233.9316534288</v>
      </c>
      <c r="AZ115" s="115">
        <f t="shared" si="419"/>
        <v>8511233.9316534288</v>
      </c>
      <c r="BA115" s="115">
        <f t="shared" si="419"/>
        <v>8511233.9316534288</v>
      </c>
      <c r="BB115" s="115">
        <f t="shared" si="419"/>
        <v>8511233.9316534288</v>
      </c>
      <c r="BC115" s="115">
        <f t="shared" si="419"/>
        <v>4503470.1704088394</v>
      </c>
      <c r="BD115" s="115">
        <f t="shared" si="419"/>
        <v>4503470.1704088394</v>
      </c>
      <c r="BE115" s="115">
        <f t="shared" si="419"/>
        <v>4503470.1704088394</v>
      </c>
      <c r="BF115" s="115">
        <f t="shared" si="419"/>
        <v>4503470.1704088394</v>
      </c>
      <c r="BG115" s="115">
        <f t="shared" si="419"/>
        <v>4503470.1704088394</v>
      </c>
      <c r="BH115" s="115">
        <f t="shared" si="419"/>
        <v>4503470.1704088394</v>
      </c>
      <c r="BI115" s="115">
        <f t="shared" si="419"/>
        <v>4503470.1704088394</v>
      </c>
      <c r="BJ115" s="115">
        <f t="shared" si="419"/>
        <v>4761901.3264313973</v>
      </c>
      <c r="BK115" s="115">
        <f t="shared" si="419"/>
        <v>4998982.5101468973</v>
      </c>
      <c r="BL115" s="115">
        <f t="shared" si="419"/>
        <v>4419242.1430152245</v>
      </c>
      <c r="BM115" s="115">
        <f t="shared" si="419"/>
        <v>4419242.1430152245</v>
      </c>
      <c r="BN115" s="115">
        <f t="shared" si="419"/>
        <v>4419242.1430152245</v>
      </c>
      <c r="BO115" s="115">
        <f t="shared" si="419"/>
        <v>4419242.1430152245</v>
      </c>
      <c r="BP115" s="115">
        <f t="shared" si="419"/>
        <v>4419242.1430152245</v>
      </c>
      <c r="BQ115" s="115">
        <f t="shared" si="419"/>
        <v>4039709.8934013513</v>
      </c>
      <c r="BR115" s="115">
        <f t="shared" si="419"/>
        <v>4419242.1430152245</v>
      </c>
      <c r="BS115" s="115">
        <f t="shared" si="419"/>
        <v>4419242.1430152245</v>
      </c>
      <c r="BT115" s="115">
        <f t="shared" si="419"/>
        <v>4419242.1430152245</v>
      </c>
      <c r="BU115" s="115">
        <f t="shared" ref="BU115:CL115" si="423">BU$3*BU$8*(1-$D$22)*BU86+BU$3*BU$8*$D$22*BU87+BU$3*BU$9*BU88+BU$3*BU$10*BU89+BU$3*BU$11*(1-$D$23)*BU90+BU$3*BU$11*$D$23*BU91+BU$3*BU$12*(1-$D$24)*BU92+BU$3*BU$12*$D$24*BU93+BU$3*BU$13*BU94+BU$3*BU$14*BU95+BU$3*BU$15*BU96+BU$3*BU$16*BU97+BU$3*BU$17*BU98+BU$3*BU$18*BU99+BU139</f>
        <v>4419242.1430152245</v>
      </c>
      <c r="BV115" s="115">
        <f t="shared" si="423"/>
        <v>4419242.1430152245</v>
      </c>
      <c r="BW115" s="115">
        <f t="shared" si="423"/>
        <v>4419242.1430152245</v>
      </c>
      <c r="BX115" s="115">
        <f t="shared" si="423"/>
        <v>4419242.1430152245</v>
      </c>
      <c r="BY115" s="115">
        <f t="shared" si="423"/>
        <v>4419242.1430152245</v>
      </c>
      <c r="BZ115" s="115">
        <f t="shared" si="423"/>
        <v>4039709.8934013513</v>
      </c>
      <c r="CA115" s="115">
        <f t="shared" si="423"/>
        <v>4419242.1430152245</v>
      </c>
      <c r="CB115" s="115">
        <f t="shared" si="423"/>
        <v>4419242.1430152245</v>
      </c>
      <c r="CC115" s="115">
        <f t="shared" si="423"/>
        <v>4419242.1430152245</v>
      </c>
      <c r="CD115" s="115">
        <f t="shared" si="423"/>
        <v>8511233.9316534288</v>
      </c>
      <c r="CE115" s="115">
        <f t="shared" si="423"/>
        <v>8511233.9316534288</v>
      </c>
      <c r="CF115" s="115">
        <f t="shared" si="423"/>
        <v>8511233.9316534288</v>
      </c>
      <c r="CG115" s="115">
        <f t="shared" si="423"/>
        <v>8511233.9316534288</v>
      </c>
      <c r="CH115" s="115">
        <f t="shared" si="423"/>
        <v>4503470.1704088394</v>
      </c>
      <c r="CI115" s="115">
        <f t="shared" si="423"/>
        <v>4761901.3264313973</v>
      </c>
      <c r="CJ115" s="115">
        <f t="shared" si="423"/>
        <v>4998982.5101468973</v>
      </c>
      <c r="CK115" s="115">
        <f t="shared" si="423"/>
        <v>4419242.1430152245</v>
      </c>
      <c r="CL115" s="115">
        <f t="shared" si="423"/>
        <v>4419242.1430152245</v>
      </c>
      <c r="CM115" s="115">
        <f t="shared" ref="CM115:DF115" si="424">CM$3*CM$8*(1-$D$22)*CM86+CM$3*CM$8*$D$22*CM87+CM$3*CM$9*CM88+CM$3*CM$10*CM89+CM$3*CM$11*(1-$D$23)*CM90+CM$3*CM$11*$D$23*CM91+CM$3*CM$12*(1-$D$24)*CM92+CM$3*CM$12*$D$24*CM93+CM$3*CM$13*CM94+CM$3*CM$14*CM95+CM$3*CM$15*CM96+CM$3*CM$16*CM97+CM$3*CM$17*CM98+CM$3*CM$18*CM99+CM139</f>
        <v>8511233.9316534288</v>
      </c>
      <c r="CN115" s="115">
        <f t="shared" si="424"/>
        <v>5592253.6524951607</v>
      </c>
      <c r="CO115" s="115">
        <f t="shared" si="424"/>
        <v>5920535.8648318183</v>
      </c>
      <c r="CP115" s="115">
        <f t="shared" si="424"/>
        <v>6089629.0988559583</v>
      </c>
      <c r="CQ115" s="115">
        <f t="shared" si="424"/>
        <v>5505772.6586680626</v>
      </c>
      <c r="CR115" s="115">
        <f t="shared" si="424"/>
        <v>10661179.813609336</v>
      </c>
      <c r="CS115" s="115">
        <f t="shared" si="424"/>
        <v>5592253.6524951607</v>
      </c>
      <c r="CT115" s="115">
        <f t="shared" si="424"/>
        <v>5920535.8648318183</v>
      </c>
      <c r="CU115" s="115">
        <f t="shared" si="424"/>
        <v>6089629.0988559583</v>
      </c>
      <c r="CV115" s="115">
        <f t="shared" si="424"/>
        <v>5505772.6586680626</v>
      </c>
      <c r="CW115" s="115">
        <f t="shared" si="424"/>
        <v>5505772.6586680626</v>
      </c>
      <c r="CX115" s="115">
        <f t="shared" si="424"/>
        <v>10661179.813609336</v>
      </c>
      <c r="CY115" s="115">
        <f t="shared" si="424"/>
        <v>5592253.6524951607</v>
      </c>
      <c r="CZ115" s="115">
        <f t="shared" si="424"/>
        <v>5920535.8648318183</v>
      </c>
      <c r="DA115" s="115">
        <f t="shared" si="424"/>
        <v>6089629.0988559583</v>
      </c>
      <c r="DB115" s="115">
        <f t="shared" si="424"/>
        <v>5505772.6586680626</v>
      </c>
      <c r="DC115" s="115">
        <f t="shared" si="424"/>
        <v>5505772.6586680626</v>
      </c>
      <c r="DD115" s="115">
        <f t="shared" si="424"/>
        <v>10661179.813609336</v>
      </c>
      <c r="DE115" s="115">
        <f t="shared" si="424"/>
        <v>11328302.154663028</v>
      </c>
      <c r="DF115" s="115">
        <f t="shared" si="424"/>
        <v>11466833.325771604</v>
      </c>
      <c r="DG115" s="115"/>
      <c r="DH115" s="115">
        <f>DH$3*DH$8*(1-$D$22)*DH86+DH$3*DH$8*$D$22*DH87+DH$3*DH$9*DH88+DH$3*DH$10*DH89+DH$3*DH$11*(1-$D$23)*DH90+DH$3*DH$11*$D$23*DH91+DH$3*DH$12*(1-$D$24)*DH92+DH$3*DH$12*$D$24*DH93+DH$3*DH$13*DH94+DH$3*DH$14*DH95+DH$3*DH$15*DH96+DH$3*DH$16*DH97+DH$3*DH$17*DH98+DH$3*DH$18*DH99+DH139</f>
        <v>12948106.656859081</v>
      </c>
      <c r="DI115" s="115">
        <f>DI$3*DI$8*(1-$D$22)*DI86+DI$3*DI$8*$D$22*DI87+DI$3*DI$9*DI88+DI$3*DI$10*DI89+DI$3*DI$11*(1-$D$23)*DI90+DI$3*DI$11*$D$23*DI91+DI$3*DI$12*(1-$D$24)*DI92+DI$3*DI$12*$D$24*DI93+DI$3*DI$13*DI94+DI$3*DI$14*DI95+DI$3*DI$15*DI96+DI$3*DI$16*DI97+DI$3*DI$17*DI98+DI$3*DI$18*DI99+DI139</f>
        <v>12948106.656859081</v>
      </c>
      <c r="DJ115" s="115">
        <f>DJ$3*DJ$8*(1-$D$22)*DJ86+DJ$3*DJ$8*$D$22*DJ87+DJ$3*DJ$9*DJ88+DJ$3*DJ$10*DJ89+DJ$3*DJ$11*(1-$D$23)*DJ90+DJ$3*DJ$11*$D$23*DJ91+DJ$3*DJ$12*(1-$D$24)*DJ92+DJ$3*DJ$12*$D$24*DJ93+DJ$3*DJ$13*DJ94+DJ$3*DJ$14*DJ95+DJ$3*DJ$15*DJ96+DJ$3*DJ$16*DJ97+DJ$3*DJ$17*DJ98+DJ$3*DJ$18*DJ99+DJ139</f>
        <v>20498351.578362182</v>
      </c>
      <c r="DK115" s="115">
        <f t="shared" ref="DK115:DP115" si="425">DK$3*DK$8*(1-$D$22)*DK86+DK$3*DK$8*$D$22*DK87+DK$3*DK$9*DK88+DK$3*DK$10*DK89+DK$3*DK$11*(1-$D$23)*DK90+DK$3*DK$11*$D$23*DK91+DK$3*DK$12*(1-$D$24)*DK92+DK$3*DK$12*$D$24*DK93+DK$3*DK$13*DK94+DK$3*DK$14*DK95+DK$3*DK$15*DK96+DK$3*DK$16*DK97+DK$3*DK$17*DK98+DK$3*DK$18*DK99+DK139</f>
        <v>43508895.627887554</v>
      </c>
      <c r="DL115" s="115">
        <f t="shared" si="425"/>
        <v>43508895.627887554</v>
      </c>
      <c r="DM115" s="115">
        <f>DM$3*DM$8*(1-$D$22)*DM86+DM$3*DM$8*$D$22*DM87+DM$3*DM$9*DM88+DM$3*DM$10*DM89+DM$3*DM$11*(1-$D$23)*DM90+DM$3*DM$11*$D$23*DM91+DM$3*DM$12*(1-$D$24)*DM92+DM$3*DM$12*$D$24*DM93+DM$3*DM$13*DM94+DM$3*DM$14*DM95+DM$3*DM$15*DM96+DM$3*DM$16*DM97+DM$3*DM$17*DM98+DM$3*DM$18*DM99+DM139</f>
        <v>43508895.627887554</v>
      </c>
      <c r="DN115" s="115">
        <f t="shared" si="425"/>
        <v>43508895.627887554</v>
      </c>
      <c r="DO115" s="115">
        <f t="shared" si="425"/>
        <v>43508895.627887554</v>
      </c>
      <c r="DP115" s="115">
        <f t="shared" si="425"/>
        <v>43508895.627887554</v>
      </c>
      <c r="DQ115" s="115">
        <f t="shared" ref="DQ115:DW115" si="426">DQ$3*DQ$8*(1-$D$22)*DQ86+DQ$3*DQ$8*$D$22*DQ87+DQ$3*DQ$9*DQ88+DQ$3*DQ$10*DQ89+DQ$3*DQ$11*(1-$D$23)*DQ90+DQ$3*DQ$11*$D$23*DQ91+DQ$3*DQ$12*(1-$D$24)*DQ92+DQ$3*DQ$12*$D$24*DQ93+DQ$3*DQ$13*DQ94+DQ$3*DQ$14*DQ95+DQ$3*DQ$15*DQ96+DQ$3*DQ$16*DQ97+DQ$3*DQ$17*DQ98+DQ$3*DQ$18*DQ99+DQ139</f>
        <v>43508895.627887554</v>
      </c>
      <c r="DR115" s="115">
        <f t="shared" si="426"/>
        <v>41996895.627887554</v>
      </c>
      <c r="DS115" s="115">
        <f t="shared" si="426"/>
        <v>60324009.301705748</v>
      </c>
      <c r="DT115" s="115">
        <f t="shared" si="426"/>
        <v>60324009.301705748</v>
      </c>
      <c r="DU115" s="115">
        <f t="shared" si="426"/>
        <v>60324009.301705748</v>
      </c>
      <c r="DV115" s="115">
        <f t="shared" si="426"/>
        <v>62962969.298040643</v>
      </c>
      <c r="DW115" s="115">
        <f t="shared" si="426"/>
        <v>62643753.066449702</v>
      </c>
      <c r="DX115" s="115">
        <f t="shared" ref="DX115:EC115" si="427">DX$3*DX$8*(1-$D$22)*DX86+DX$3*DX$8*$D$22*DX87+DX$3*DX$9*DX88+DX$3*DX$10*DX89+DX$3*DX$11*(1-$D$23)*DX90+DX$3*DX$11*$D$23*DX91+DX$3*DX$12*(1-$D$24)*DX92+DX$3*DX$12*$D$24*DX93+DX$3*DX$13*DX94+DX$3*DX$14*DX95+DX$3*DX$15*DX96+DX$3*DX$16*DX97+DX$3*DX$17*DX98+DX$3*DX$18*DX99+DX139</f>
        <v>873291603.94313657</v>
      </c>
      <c r="DY115" s="115">
        <f t="shared" si="427"/>
        <v>873291603.94313657</v>
      </c>
      <c r="DZ115" s="115">
        <f t="shared" si="427"/>
        <v>873291603.94313657</v>
      </c>
      <c r="EA115" s="115">
        <f t="shared" si="427"/>
        <v>873291603.94313657</v>
      </c>
      <c r="EB115" s="115">
        <f t="shared" si="427"/>
        <v>873291603.94313657</v>
      </c>
      <c r="EC115" s="115">
        <f t="shared" si="427"/>
        <v>873291603.94313657</v>
      </c>
      <c r="ED115" s="115">
        <f>ED$3*ED$8*(1-$D$22)*ED86+ED$3*ED$8*$D$22*ED87+ED$3*ED$9*ED88+ED$3*ED$10*ED89+ED$3*ED$11*(1-$D$23)*ED90+ED$3*ED$11*$D$23*ED91+ED$3*ED$12*(1-$D$24)*ED92+ED$3*ED$12*$D$24*ED93+ED$3*ED$13*ED94+ED$3*ED$14*ED95+ED$3*ED$15*ED96+ED$3*ED$16*ED97+ED$3*ED$17*ED98+ED$3*ED$18*ED99+ED139</f>
        <v>873291603.94313657</v>
      </c>
      <c r="EH115" s="21" t="str">
        <f>[5]Battery_Sum!$A$200</f>
        <v>Total Emissions: grams per vehicle lifetime</v>
      </c>
      <c r="EI115" s="21" t="s">
        <v>951</v>
      </c>
      <c r="EJ115" s="297">
        <f>(([7]Battery_Sum!H$176*([7]Mat_Sum!$BD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1473442.4041163151</v>
      </c>
      <c r="EK115" s="296">
        <f>(([7]Battery_Sum!H$176*([7]Mat_Sum!$BF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2102479.095876358</v>
      </c>
      <c r="EL115" s="62">
        <f>(([7]Battery_Sum!H$176*([7]Mat_Sum!$BK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1498720.0654745686</v>
      </c>
      <c r="EM115" s="62">
        <f>(([7]Battery_Sum!H$176*([7]Mat_Sum!$BL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1426779.7759854549</v>
      </c>
      <c r="EN115" s="62">
        <f>(([7]Battery_Sum!H$176*([7]Mat_Sum!$BG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2109288.5643534851</v>
      </c>
      <c r="EO115" s="62">
        <f>(([7]Battery_Sum!H$176*([7]Mat_Sum!$BH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2108573.3561928202</v>
      </c>
      <c r="EP115" s="62">
        <f>(([7]Battery_Sum!H$176*([7]Mat_Sum!$BJ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1715155.7425372568</v>
      </c>
      <c r="EQ115" s="62">
        <f>EP115</f>
        <v>1715155.7425372568</v>
      </c>
      <c r="ER115" s="62">
        <f>(([7]Battery_Sum!H$176*([7]Mat_Sum!$BO34+[7]Mat_Sum!$BP34*[7]LiMn2O4!$E$9)+[7]Battery_Sum!H$177*[7]Mat_Sum!$BQ34+[7]Battery_Sum!H$178*[7]Mat_Sum!$BY34+[7]Battery_Sum!H$179*[7]Mat_Sum!$BR34+[7]Battery_Sum!H$180*[7]Mat_Sum!$Z34+[7]Battery_Sum!H$181*[7]Mat_Sum!$I34+[7]Battery_Sum!H$182*[7]Mat_Sum!$L34+[7]Battery_Sum!H$183*[7]Mat_Sum!$BS34+[7]Battery_Sum!H$184*[7]Mat_Sum!$BT34+[7]Battery_Sum!H$185*[7]Mat_Sum!$BU34+[7]Battery_Sum!H$186*[7]Mat_Sum!$AJ34+[7]Battery_Sum!H$187*[7]Mat_Sum!$AH34+[7]Battery_Sum!H$188*[7]Mat_Sum!$AI34+[7]Battery_Sum!H$189*[7]Mat_Sum!$D34+[7]Battery_Sum!H$190*[7]Mat_Sum!$AX34+[7]Battery_Sum!H$191*[7]Mat_Sum!$BW34+[7]Battery_Sum!H$192*[7]Mat_Sum!$BV34))*1</f>
        <v>2174508.7671961817</v>
      </c>
    </row>
    <row r="116" spans="1:154" x14ac:dyDescent="0.3">
      <c r="A116" s="21" t="s">
        <v>132</v>
      </c>
      <c r="D116" s="115">
        <f>D103*D$3</f>
        <v>5861.1223086925356</v>
      </c>
      <c r="E116" s="115">
        <f t="shared" ref="E116:R116" si="428">E103*E$3</f>
        <v>7326.4028858656693</v>
      </c>
      <c r="F116" s="115">
        <f t="shared" si="428"/>
        <v>5861.1223086925356</v>
      </c>
      <c r="G116" s="115">
        <f t="shared" si="428"/>
        <v>5861.1223086925356</v>
      </c>
      <c r="H116" s="115">
        <f t="shared" si="428"/>
        <v>5861.1223086925356</v>
      </c>
      <c r="I116" s="115">
        <f t="shared" ref="I116" si="429">I103*I$3</f>
        <v>5861.1223086925356</v>
      </c>
      <c r="J116" s="115">
        <f t="shared" si="428"/>
        <v>5861.1223086925356</v>
      </c>
      <c r="K116" s="115">
        <f t="shared" si="428"/>
        <v>5861.1223086925356</v>
      </c>
      <c r="L116" s="115">
        <f t="shared" si="428"/>
        <v>5861.1223086925356</v>
      </c>
      <c r="M116" s="115">
        <f t="shared" si="428"/>
        <v>5861.1223086925356</v>
      </c>
      <c r="N116" s="115">
        <f t="shared" si="428"/>
        <v>5861.1223086925356</v>
      </c>
      <c r="O116" s="115">
        <f t="shared" si="428"/>
        <v>5861.1223086925356</v>
      </c>
      <c r="P116" s="115">
        <f t="shared" si="428"/>
        <v>5861.1223086925356</v>
      </c>
      <c r="Q116" s="115">
        <f>Q103*Q$3</f>
        <v>5861.1223086925356</v>
      </c>
      <c r="R116" s="115">
        <f t="shared" si="428"/>
        <v>5861.1223086925356</v>
      </c>
      <c r="S116" s="115">
        <f t="shared" ref="S116:V117" si="430">S103*S$3</f>
        <v>7326.4028858656693</v>
      </c>
      <c r="T116" s="115">
        <f t="shared" si="430"/>
        <v>5861.1223086925356</v>
      </c>
      <c r="U116" s="115">
        <f t="shared" si="430"/>
        <v>5861.1223086925356</v>
      </c>
      <c r="V116" s="115">
        <f t="shared" si="430"/>
        <v>5861.1223086925356</v>
      </c>
      <c r="W116" s="115">
        <f t="shared" ref="W116:AX116" si="431">W103*W$3</f>
        <v>5861.1223086925356</v>
      </c>
      <c r="X116" s="115">
        <f t="shared" ref="X116:AA117" si="432">X103*X$3</f>
        <v>13270.118740864064</v>
      </c>
      <c r="Y116" s="115">
        <f t="shared" si="432"/>
        <v>13270.118740864064</v>
      </c>
      <c r="Z116" s="115">
        <f t="shared" si="432"/>
        <v>13270.118740864064</v>
      </c>
      <c r="AA116" s="115">
        <f t="shared" si="432"/>
        <v>13270.118740864064</v>
      </c>
      <c r="AB116" s="115">
        <f t="shared" ref="AB116:AC116" si="433">AB103*AB$3</f>
        <v>13270.118740864064</v>
      </c>
      <c r="AC116" s="115">
        <f t="shared" si="433"/>
        <v>13270.118740864064</v>
      </c>
      <c r="AD116" s="115">
        <f t="shared" ref="AD116" si="434">AD103*AD$3</f>
        <v>13270.118740864064</v>
      </c>
      <c r="AE116" s="115">
        <f t="shared" ref="AE116" si="435">AE103*AE$3</f>
        <v>13270.118740864064</v>
      </c>
      <c r="AF116" s="115">
        <f t="shared" si="431"/>
        <v>5861.1223086925356</v>
      </c>
      <c r="AG116" s="115">
        <f t="shared" si="431"/>
        <v>11119.96706400861</v>
      </c>
      <c r="AH116" s="115">
        <f t="shared" si="431"/>
        <v>12548.141175731891</v>
      </c>
      <c r="AI116" s="115">
        <f t="shared" si="431"/>
        <v>14345.73136072908</v>
      </c>
      <c r="AJ116" s="115">
        <f t="shared" si="431"/>
        <v>16607.989249826391</v>
      </c>
      <c r="AK116" s="115">
        <f t="shared" si="431"/>
        <v>50631.486089320766</v>
      </c>
      <c r="AL116" s="115">
        <f t="shared" si="431"/>
        <v>44635.537502995969</v>
      </c>
      <c r="AM116" s="115">
        <f t="shared" si="431"/>
        <v>50631.486089320766</v>
      </c>
      <c r="AN116" s="115">
        <f t="shared" si="431"/>
        <v>44635.537502995969</v>
      </c>
      <c r="AO116" s="115">
        <f t="shared" si="431"/>
        <v>804771.86869683384</v>
      </c>
      <c r="AP116" s="115">
        <f t="shared" si="431"/>
        <v>851832.32587587705</v>
      </c>
      <c r="AQ116" s="115">
        <f t="shared" si="431"/>
        <v>894922.86593989085</v>
      </c>
      <c r="AR116" s="115">
        <f t="shared" si="431"/>
        <v>750103.40517214441</v>
      </c>
      <c r="AS116" s="115">
        <f t="shared" si="431"/>
        <v>750103.40517214441</v>
      </c>
      <c r="AT116" s="115">
        <f t="shared" si="431"/>
        <v>750103.40517214441</v>
      </c>
      <c r="AU116" s="115">
        <f t="shared" si="431"/>
        <v>750103.40517214441</v>
      </c>
      <c r="AV116" s="115">
        <f t="shared" si="431"/>
        <v>750103.40517214441</v>
      </c>
      <c r="AW116" s="115">
        <f t="shared" si="431"/>
        <v>750103.40517214441</v>
      </c>
      <c r="AX116" s="115">
        <f t="shared" si="431"/>
        <v>750103.40517214441</v>
      </c>
      <c r="AY116" s="115">
        <f t="shared" ref="AY116:BH117" si="436">AY103*AY$3</f>
        <v>904152.08590099448</v>
      </c>
      <c r="AZ116" s="115">
        <f t="shared" si="436"/>
        <v>904152.08590099448</v>
      </c>
      <c r="BA116" s="115">
        <f t="shared" si="436"/>
        <v>904152.08590099448</v>
      </c>
      <c r="BB116" s="115">
        <f t="shared" si="436"/>
        <v>904152.08590099448</v>
      </c>
      <c r="BC116" s="115">
        <f t="shared" si="436"/>
        <v>804771.86869683384</v>
      </c>
      <c r="BD116" s="115">
        <f>BD103*BD$3</f>
        <v>804771.86869683384</v>
      </c>
      <c r="BE116" s="115">
        <f>BE103*BE$3</f>
        <v>804771.86869683384</v>
      </c>
      <c r="BF116" s="115">
        <f t="shared" si="436"/>
        <v>804771.86869683384</v>
      </c>
      <c r="BG116" s="115">
        <f t="shared" si="436"/>
        <v>804771.86869683384</v>
      </c>
      <c r="BH116" s="115">
        <f t="shared" si="436"/>
        <v>804771.86869683384</v>
      </c>
      <c r="BI116" s="115">
        <f t="shared" ref="BI116:BT116" si="437">BI103*BI$3</f>
        <v>804771.86869683384</v>
      </c>
      <c r="BJ116" s="115">
        <f t="shared" si="437"/>
        <v>851832.32587587705</v>
      </c>
      <c r="BK116" s="115">
        <f t="shared" si="437"/>
        <v>894922.86593989085</v>
      </c>
      <c r="BL116" s="115">
        <f t="shared" si="437"/>
        <v>750103.40517214441</v>
      </c>
      <c r="BM116" s="115">
        <f t="shared" si="437"/>
        <v>750103.40517214441</v>
      </c>
      <c r="BN116" s="115">
        <f t="shared" si="437"/>
        <v>750103.40517214441</v>
      </c>
      <c r="BO116" s="115">
        <f t="shared" si="437"/>
        <v>750103.40517214441</v>
      </c>
      <c r="BP116" s="115">
        <f t="shared" si="437"/>
        <v>750103.40517214441</v>
      </c>
      <c r="BQ116" s="115">
        <f t="shared" si="437"/>
        <v>750103.40517214441</v>
      </c>
      <c r="BR116" s="115">
        <f t="shared" si="437"/>
        <v>750103.40517214441</v>
      </c>
      <c r="BS116" s="115">
        <f t="shared" si="437"/>
        <v>750103.40517214441</v>
      </c>
      <c r="BT116" s="115">
        <f t="shared" si="437"/>
        <v>750103.40517214441</v>
      </c>
      <c r="BU116" s="115">
        <f t="shared" ref="BU116:CC116" si="438">BU103*BU$3</f>
        <v>750103.40517214441</v>
      </c>
      <c r="BV116" s="115">
        <f t="shared" si="438"/>
        <v>750103.40517214441</v>
      </c>
      <c r="BW116" s="115">
        <f t="shared" si="438"/>
        <v>750103.40517214441</v>
      </c>
      <c r="BX116" s="115">
        <f t="shared" si="438"/>
        <v>750103.40517214441</v>
      </c>
      <c r="BY116" s="115">
        <f t="shared" si="438"/>
        <v>750103.40517214441</v>
      </c>
      <c r="BZ116" s="115">
        <f t="shared" si="438"/>
        <v>750103.40517214441</v>
      </c>
      <c r="CA116" s="115">
        <f t="shared" si="438"/>
        <v>750103.40517214441</v>
      </c>
      <c r="CB116" s="115">
        <f t="shared" si="438"/>
        <v>750103.40517214441</v>
      </c>
      <c r="CC116" s="115">
        <f t="shared" si="438"/>
        <v>750103.40517214441</v>
      </c>
      <c r="CD116" s="115">
        <f t="shared" ref="CD116:CG117" si="439">CD103*CD$3</f>
        <v>904152.08590099448</v>
      </c>
      <c r="CE116" s="115">
        <f t="shared" si="439"/>
        <v>904152.08590099448</v>
      </c>
      <c r="CF116" s="115">
        <f t="shared" si="439"/>
        <v>904152.08590099448</v>
      </c>
      <c r="CG116" s="115">
        <f t="shared" si="439"/>
        <v>904152.08590099448</v>
      </c>
      <c r="CH116" s="115">
        <f t="shared" ref="CH116:CL117" si="440">CH103*CH$3</f>
        <v>804771.86869683384</v>
      </c>
      <c r="CI116" s="115">
        <f t="shared" si="440"/>
        <v>851832.32587587705</v>
      </c>
      <c r="CJ116" s="115">
        <f t="shared" si="440"/>
        <v>894922.86593989085</v>
      </c>
      <c r="CK116" s="115">
        <f t="shared" si="440"/>
        <v>750103.40517214441</v>
      </c>
      <c r="CL116" s="115">
        <f t="shared" si="440"/>
        <v>750103.40517214441</v>
      </c>
      <c r="CM116" s="115">
        <f t="shared" ref="CM116:CX116" si="441">CM103*CM$3</f>
        <v>904152.08590099448</v>
      </c>
      <c r="CN116" s="115">
        <f t="shared" si="441"/>
        <v>1022437.1749044665</v>
      </c>
      <c r="CO116" s="115">
        <f t="shared" si="441"/>
        <v>1078528.9009228104</v>
      </c>
      <c r="CP116" s="115">
        <f t="shared" si="441"/>
        <v>1129698.9172488274</v>
      </c>
      <c r="CQ116" s="115">
        <f t="shared" si="441"/>
        <v>957375.46209476702</v>
      </c>
      <c r="CR116" s="115">
        <f t="shared" si="441"/>
        <v>1151821.5241336299</v>
      </c>
      <c r="CS116" s="115">
        <f t="shared" si="441"/>
        <v>1022437.1749044665</v>
      </c>
      <c r="CT116" s="115">
        <f t="shared" si="441"/>
        <v>1078528.9009228104</v>
      </c>
      <c r="CU116" s="115">
        <f t="shared" si="441"/>
        <v>1129698.9172488274</v>
      </c>
      <c r="CV116" s="115">
        <f t="shared" si="441"/>
        <v>957375.46209476702</v>
      </c>
      <c r="CW116" s="115">
        <f t="shared" si="441"/>
        <v>957375.46209476702</v>
      </c>
      <c r="CX116" s="115">
        <f t="shared" si="441"/>
        <v>1151821.5241336299</v>
      </c>
      <c r="CY116" s="115">
        <f t="shared" ref="CY116:DC117" si="442">CY103*CY$3</f>
        <v>1022437.1749044665</v>
      </c>
      <c r="CZ116" s="115">
        <f t="shared" si="442"/>
        <v>1078528.9009228104</v>
      </c>
      <c r="DA116" s="115">
        <f t="shared" si="442"/>
        <v>1129698.9172488274</v>
      </c>
      <c r="DB116" s="115">
        <f t="shared" si="442"/>
        <v>957375.46209476702</v>
      </c>
      <c r="DC116" s="115">
        <f t="shared" si="442"/>
        <v>957375.46209476702</v>
      </c>
      <c r="DD116" s="115">
        <f t="shared" ref="DD116:DF117" si="443">DD103*DD$3</f>
        <v>1151821.5241336299</v>
      </c>
      <c r="DE116" s="115">
        <f t="shared" si="443"/>
        <v>1914397.9194092834</v>
      </c>
      <c r="DF116" s="115">
        <f t="shared" si="443"/>
        <v>1941931.8031335177</v>
      </c>
      <c r="DG116" s="115"/>
      <c r="DH116" s="115">
        <f t="shared" ref="DH116:DJ117" si="444">DH103*DH$3</f>
        <v>1988832.3445444149</v>
      </c>
      <c r="DI116" s="115">
        <f t="shared" si="444"/>
        <v>1988832.3445444149</v>
      </c>
      <c r="DJ116" s="115">
        <f t="shared" si="444"/>
        <v>2198677.6255093087</v>
      </c>
      <c r="DK116" s="115">
        <f t="shared" ref="DK116:DP116" si="445">DK103*DK$3</f>
        <v>5600704.1740080565</v>
      </c>
      <c r="DL116" s="115">
        <f t="shared" si="445"/>
        <v>5600704.1740080565</v>
      </c>
      <c r="DM116" s="115">
        <f>DM103*DM$3</f>
        <v>5600704.1740080565</v>
      </c>
      <c r="DN116" s="115">
        <f t="shared" si="445"/>
        <v>5600704.1740080565</v>
      </c>
      <c r="DO116" s="115">
        <f t="shared" si="445"/>
        <v>5600704.1740080565</v>
      </c>
      <c r="DP116" s="115">
        <f t="shared" si="445"/>
        <v>5600704.1740080565</v>
      </c>
      <c r="DQ116" s="115">
        <f>DQ103*DQ$3</f>
        <v>5600704.1740080565</v>
      </c>
      <c r="DR116" s="115">
        <f>DR103*DR$3</f>
        <v>5510213.8584441636</v>
      </c>
      <c r="DS116" s="115">
        <f t="shared" ref="DS116" si="446">DS103*DS$3</f>
        <v>6251649.9411124848</v>
      </c>
      <c r="DT116" s="115">
        <f t="shared" ref="DT116:DW117" si="447">DT103*DT$3</f>
        <v>6251649.9411124848</v>
      </c>
      <c r="DU116" s="115">
        <f t="shared" si="447"/>
        <v>6251649.9411124848</v>
      </c>
      <c r="DV116" s="115">
        <f t="shared" ref="DV116" si="448">DV103*DV$3</f>
        <v>6525137.3020598078</v>
      </c>
      <c r="DW116" s="115">
        <f t="shared" si="447"/>
        <v>6525137.3020598078</v>
      </c>
      <c r="DX116" s="115">
        <f t="shared" ref="DX116:EC116" si="449">DX103*DX$3</f>
        <v>100185706.51716661</v>
      </c>
      <c r="DY116" s="115">
        <f t="shared" si="449"/>
        <v>100185706.51716661</v>
      </c>
      <c r="DZ116" s="115">
        <f t="shared" si="449"/>
        <v>100185706.51716661</v>
      </c>
      <c r="EA116" s="115">
        <f t="shared" si="449"/>
        <v>100185706.51716661</v>
      </c>
      <c r="EB116" s="115">
        <f t="shared" si="449"/>
        <v>100185706.51716661</v>
      </c>
      <c r="EC116" s="115">
        <f t="shared" si="449"/>
        <v>100185706.51716661</v>
      </c>
      <c r="ED116" s="115">
        <f>ED103*ED$3</f>
        <v>100185706.51716661</v>
      </c>
      <c r="EF116" s="74" t="s">
        <v>226</v>
      </c>
      <c r="EI116" s="21" t="s">
        <v>950</v>
      </c>
      <c r="EJ116" s="62">
        <f>(([5]Battery_Sum!H$176*([5]Mat_Sum!$BD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982470.28634818969</v>
      </c>
      <c r="EK116" s="296">
        <f>(([5]Battery_Sum!H$176*([5]Mat_Sum!$BF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1611506.9781082333</v>
      </c>
      <c r="EL116" s="62">
        <f>(([5]Battery_Sum!H$176*([5]Mat_Sum!$BK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1007747.9477064431</v>
      </c>
      <c r="EM116" s="62">
        <f>(([5]Battery_Sum!H$176*([5]Mat_Sum!$BL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935807.65821732942</v>
      </c>
      <c r="EN116" s="62">
        <f>(([5]Battery_Sum!H$176*([5]Mat_Sum!$BG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1618316.4465853602</v>
      </c>
      <c r="EO116" s="62">
        <f>(([5]Battery_Sum!H$176*([5]Mat_Sum!$BH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1617601.2384246956</v>
      </c>
      <c r="EP116" s="62">
        <f>(([5]Battery_Sum!H$176*([5]Mat_Sum!$BJ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1224183.6247691314</v>
      </c>
      <c r="EQ116" s="62">
        <f>EP116</f>
        <v>1224183.6247691314</v>
      </c>
      <c r="ER116" s="62">
        <f>(([5]Battery_Sum!H$176*([5]Mat_Sum!$BO34+[5]Mat_Sum!$BP34*[5]LiMn2O4!$E$9)+[5]Battery_Sum!H$177*[5]Mat_Sum!$BQ34+[5]Battery_Sum!H$178*[5]Mat_Sum!$BY34+[5]Battery_Sum!H$179*[5]Mat_Sum!$BR34+[5]Battery_Sum!H$180*[5]Mat_Sum!$Z34+[5]Battery_Sum!H$181*[5]Mat_Sum!$I34+[5]Battery_Sum!H$182*[5]Mat_Sum!$L34+[5]Battery_Sum!H$183*[5]Mat_Sum!$BS34+[5]Battery_Sum!H$184*[5]Mat_Sum!$BT34+[5]Battery_Sum!H$185*[5]Mat_Sum!$BU34+[5]Battery_Sum!H$186*[5]Mat_Sum!$AJ34+[5]Battery_Sum!H$187*[5]Mat_Sum!$AH34+[5]Battery_Sum!H$188*[5]Mat_Sum!$AI34+[5]Battery_Sum!H$189*[5]Mat_Sum!$D34+[5]Battery_Sum!H$190*[5]Mat_Sum!$AX34+[5]Battery_Sum!H$191*[5]Mat_Sum!$BW34+[5]Battery_Sum!H$192*[5]Mat_Sum!$BV34))*1</f>
        <v>1683536.649428057</v>
      </c>
    </row>
    <row r="117" spans="1:154" x14ac:dyDescent="0.3">
      <c r="A117" s="21" t="s">
        <v>133</v>
      </c>
      <c r="D117" s="115">
        <f>D104*D$3</f>
        <v>1668.7095760595507</v>
      </c>
      <c r="E117" s="115">
        <f t="shared" ref="E117:R117" si="450">E104*E$3</f>
        <v>2085.8869700744385</v>
      </c>
      <c r="F117" s="115">
        <f t="shared" si="450"/>
        <v>1668.7095760595507</v>
      </c>
      <c r="G117" s="115">
        <f t="shared" si="450"/>
        <v>1668.7095760595507</v>
      </c>
      <c r="H117" s="115">
        <f t="shared" si="450"/>
        <v>1668.7095760595507</v>
      </c>
      <c r="I117" s="115">
        <f t="shared" ref="I117" si="451">I104*I$3</f>
        <v>1668.7095760595507</v>
      </c>
      <c r="J117" s="115">
        <f t="shared" si="450"/>
        <v>1668.7095760595507</v>
      </c>
      <c r="K117" s="115">
        <f t="shared" si="450"/>
        <v>1668.7095760595507</v>
      </c>
      <c r="L117" s="115">
        <f t="shared" si="450"/>
        <v>1668.7095760595507</v>
      </c>
      <c r="M117" s="115">
        <f t="shared" si="450"/>
        <v>1668.7095760595507</v>
      </c>
      <c r="N117" s="115">
        <f t="shared" si="450"/>
        <v>1668.7095760595507</v>
      </c>
      <c r="O117" s="115">
        <f t="shared" si="450"/>
        <v>1668.7095760595507</v>
      </c>
      <c r="P117" s="115">
        <f t="shared" si="450"/>
        <v>1668.7095760595507</v>
      </c>
      <c r="Q117" s="115">
        <f>Q104*Q$3</f>
        <v>1668.7095760595507</v>
      </c>
      <c r="R117" s="115">
        <f t="shared" si="450"/>
        <v>1668.7095760595507</v>
      </c>
      <c r="S117" s="115">
        <f t="shared" si="430"/>
        <v>2085.8869700744385</v>
      </c>
      <c r="T117" s="115">
        <f t="shared" si="430"/>
        <v>1668.7095760595507</v>
      </c>
      <c r="U117" s="115">
        <f t="shared" si="430"/>
        <v>1668.7095760595507</v>
      </c>
      <c r="V117" s="115">
        <f t="shared" si="430"/>
        <v>1668.7095760595507</v>
      </c>
      <c r="W117" s="115">
        <f t="shared" ref="W117:AX117" si="452">W104*W$3</f>
        <v>1668.7095760595507</v>
      </c>
      <c r="X117" s="115">
        <f t="shared" si="432"/>
        <v>3778.1116059437632</v>
      </c>
      <c r="Y117" s="115">
        <f t="shared" si="432"/>
        <v>3778.1116059437632</v>
      </c>
      <c r="Z117" s="115">
        <f t="shared" si="432"/>
        <v>3778.1116059437632</v>
      </c>
      <c r="AA117" s="115">
        <f t="shared" si="432"/>
        <v>3778.1116059437632</v>
      </c>
      <c r="AB117" s="115">
        <f t="shared" ref="AB117:AC117" si="453">AB104*AB$3</f>
        <v>3778.1116059437632</v>
      </c>
      <c r="AC117" s="115">
        <f t="shared" si="453"/>
        <v>3778.1116059437632</v>
      </c>
      <c r="AD117" s="115">
        <f t="shared" ref="AD117" si="454">AD104*AD$3</f>
        <v>3778.1116059437632</v>
      </c>
      <c r="AE117" s="115">
        <f t="shared" ref="AE117" si="455">AE104*AE$3</f>
        <v>3778.1116059437632</v>
      </c>
      <c r="AF117" s="115">
        <f t="shared" si="452"/>
        <v>1668.7095760595507</v>
      </c>
      <c r="AG117" s="115">
        <f t="shared" si="452"/>
        <v>3165.9457946574294</v>
      </c>
      <c r="AH117" s="115">
        <f t="shared" si="452"/>
        <v>3572.5586737264234</v>
      </c>
      <c r="AI117" s="115">
        <f t="shared" si="452"/>
        <v>4084.3473376631455</v>
      </c>
      <c r="AJ117" s="115">
        <f t="shared" si="452"/>
        <v>4728.4307067227246</v>
      </c>
      <c r="AK117" s="115">
        <f t="shared" si="452"/>
        <v>14415.199212285823</v>
      </c>
      <c r="AL117" s="115">
        <f t="shared" si="452"/>
        <v>12708.103489556759</v>
      </c>
      <c r="AM117" s="115">
        <f t="shared" si="452"/>
        <v>14415.199212285823</v>
      </c>
      <c r="AN117" s="115">
        <f t="shared" si="452"/>
        <v>12708.103489556759</v>
      </c>
      <c r="AO117" s="115">
        <f t="shared" si="452"/>
        <v>229125.14926468395</v>
      </c>
      <c r="AP117" s="115">
        <f t="shared" si="452"/>
        <v>242523.64726769319</v>
      </c>
      <c r="AQ117" s="115">
        <f t="shared" si="452"/>
        <v>254791.87731908719</v>
      </c>
      <c r="AR117" s="115">
        <f t="shared" si="452"/>
        <v>213560.58947776121</v>
      </c>
      <c r="AS117" s="115">
        <f t="shared" si="452"/>
        <v>213560.58947776121</v>
      </c>
      <c r="AT117" s="115">
        <f t="shared" si="452"/>
        <v>213560.58947776121</v>
      </c>
      <c r="AU117" s="115">
        <f t="shared" si="452"/>
        <v>213560.58947776121</v>
      </c>
      <c r="AV117" s="115">
        <f t="shared" si="452"/>
        <v>213560.58947776121</v>
      </c>
      <c r="AW117" s="115">
        <f t="shared" si="452"/>
        <v>213560.58947776121</v>
      </c>
      <c r="AX117" s="115">
        <f t="shared" si="452"/>
        <v>213560.58947776121</v>
      </c>
      <c r="AY117" s="115">
        <f t="shared" si="436"/>
        <v>257419.51191149498</v>
      </c>
      <c r="AZ117" s="115">
        <f t="shared" si="436"/>
        <v>257419.51191149498</v>
      </c>
      <c r="BA117" s="115">
        <f t="shared" si="436"/>
        <v>257419.51191149498</v>
      </c>
      <c r="BB117" s="115">
        <f t="shared" si="436"/>
        <v>257419.51191149498</v>
      </c>
      <c r="BC117" s="115">
        <f t="shared" si="436"/>
        <v>229125.14926468395</v>
      </c>
      <c r="BD117" s="115">
        <f>BD104*BD$3</f>
        <v>229125.14926468395</v>
      </c>
      <c r="BE117" s="115">
        <f>BE104*BE$3</f>
        <v>229125.14926468395</v>
      </c>
      <c r="BF117" s="115">
        <f t="shared" si="436"/>
        <v>229125.14926468395</v>
      </c>
      <c r="BG117" s="115">
        <f t="shared" si="436"/>
        <v>229125.14926468395</v>
      </c>
      <c r="BH117" s="115">
        <f t="shared" si="436"/>
        <v>229125.14926468395</v>
      </c>
      <c r="BI117" s="115">
        <f t="shared" ref="BI117:BT117" si="456">BI104*BI$3</f>
        <v>229125.14926468395</v>
      </c>
      <c r="BJ117" s="115">
        <f t="shared" si="456"/>
        <v>242523.64726769319</v>
      </c>
      <c r="BK117" s="115">
        <f t="shared" si="456"/>
        <v>254791.87731908719</v>
      </c>
      <c r="BL117" s="115">
        <f t="shared" si="456"/>
        <v>213560.58947776121</v>
      </c>
      <c r="BM117" s="115">
        <f t="shared" si="456"/>
        <v>213560.58947776121</v>
      </c>
      <c r="BN117" s="115">
        <f t="shared" si="456"/>
        <v>213560.58947776121</v>
      </c>
      <c r="BO117" s="115">
        <f t="shared" si="456"/>
        <v>213560.58947776121</v>
      </c>
      <c r="BP117" s="115">
        <f t="shared" si="456"/>
        <v>213560.58947776121</v>
      </c>
      <c r="BQ117" s="115">
        <f t="shared" si="456"/>
        <v>213560.58947776121</v>
      </c>
      <c r="BR117" s="115">
        <f t="shared" si="456"/>
        <v>213560.58947776121</v>
      </c>
      <c r="BS117" s="115">
        <f t="shared" si="456"/>
        <v>213560.58947776121</v>
      </c>
      <c r="BT117" s="115">
        <f t="shared" si="456"/>
        <v>213560.58947776121</v>
      </c>
      <c r="BU117" s="115">
        <f t="shared" ref="BU117:CC117" si="457">BU104*BU$3</f>
        <v>213560.58947776121</v>
      </c>
      <c r="BV117" s="115">
        <f t="shared" si="457"/>
        <v>213560.58947776121</v>
      </c>
      <c r="BW117" s="115">
        <f t="shared" si="457"/>
        <v>213560.58947776121</v>
      </c>
      <c r="BX117" s="115">
        <f t="shared" si="457"/>
        <v>213560.58947776121</v>
      </c>
      <c r="BY117" s="115">
        <f t="shared" si="457"/>
        <v>213560.58947776121</v>
      </c>
      <c r="BZ117" s="115">
        <f t="shared" si="457"/>
        <v>213560.58947776121</v>
      </c>
      <c r="CA117" s="115">
        <f t="shared" si="457"/>
        <v>213560.58947776121</v>
      </c>
      <c r="CB117" s="115">
        <f t="shared" si="457"/>
        <v>213560.58947776121</v>
      </c>
      <c r="CC117" s="115">
        <f t="shared" si="457"/>
        <v>213560.58947776121</v>
      </c>
      <c r="CD117" s="115">
        <f t="shared" si="439"/>
        <v>257419.51191149498</v>
      </c>
      <c r="CE117" s="115">
        <f t="shared" si="439"/>
        <v>257419.51191149498</v>
      </c>
      <c r="CF117" s="115">
        <f t="shared" si="439"/>
        <v>257419.51191149498</v>
      </c>
      <c r="CG117" s="115">
        <f t="shared" si="439"/>
        <v>257419.51191149498</v>
      </c>
      <c r="CH117" s="115">
        <f t="shared" ref="CH117:CK117" si="458">CH104*CH$3</f>
        <v>229125.14926468395</v>
      </c>
      <c r="CI117" s="115">
        <f t="shared" si="458"/>
        <v>242523.64726769319</v>
      </c>
      <c r="CJ117" s="115">
        <f t="shared" si="458"/>
        <v>254791.87731908719</v>
      </c>
      <c r="CK117" s="115">
        <f t="shared" si="458"/>
        <v>213560.58947776121</v>
      </c>
      <c r="CL117" s="115">
        <f t="shared" si="440"/>
        <v>213560.58947776121</v>
      </c>
      <c r="CM117" s="115">
        <f t="shared" ref="CM117:CX117" si="459">CM104*CM$3</f>
        <v>257419.51191149498</v>
      </c>
      <c r="CN117" s="115">
        <f t="shared" si="459"/>
        <v>291096.24655878491</v>
      </c>
      <c r="CO117" s="115">
        <f t="shared" si="459"/>
        <v>307066.02084684261</v>
      </c>
      <c r="CP117" s="115">
        <f t="shared" si="459"/>
        <v>321634.54403287312</v>
      </c>
      <c r="CQ117" s="115">
        <f t="shared" si="459"/>
        <v>272572.64348717441</v>
      </c>
      <c r="CR117" s="115">
        <f t="shared" si="459"/>
        <v>327933.03159409005</v>
      </c>
      <c r="CS117" s="115">
        <f t="shared" si="459"/>
        <v>291096.24655878491</v>
      </c>
      <c r="CT117" s="115">
        <f t="shared" si="459"/>
        <v>307066.02084684261</v>
      </c>
      <c r="CU117" s="115">
        <f t="shared" si="459"/>
        <v>321634.54403287312</v>
      </c>
      <c r="CV117" s="115">
        <f t="shared" si="459"/>
        <v>272572.64348717441</v>
      </c>
      <c r="CW117" s="115">
        <f t="shared" si="459"/>
        <v>272572.64348717441</v>
      </c>
      <c r="CX117" s="115">
        <f t="shared" si="459"/>
        <v>327933.03159409005</v>
      </c>
      <c r="CY117" s="115">
        <f>CY104*CY$3</f>
        <v>291096.24655878491</v>
      </c>
      <c r="CZ117" s="115">
        <f>CZ104*CZ$3</f>
        <v>307066.02084684261</v>
      </c>
      <c r="DA117" s="115">
        <f>DA104*DA$3</f>
        <v>321634.54403287312</v>
      </c>
      <c r="DB117" s="115">
        <f>DB104*DB$3</f>
        <v>272572.64348717441</v>
      </c>
      <c r="DC117" s="115">
        <f t="shared" si="442"/>
        <v>272572.64348717441</v>
      </c>
      <c r="DD117" s="115">
        <f t="shared" si="443"/>
        <v>327933.03159409005</v>
      </c>
      <c r="DE117" s="115">
        <f t="shared" si="443"/>
        <v>545044.78361915948</v>
      </c>
      <c r="DF117" s="115">
        <f t="shared" si="443"/>
        <v>552883.90606309799</v>
      </c>
      <c r="DG117" s="115"/>
      <c r="DH117" s="115">
        <f t="shared" si="444"/>
        <v>566236.87473578216</v>
      </c>
      <c r="DI117" s="115">
        <f t="shared" si="444"/>
        <v>566236.87473578216</v>
      </c>
      <c r="DJ117" s="115">
        <f t="shared" si="444"/>
        <v>625981.54672764498</v>
      </c>
      <c r="DK117" s="115">
        <f t="shared" ref="DK117:DP117" si="460">DK104*DK$3</f>
        <v>1594566.397971787</v>
      </c>
      <c r="DL117" s="115">
        <f t="shared" si="460"/>
        <v>1594566.397971787</v>
      </c>
      <c r="DM117" s="115">
        <f>DM104*DM$3</f>
        <v>1594566.397971787</v>
      </c>
      <c r="DN117" s="115">
        <f t="shared" si="460"/>
        <v>1594566.397971787</v>
      </c>
      <c r="DO117" s="115">
        <f t="shared" si="460"/>
        <v>1594566.397971787</v>
      </c>
      <c r="DP117" s="115">
        <f t="shared" si="460"/>
        <v>1594566.397971787</v>
      </c>
      <c r="DQ117" s="115">
        <f>DQ104*DQ$3</f>
        <v>1594566.397971787</v>
      </c>
      <c r="DR117" s="115">
        <f>DR104*DR$3</f>
        <v>1568803.0632094038</v>
      </c>
      <c r="DS117" s="115">
        <f t="shared" ref="DS117" si="461">DS104*DS$3</f>
        <v>1779895.9949077878</v>
      </c>
      <c r="DT117" s="115">
        <f t="shared" si="447"/>
        <v>1779895.9949077878</v>
      </c>
      <c r="DU117" s="115">
        <f t="shared" si="447"/>
        <v>1779895.9949077878</v>
      </c>
      <c r="DV117" s="115">
        <f t="shared" ref="DV117" si="462">DV104*DV$3</f>
        <v>1857760.0888659051</v>
      </c>
      <c r="DW117" s="115">
        <f t="shared" si="447"/>
        <v>1857760.0888659051</v>
      </c>
      <c r="DX117" s="115">
        <f t="shared" ref="DX117:EC117" si="463">DX104*DX$3</f>
        <v>28523692.058352798</v>
      </c>
      <c r="DY117" s="115">
        <f t="shared" si="463"/>
        <v>28523692.058352798</v>
      </c>
      <c r="DZ117" s="115">
        <f t="shared" si="463"/>
        <v>28523692.058352798</v>
      </c>
      <c r="EA117" s="115">
        <f t="shared" si="463"/>
        <v>28523692.058352798</v>
      </c>
      <c r="EB117" s="115">
        <f t="shared" si="463"/>
        <v>28523692.058352798</v>
      </c>
      <c r="EC117" s="115">
        <f t="shared" si="463"/>
        <v>28523692.058352798</v>
      </c>
      <c r="ED117" s="115">
        <f>ED104*ED$3</f>
        <v>28523692.058352798</v>
      </c>
      <c r="EF117" s="74" t="s">
        <v>226</v>
      </c>
    </row>
    <row r="118" spans="1:154" x14ac:dyDescent="0.3">
      <c r="A118" s="21" t="s">
        <v>25</v>
      </c>
      <c r="D118" s="115">
        <f>SUM(D115:D117)</f>
        <v>130957.76839046061</v>
      </c>
      <c r="E118" s="115">
        <f t="shared" ref="E118:P118" si="464">SUM(E115:E117)</f>
        <v>163697.21048807577</v>
      </c>
      <c r="F118" s="115">
        <f t="shared" si="464"/>
        <v>70440.170394506524</v>
      </c>
      <c r="G118" s="115">
        <f t="shared" si="464"/>
        <v>130957.76839046061</v>
      </c>
      <c r="H118" s="115">
        <f t="shared" si="464"/>
        <v>130957.76839046061</v>
      </c>
      <c r="I118" s="115">
        <f t="shared" ref="I118" si="465">SUM(I115:I117)</f>
        <v>130957.76839046061</v>
      </c>
      <c r="J118" s="115">
        <f t="shared" si="464"/>
        <v>130957.76839046061</v>
      </c>
      <c r="K118" s="115">
        <f t="shared" si="464"/>
        <v>130957.76839046061</v>
      </c>
      <c r="L118" s="115">
        <f t="shared" si="464"/>
        <v>130957.76839046061</v>
      </c>
      <c r="M118" s="115">
        <f t="shared" si="464"/>
        <v>130957.76839046061</v>
      </c>
      <c r="N118" s="115">
        <f t="shared" si="464"/>
        <v>130957.76839046061</v>
      </c>
      <c r="O118" s="115">
        <f t="shared" si="464"/>
        <v>130957.76839046061</v>
      </c>
      <c r="P118" s="115">
        <f t="shared" si="464"/>
        <v>130957.76839046061</v>
      </c>
      <c r="Q118" s="115">
        <f t="shared" ref="Q118:BD118" si="466">SUM(Q115:Q117)</f>
        <v>130957.76839046061</v>
      </c>
      <c r="R118" s="115">
        <f t="shared" si="466"/>
        <v>130957.76839046061</v>
      </c>
      <c r="S118" s="115">
        <f t="shared" si="466"/>
        <v>163697.21048807577</v>
      </c>
      <c r="T118" s="115">
        <f t="shared" si="466"/>
        <v>70440.170394506524</v>
      </c>
      <c r="U118" s="115">
        <f t="shared" si="466"/>
        <v>130957.76839046061</v>
      </c>
      <c r="V118" s="115">
        <f t="shared" si="466"/>
        <v>130957.76839046061</v>
      </c>
      <c r="W118" s="115">
        <f t="shared" si="466"/>
        <v>130957.76839046061</v>
      </c>
      <c r="X118" s="115">
        <f t="shared" ref="X118:Y118" si="467">SUM(X115:X117)</f>
        <v>160202.19869388262</v>
      </c>
      <c r="Y118" s="115">
        <f t="shared" si="467"/>
        <v>285550.42740763898</v>
      </c>
      <c r="Z118" s="115">
        <f t="shared" si="466"/>
        <v>285550.42740763898</v>
      </c>
      <c r="AA118" s="115">
        <f t="shared" ref="AA118" si="468">SUM(AA115:AA117)</f>
        <v>285550.42740763898</v>
      </c>
      <c r="AB118" s="115">
        <f t="shared" ref="AB118:AC118" si="469">SUM(AB115:AB117)</f>
        <v>160202.19869388262</v>
      </c>
      <c r="AC118" s="115">
        <f t="shared" si="469"/>
        <v>285550.42740763898</v>
      </c>
      <c r="AD118" s="115">
        <f t="shared" ref="AD118" si="470">SUM(AD115:AD117)</f>
        <v>285550.42740763898</v>
      </c>
      <c r="AE118" s="115">
        <f t="shared" ref="AE118" si="471">SUM(AE115:AE117)</f>
        <v>285550.42740763898</v>
      </c>
      <c r="AF118" s="115">
        <f t="shared" si="466"/>
        <v>130957.76839046061</v>
      </c>
      <c r="AG118" s="115">
        <f t="shared" si="466"/>
        <v>86866.429178003687</v>
      </c>
      <c r="AH118" s="115">
        <f t="shared" si="466"/>
        <v>106069.43543445971</v>
      </c>
      <c r="AI118" s="115">
        <f t="shared" si="466"/>
        <v>110493.35018229409</v>
      </c>
      <c r="AJ118" s="115">
        <f t="shared" si="466"/>
        <v>125002.75877545596</v>
      </c>
      <c r="AK118" s="115">
        <f t="shared" si="466"/>
        <v>335350.93931159412</v>
      </c>
      <c r="AL118" s="115">
        <f t="shared" si="466"/>
        <v>305797.84388899611</v>
      </c>
      <c r="AM118" s="115">
        <f t="shared" si="466"/>
        <v>335350.93931159412</v>
      </c>
      <c r="AN118" s="115">
        <f t="shared" si="466"/>
        <v>305797.84388899611</v>
      </c>
      <c r="AO118" s="115">
        <f t="shared" si="466"/>
        <v>5537367.1883703573</v>
      </c>
      <c r="AP118" s="115">
        <f t="shared" si="466"/>
        <v>5856257.2995749675</v>
      </c>
      <c r="AQ118" s="115">
        <f t="shared" si="466"/>
        <v>6148697.2534058755</v>
      </c>
      <c r="AR118" s="115">
        <f t="shared" si="466"/>
        <v>5382906.1376651302</v>
      </c>
      <c r="AS118" s="115">
        <f t="shared" si="466"/>
        <v>5382906.1376651302</v>
      </c>
      <c r="AT118" s="115">
        <f t="shared" si="466"/>
        <v>5382906.1376651302</v>
      </c>
      <c r="AU118" s="115">
        <f t="shared" si="466"/>
        <v>5003373.8880512575</v>
      </c>
      <c r="AV118" s="115">
        <f t="shared" si="466"/>
        <v>5382906.1376651302</v>
      </c>
      <c r="AW118" s="115">
        <f t="shared" si="466"/>
        <v>5382906.1376651302</v>
      </c>
      <c r="AX118" s="115">
        <f t="shared" si="466"/>
        <v>5382906.1376651302</v>
      </c>
      <c r="AY118" s="115">
        <f t="shared" si="466"/>
        <v>9672805.5294659175</v>
      </c>
      <c r="AZ118" s="115">
        <f t="shared" si="466"/>
        <v>9672805.5294659175</v>
      </c>
      <c r="BA118" s="115">
        <f t="shared" si="466"/>
        <v>9672805.5294659175</v>
      </c>
      <c r="BB118" s="115">
        <f t="shared" si="466"/>
        <v>9672805.5294659175</v>
      </c>
      <c r="BC118" s="115">
        <f t="shared" si="466"/>
        <v>5537367.1883703573</v>
      </c>
      <c r="BD118" s="115">
        <f t="shared" si="466"/>
        <v>5537367.1883703573</v>
      </c>
      <c r="BE118" s="115">
        <f t="shared" ref="BE118:CG118" si="472">SUM(BE115:BE117)</f>
        <v>5537367.1883703573</v>
      </c>
      <c r="BF118" s="115">
        <f t="shared" si="472"/>
        <v>5537367.1883703573</v>
      </c>
      <c r="BG118" s="115">
        <f t="shared" si="472"/>
        <v>5537367.1883703573</v>
      </c>
      <c r="BH118" s="115">
        <f t="shared" si="472"/>
        <v>5537367.1883703573</v>
      </c>
      <c r="BI118" s="115">
        <f t="shared" si="472"/>
        <v>5537367.1883703573</v>
      </c>
      <c r="BJ118" s="115">
        <f t="shared" si="472"/>
        <v>5856257.2995749675</v>
      </c>
      <c r="BK118" s="115">
        <f t="shared" si="472"/>
        <v>6148697.2534058755</v>
      </c>
      <c r="BL118" s="115">
        <f t="shared" si="472"/>
        <v>5382906.1376651302</v>
      </c>
      <c r="BM118" s="115">
        <f t="shared" si="472"/>
        <v>5382906.1376651302</v>
      </c>
      <c r="BN118" s="115">
        <f t="shared" si="472"/>
        <v>5382906.1376651302</v>
      </c>
      <c r="BO118" s="115">
        <f t="shared" si="472"/>
        <v>5382906.1376651302</v>
      </c>
      <c r="BP118" s="115">
        <f t="shared" si="472"/>
        <v>5382906.1376651302</v>
      </c>
      <c r="BQ118" s="115">
        <f t="shared" si="472"/>
        <v>5003373.8880512575</v>
      </c>
      <c r="BR118" s="115">
        <f t="shared" si="472"/>
        <v>5382906.1376651302</v>
      </c>
      <c r="BS118" s="115">
        <f t="shared" si="472"/>
        <v>5382906.1376651302</v>
      </c>
      <c r="BT118" s="115">
        <f t="shared" si="472"/>
        <v>5382906.1376651302</v>
      </c>
      <c r="BU118" s="115">
        <f t="shared" si="472"/>
        <v>5382906.1376651302</v>
      </c>
      <c r="BV118" s="115">
        <f t="shared" si="472"/>
        <v>5382906.1376651302</v>
      </c>
      <c r="BW118" s="115">
        <f t="shared" si="472"/>
        <v>5382906.1376651302</v>
      </c>
      <c r="BX118" s="115">
        <f t="shared" si="472"/>
        <v>5382906.1376651302</v>
      </c>
      <c r="BY118" s="115">
        <f t="shared" si="472"/>
        <v>5382906.1376651302</v>
      </c>
      <c r="BZ118" s="115">
        <f t="shared" si="472"/>
        <v>5003373.8880512575</v>
      </c>
      <c r="CA118" s="115">
        <f t="shared" si="472"/>
        <v>5382906.1376651302</v>
      </c>
      <c r="CB118" s="115">
        <f t="shared" si="472"/>
        <v>5382906.1376651302</v>
      </c>
      <c r="CC118" s="115">
        <f t="shared" si="472"/>
        <v>5382906.1376651302</v>
      </c>
      <c r="CD118" s="115">
        <f t="shared" si="472"/>
        <v>9672805.5294659175</v>
      </c>
      <c r="CE118" s="115">
        <f t="shared" si="472"/>
        <v>9672805.5294659175</v>
      </c>
      <c r="CF118" s="115">
        <f t="shared" si="472"/>
        <v>9672805.5294659175</v>
      </c>
      <c r="CG118" s="115">
        <f t="shared" si="472"/>
        <v>9672805.5294659175</v>
      </c>
      <c r="CH118" s="115">
        <f t="shared" ref="CH118:CK118" si="473">SUM(CH115:CH117)</f>
        <v>5537367.1883703573</v>
      </c>
      <c r="CI118" s="115">
        <f t="shared" si="473"/>
        <v>5856257.2995749675</v>
      </c>
      <c r="CJ118" s="115">
        <f t="shared" si="473"/>
        <v>6148697.2534058755</v>
      </c>
      <c r="CK118" s="115">
        <f t="shared" si="473"/>
        <v>5382906.1376651302</v>
      </c>
      <c r="CL118" s="115">
        <f t="shared" ref="CL118:DF118" si="474">SUM(CL115:CL117)</f>
        <v>5382906.1376651302</v>
      </c>
      <c r="CM118" s="115">
        <f t="shared" si="474"/>
        <v>9672805.5294659175</v>
      </c>
      <c r="CN118" s="115">
        <f t="shared" si="474"/>
        <v>6905787.0739584118</v>
      </c>
      <c r="CO118" s="115">
        <f t="shared" si="474"/>
        <v>7306130.7866014717</v>
      </c>
      <c r="CP118" s="115">
        <f t="shared" si="474"/>
        <v>7540962.5601376593</v>
      </c>
      <c r="CQ118" s="115">
        <f t="shared" si="474"/>
        <v>6735720.7642500037</v>
      </c>
      <c r="CR118" s="115">
        <f t="shared" si="474"/>
        <v>12140934.369337056</v>
      </c>
      <c r="CS118" s="115">
        <f t="shared" si="474"/>
        <v>6905787.0739584118</v>
      </c>
      <c r="CT118" s="115">
        <f t="shared" si="474"/>
        <v>7306130.7866014717</v>
      </c>
      <c r="CU118" s="115">
        <f t="shared" si="474"/>
        <v>7540962.5601376593</v>
      </c>
      <c r="CV118" s="115">
        <f t="shared" si="474"/>
        <v>6735720.7642500037</v>
      </c>
      <c r="CW118" s="115">
        <f t="shared" si="474"/>
        <v>6735720.7642500037</v>
      </c>
      <c r="CX118" s="115">
        <f t="shared" si="474"/>
        <v>12140934.369337056</v>
      </c>
      <c r="CY118" s="115">
        <f t="shared" si="474"/>
        <v>6905787.0739584118</v>
      </c>
      <c r="CZ118" s="115">
        <f t="shared" si="474"/>
        <v>7306130.7866014717</v>
      </c>
      <c r="DA118" s="115">
        <f t="shared" si="474"/>
        <v>7540962.5601376593</v>
      </c>
      <c r="DB118" s="115">
        <f t="shared" si="474"/>
        <v>6735720.7642500037</v>
      </c>
      <c r="DC118" s="115">
        <f t="shared" si="474"/>
        <v>6735720.7642500037</v>
      </c>
      <c r="DD118" s="115">
        <f t="shared" si="474"/>
        <v>12140934.369337056</v>
      </c>
      <c r="DE118" s="115">
        <f t="shared" si="474"/>
        <v>13787744.857691472</v>
      </c>
      <c r="DF118" s="115">
        <f t="shared" si="474"/>
        <v>13961649.03496822</v>
      </c>
      <c r="DG118" s="115"/>
      <c r="DH118" s="115">
        <f>SUM(DH115:DH117)</f>
        <v>15503175.876139278</v>
      </c>
      <c r="DI118" s="115">
        <f>SUM(DI115:DI117)</f>
        <v>15503175.876139278</v>
      </c>
      <c r="DJ118" s="115">
        <f>SUM(DJ115:DJ117)</f>
        <v>23323010.750599135</v>
      </c>
      <c r="DK118" s="115">
        <f t="shared" ref="DK118:DP118" si="475">SUM(DK115:DK117)</f>
        <v>50704166.199867398</v>
      </c>
      <c r="DL118" s="115">
        <f t="shared" si="475"/>
        <v>50704166.199867398</v>
      </c>
      <c r="DM118" s="115">
        <f>SUM(DM115:DM117)</f>
        <v>50704166.199867398</v>
      </c>
      <c r="DN118" s="115">
        <f t="shared" si="475"/>
        <v>50704166.199867398</v>
      </c>
      <c r="DO118" s="115">
        <f t="shared" si="475"/>
        <v>50704166.199867398</v>
      </c>
      <c r="DP118" s="115">
        <f t="shared" si="475"/>
        <v>50704166.199867398</v>
      </c>
      <c r="DQ118" s="115">
        <f t="shared" ref="DQ118:DW118" si="476">SUM(DQ115:DQ117)</f>
        <v>50704166.199867398</v>
      </c>
      <c r="DR118" s="115">
        <f t="shared" si="476"/>
        <v>49075912.549541123</v>
      </c>
      <c r="DS118" s="115">
        <f t="shared" si="476"/>
        <v>68355555.237726018</v>
      </c>
      <c r="DT118" s="115">
        <f t="shared" si="476"/>
        <v>68355555.237726018</v>
      </c>
      <c r="DU118" s="115">
        <f t="shared" si="476"/>
        <v>68355555.237726018</v>
      </c>
      <c r="DV118" s="115">
        <f t="shared" si="476"/>
        <v>71345866.688966364</v>
      </c>
      <c r="DW118" s="115">
        <f t="shared" si="476"/>
        <v>71026650.457375422</v>
      </c>
      <c r="DX118" s="115">
        <f t="shared" ref="DX118:EC118" si="477">SUM(DX115:DX117)</f>
        <v>1002001002.518656</v>
      </c>
      <c r="DY118" s="115">
        <f t="shared" si="477"/>
        <v>1002001002.518656</v>
      </c>
      <c r="DZ118" s="115">
        <f t="shared" si="477"/>
        <v>1002001002.518656</v>
      </c>
      <c r="EA118" s="115">
        <f t="shared" si="477"/>
        <v>1002001002.518656</v>
      </c>
      <c r="EB118" s="115">
        <f t="shared" si="477"/>
        <v>1002001002.518656</v>
      </c>
      <c r="EC118" s="115">
        <f t="shared" si="477"/>
        <v>1002001002.518656</v>
      </c>
      <c r="ED118" s="115">
        <f>SUM(ED115:ED117)</f>
        <v>1002001002.518656</v>
      </c>
    </row>
    <row r="119" spans="1:154" s="24" customFormat="1" x14ac:dyDescent="0.3">
      <c r="C119" s="24">
        <f ca="1">C120/C121</f>
        <v>1.17277077687864</v>
      </c>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c r="AZ119" s="118"/>
      <c r="BA119" s="118"/>
      <c r="BB119" s="118"/>
      <c r="BC119" s="118"/>
      <c r="BD119" s="118"/>
      <c r="BE119" s="118"/>
      <c r="BF119" s="118"/>
      <c r="BG119" s="118"/>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D119" s="118"/>
      <c r="CE119" s="118"/>
      <c r="CF119" s="118"/>
      <c r="CG119" s="118"/>
      <c r="CH119" s="118"/>
      <c r="CI119" s="118"/>
      <c r="CJ119" s="118"/>
      <c r="CK119" s="118"/>
      <c r="CL119" s="118"/>
      <c r="CM119" s="118"/>
      <c r="CN119" s="118"/>
      <c r="CO119" s="118"/>
      <c r="CP119" s="118"/>
      <c r="CQ119" s="118"/>
      <c r="CR119" s="118"/>
      <c r="CS119" s="118"/>
      <c r="CT119" s="118"/>
      <c r="CU119" s="118"/>
      <c r="CV119" s="118"/>
      <c r="CW119" s="118"/>
      <c r="CX119" s="118"/>
      <c r="CY119" s="118"/>
      <c r="CZ119" s="118"/>
      <c r="DA119" s="118"/>
      <c r="DB119" s="118"/>
      <c r="DC119" s="118"/>
      <c r="DD119" s="118"/>
      <c r="DE119" s="118"/>
      <c r="DF119" s="118"/>
      <c r="DG119" s="118"/>
      <c r="DH119" s="118"/>
      <c r="DI119" s="118"/>
      <c r="DJ119" s="118"/>
      <c r="DK119" s="118"/>
      <c r="DL119" s="118"/>
      <c r="DM119" s="118"/>
      <c r="DN119" s="118"/>
      <c r="DO119" s="118"/>
      <c r="DP119" s="118"/>
      <c r="DQ119" s="118"/>
      <c r="DR119" s="118"/>
      <c r="DS119" s="118"/>
      <c r="DT119" s="118"/>
      <c r="DU119" s="118"/>
      <c r="DV119" s="118"/>
      <c r="DW119" s="118"/>
      <c r="DX119" s="118"/>
      <c r="DY119" s="118"/>
      <c r="DZ119" s="118"/>
      <c r="EA119" s="118"/>
      <c r="EB119" s="118"/>
      <c r="EC119" s="118"/>
      <c r="ED119" s="118"/>
      <c r="EG119" s="75"/>
      <c r="EH119" s="21"/>
      <c r="EI119" s="21"/>
      <c r="EJ119" s="21"/>
      <c r="EK119" s="21"/>
      <c r="EL119" s="21"/>
      <c r="EM119" s="21"/>
      <c r="EN119" s="21"/>
      <c r="EO119" s="21"/>
      <c r="EP119" s="21"/>
      <c r="EQ119" s="21"/>
      <c r="ER119" s="21"/>
      <c r="ES119" s="21"/>
      <c r="ET119" s="21"/>
      <c r="EU119" s="21"/>
      <c r="EV119" s="21"/>
      <c r="EW119" s="21"/>
      <c r="EX119" s="21"/>
    </row>
    <row r="120" spans="1:154" x14ac:dyDescent="0.3">
      <c r="A120" s="21" t="s">
        <v>172</v>
      </c>
      <c r="B120" s="21" t="s">
        <v>343</v>
      </c>
      <c r="C120" s="21">
        <f ca="1">C121+W121</f>
        <v>174984.96539826787</v>
      </c>
      <c r="EW120" s="24"/>
      <c r="EX120" s="24"/>
    </row>
    <row r="121" spans="1:154" x14ac:dyDescent="0.3">
      <c r="A121" s="21" t="s">
        <v>134</v>
      </c>
      <c r="C121" s="21">
        <f ca="1">W121+W115</f>
        <v>149206.4509519882</v>
      </c>
      <c r="D121" s="21">
        <f ca="1">D109*D$4*(1+D$34)</f>
        <v>25778.514446279667</v>
      </c>
      <c r="E121" s="21">
        <f t="shared" ref="E121:R121" ca="1" si="478">E109*E$4*(1+E$34)</f>
        <v>25778.514446279667</v>
      </c>
      <c r="F121" s="21">
        <f t="shared" ca="1" si="478"/>
        <v>19758.701048168037</v>
      </c>
      <c r="G121" s="21">
        <f t="shared" ca="1" si="478"/>
        <v>25778.514446279667</v>
      </c>
      <c r="H121" s="21">
        <f t="shared" ca="1" si="478"/>
        <v>25778.514446279667</v>
      </c>
      <c r="I121" s="21">
        <f t="shared" ref="I121" ca="1" si="479">I109*I$4*(1+I$34)</f>
        <v>25778.514446279667</v>
      </c>
      <c r="J121" s="21">
        <f t="shared" ca="1" si="478"/>
        <v>25778.514446279667</v>
      </c>
      <c r="K121" s="21">
        <f t="shared" ca="1" si="478"/>
        <v>25778.514446279667</v>
      </c>
      <c r="L121" s="21">
        <f t="shared" ca="1" si="478"/>
        <v>25778.514446279667</v>
      </c>
      <c r="M121" s="21">
        <f t="shared" ca="1" si="478"/>
        <v>25778.514446279667</v>
      </c>
      <c r="N121" s="21">
        <f t="shared" ca="1" si="478"/>
        <v>25778.514446279667</v>
      </c>
      <c r="O121" s="21">
        <f t="shared" ca="1" si="478"/>
        <v>25778.514446279667</v>
      </c>
      <c r="P121" s="21">
        <f t="shared" ca="1" si="478"/>
        <v>25778.514446279667</v>
      </c>
      <c r="Q121" s="21">
        <f ca="1">Q109*Q$4*(1+Q$34)</f>
        <v>19333.885834709748</v>
      </c>
      <c r="R121" s="21">
        <f t="shared" ca="1" si="478"/>
        <v>32223.143057849586</v>
      </c>
      <c r="S121" s="21">
        <f ca="1">S109*S$4*(1+S$34)</f>
        <v>25778.514446279667</v>
      </c>
      <c r="T121" s="21">
        <f t="shared" ref="T121:V123" ca="1" si="480">T109*T$4*(1+T$34)</f>
        <v>19758.701048168037</v>
      </c>
      <c r="U121" s="21">
        <f t="shared" ca="1" si="480"/>
        <v>25778.514446279667</v>
      </c>
      <c r="V121" s="21">
        <f t="shared" ca="1" si="480"/>
        <v>25778.514446279667</v>
      </c>
      <c r="W121" s="21">
        <f t="shared" ref="W121:AX121" ca="1" si="481">W109*W$4*(1+W$34)</f>
        <v>25778.514446279667</v>
      </c>
      <c r="X121" s="21">
        <f t="shared" ref="X121:AA123" ca="1" si="482">X109*X$4*(1+X$34)</f>
        <v>42888.356244856863</v>
      </c>
      <c r="Y121" s="21">
        <f t="shared" ca="1" si="482"/>
        <v>55954.999690515535</v>
      </c>
      <c r="Z121" s="21">
        <f t="shared" ca="1" si="482"/>
        <v>55954.999690515535</v>
      </c>
      <c r="AA121" s="21">
        <f t="shared" ca="1" si="482"/>
        <v>55954.999690515535</v>
      </c>
      <c r="AB121" s="21">
        <f t="shared" ref="AB121:AC121" ca="1" si="483">AB109*AB$4*(1+AB$34)</f>
        <v>42888.356244856863</v>
      </c>
      <c r="AC121" s="21">
        <f t="shared" ca="1" si="483"/>
        <v>55954.999690515535</v>
      </c>
      <c r="AD121" s="21">
        <f t="shared" ref="AD121" ca="1" si="484">AD109*AD$4*(1+AD$34)</f>
        <v>55954.999690515535</v>
      </c>
      <c r="AE121" s="21">
        <f t="shared" ref="AE121" ca="1" si="485">AE109*AE$4*(1+AE$34)</f>
        <v>55954.999690515535</v>
      </c>
      <c r="AF121" s="21">
        <f t="shared" ca="1" si="481"/>
        <v>25778.514446279667</v>
      </c>
      <c r="AG121" s="21">
        <f t="shared" ca="1" si="481"/>
        <v>0</v>
      </c>
      <c r="AH121" s="21">
        <f t="shared" ca="1" si="481"/>
        <v>37752.843074501732</v>
      </c>
      <c r="AI121" s="21">
        <f t="shared" ca="1" si="481"/>
        <v>0</v>
      </c>
      <c r="AJ121" s="21">
        <f t="shared" ca="1" si="481"/>
        <v>49078.695996852257</v>
      </c>
      <c r="AK121" s="21">
        <f t="shared" ca="1" si="481"/>
        <v>0</v>
      </c>
      <c r="AL121" s="21">
        <f ca="1">AL109*AL$4*(1+AL$34)</f>
        <v>101551.72357625324</v>
      </c>
      <c r="AM121" s="21">
        <f t="shared" ca="1" si="481"/>
        <v>0</v>
      </c>
      <c r="AN121" s="21">
        <f t="shared" ca="1" si="481"/>
        <v>264034.48129825841</v>
      </c>
      <c r="AO121" s="21">
        <f t="shared" ca="1" si="481"/>
        <v>0</v>
      </c>
      <c r="AP121" s="21">
        <f t="shared" ca="1" si="481"/>
        <v>167256.47248205033</v>
      </c>
      <c r="AQ121" s="21">
        <f t="shared" ca="1" si="481"/>
        <v>1193106.0467166365</v>
      </c>
      <c r="AR121" s="21">
        <f t="shared" ca="1" si="481"/>
        <v>4687002.6265963027</v>
      </c>
      <c r="AS121" s="21">
        <f t="shared" ca="1" si="481"/>
        <v>4687002.6265963027</v>
      </c>
      <c r="AT121" s="21">
        <f t="shared" ca="1" si="481"/>
        <v>4687002.6265963027</v>
      </c>
      <c r="AU121" s="21">
        <f t="shared" ca="1" si="481"/>
        <v>3592491.0996669154</v>
      </c>
      <c r="AV121" s="21">
        <f t="shared" ca="1" si="481"/>
        <v>3515251.9699472273</v>
      </c>
      <c r="AW121" s="21">
        <f t="shared" ca="1" si="481"/>
        <v>5858753.2832453791</v>
      </c>
      <c r="AX121" s="21">
        <f t="shared" ca="1" si="481"/>
        <v>4687002.6265963027</v>
      </c>
      <c r="AY121" s="21">
        <f t="shared" ref="AY121:BH123" ca="1" si="486">AY109*AY$4*(1+AY$34)</f>
        <v>167256.47248205033</v>
      </c>
      <c r="AZ121" s="21">
        <f t="shared" ca="1" si="486"/>
        <v>167256.47248205033</v>
      </c>
      <c r="BA121" s="21">
        <f t="shared" ca="1" si="486"/>
        <v>167256.47248205033</v>
      </c>
      <c r="BB121" s="21">
        <f t="shared" ca="1" si="486"/>
        <v>167256.47248205033</v>
      </c>
      <c r="BC121" s="21">
        <f t="shared" ref="BC121:BH121" ca="1" si="487">BC109*BC$4*(1+BC$34)</f>
        <v>0</v>
      </c>
      <c r="BD121" s="21">
        <f t="shared" ca="1" si="487"/>
        <v>0</v>
      </c>
      <c r="BE121" s="21">
        <f t="shared" ca="1" si="487"/>
        <v>0</v>
      </c>
      <c r="BF121" s="21">
        <f t="shared" ca="1" si="487"/>
        <v>0</v>
      </c>
      <c r="BG121" s="21">
        <f t="shared" ca="1" si="487"/>
        <v>0</v>
      </c>
      <c r="BH121" s="21">
        <f t="shared" ca="1" si="487"/>
        <v>0</v>
      </c>
      <c r="BI121" s="21">
        <f t="shared" ref="BI121:BT121" ca="1" si="488">BI109*BI$4*(1+BI$34)</f>
        <v>0</v>
      </c>
      <c r="BJ121" s="21">
        <f t="shared" ca="1" si="488"/>
        <v>167256.47248205033</v>
      </c>
      <c r="BK121" s="21">
        <f t="shared" ca="1" si="488"/>
        <v>1193106.0467166365</v>
      </c>
      <c r="BL121" s="21">
        <f t="shared" ca="1" si="488"/>
        <v>5468169.7310290206</v>
      </c>
      <c r="BM121" s="21">
        <f t="shared" ca="1" si="488"/>
        <v>5468169.7310290206</v>
      </c>
      <c r="BN121" s="21">
        <f t="shared" ca="1" si="488"/>
        <v>5468169.7310290206</v>
      </c>
      <c r="BO121" s="21">
        <f t="shared" ca="1" si="488"/>
        <v>5468169.7310290206</v>
      </c>
      <c r="BP121" s="21">
        <f t="shared" ca="1" si="488"/>
        <v>5468169.7310290206</v>
      </c>
      <c r="BQ121" s="21">
        <f t="shared" ca="1" si="488"/>
        <v>4191239.6162780682</v>
      </c>
      <c r="BR121" s="21">
        <f t="shared" ca="1" si="488"/>
        <v>4101127.298271765</v>
      </c>
      <c r="BS121" s="21">
        <f t="shared" ca="1" si="488"/>
        <v>6835212.1637862753</v>
      </c>
      <c r="BT121" s="21">
        <f t="shared" ca="1" si="488"/>
        <v>5468169.7310290206</v>
      </c>
      <c r="BU121" s="21">
        <f t="shared" ref="BU121:CC121" ca="1" si="489">BU109*BU$4*(1+BU$34)</f>
        <v>10936339.462058041</v>
      </c>
      <c r="BV121" s="21">
        <f t="shared" ca="1" si="489"/>
        <v>10936339.462058041</v>
      </c>
      <c r="BW121" s="21">
        <f t="shared" ca="1" si="489"/>
        <v>10936339.462058041</v>
      </c>
      <c r="BX121" s="21">
        <f t="shared" ca="1" si="489"/>
        <v>10936339.462058041</v>
      </c>
      <c r="BY121" s="21">
        <f t="shared" ca="1" si="489"/>
        <v>10936339.462058041</v>
      </c>
      <c r="BZ121" s="21">
        <f t="shared" ca="1" si="489"/>
        <v>8382479.2325561363</v>
      </c>
      <c r="CA121" s="21">
        <f t="shared" ca="1" si="489"/>
        <v>8202254.59654353</v>
      </c>
      <c r="CB121" s="21">
        <f t="shared" ca="1" si="489"/>
        <v>13670424.327572551</v>
      </c>
      <c r="CC121" s="21">
        <f t="shared" ca="1" si="489"/>
        <v>10936339.462058041</v>
      </c>
      <c r="CD121" s="21">
        <f t="shared" ref="CD121:CG123" ca="1" si="490">CD109*CD$4*(1+CD$34)</f>
        <v>167256.47248205033</v>
      </c>
      <c r="CE121" s="21">
        <f t="shared" ca="1" si="490"/>
        <v>167256.47248205033</v>
      </c>
      <c r="CF121" s="21">
        <f t="shared" ca="1" si="490"/>
        <v>167256.47248205033</v>
      </c>
      <c r="CG121" s="21">
        <f t="shared" ca="1" si="490"/>
        <v>167256.47248205033</v>
      </c>
      <c r="CH121" s="21">
        <f t="shared" ref="CH121:CL121" ca="1" si="491">CH109*CH$4*(1+CH$34)</f>
        <v>0</v>
      </c>
      <c r="CI121" s="21">
        <f t="shared" ca="1" si="491"/>
        <v>167256.47248205033</v>
      </c>
      <c r="CJ121" s="21">
        <f t="shared" ca="1" si="491"/>
        <v>1193106.0467166365</v>
      </c>
      <c r="CK121" s="21">
        <f t="shared" ca="1" si="491"/>
        <v>5468169.7310290206</v>
      </c>
      <c r="CL121" s="21">
        <f t="shared" ca="1" si="491"/>
        <v>10936339.462058041</v>
      </c>
      <c r="CM121" s="21">
        <f t="shared" ref="CM121:DF121" ca="1" si="492">CM109*CM$4*(1+CM$34)</f>
        <v>167256.47248205033</v>
      </c>
      <c r="CN121" s="21">
        <f t="shared" ca="1" si="492"/>
        <v>0</v>
      </c>
      <c r="CO121" s="21">
        <f t="shared" ca="1" si="492"/>
        <v>235397.99830807082</v>
      </c>
      <c r="CP121" s="21">
        <f t="shared" ca="1" si="492"/>
        <v>1254232.2504473652</v>
      </c>
      <c r="CQ121" s="21">
        <f t="shared" ca="1" si="492"/>
        <v>4687002.6265963027</v>
      </c>
      <c r="CR121" s="21">
        <f t="shared" ca="1" si="492"/>
        <v>235397.99830807082</v>
      </c>
      <c r="CS121" s="21">
        <f t="shared" ca="1" si="492"/>
        <v>0</v>
      </c>
      <c r="CT121" s="21">
        <f t="shared" ca="1" si="492"/>
        <v>235397.99830807082</v>
      </c>
      <c r="CU121" s="21">
        <f t="shared" ca="1" si="492"/>
        <v>1254232.2504473652</v>
      </c>
      <c r="CV121" s="21">
        <f t="shared" ca="1" si="492"/>
        <v>5468169.7310290206</v>
      </c>
      <c r="CW121" s="21">
        <f ca="1">CW109*CW$4*(1+CW$34)</f>
        <v>10936339.462058041</v>
      </c>
      <c r="CX121" s="21">
        <f t="shared" ca="1" si="492"/>
        <v>235397.99830807082</v>
      </c>
      <c r="CY121" s="21">
        <f t="shared" ca="1" si="492"/>
        <v>0</v>
      </c>
      <c r="CZ121" s="21">
        <f t="shared" ca="1" si="492"/>
        <v>235397.99830807082</v>
      </c>
      <c r="DA121" s="21">
        <f t="shared" ca="1" si="492"/>
        <v>1254232.2504473652</v>
      </c>
      <c r="DB121" s="21">
        <f t="shared" ca="1" si="492"/>
        <v>5468169.7310290206</v>
      </c>
      <c r="DC121" s="21">
        <f t="shared" ca="1" si="492"/>
        <v>10936339.462058041</v>
      </c>
      <c r="DD121" s="21">
        <f t="shared" ca="1" si="492"/>
        <v>235397.99830807082</v>
      </c>
      <c r="DE121" s="21">
        <f t="shared" ca="1" si="492"/>
        <v>0</v>
      </c>
      <c r="DF121" s="21">
        <f t="shared" ca="1" si="492"/>
        <v>504449.8049854511</v>
      </c>
      <c r="DH121" s="21">
        <f t="shared" ref="DH121:DJ123" ca="1" si="493">DH109*DH$4*(1+DH$34)</f>
        <v>11717506.566490758</v>
      </c>
      <c r="DI121" s="21">
        <f t="shared" ca="1" si="493"/>
        <v>23435013.132981516</v>
      </c>
      <c r="DJ121" s="21">
        <f t="shared" ca="1" si="493"/>
        <v>504449.8049854511</v>
      </c>
      <c r="DK121" s="21">
        <f t="shared" ref="DK121:DP121" ca="1" si="494">DK109*DK$4*(1+DK$34)</f>
        <v>0</v>
      </c>
      <c r="DL121" s="21">
        <f t="shared" ca="1" si="494"/>
        <v>0</v>
      </c>
      <c r="DM121" s="21">
        <f ca="1">DM109*DM$4*(1+DM$34)</f>
        <v>0</v>
      </c>
      <c r="DN121" s="21">
        <f t="shared" ca="1" si="494"/>
        <v>0</v>
      </c>
      <c r="DO121" s="21">
        <f t="shared" ca="1" si="494"/>
        <v>0</v>
      </c>
      <c r="DP121" s="21">
        <f t="shared" ca="1" si="494"/>
        <v>0</v>
      </c>
      <c r="DQ121" s="21">
        <f t="shared" ref="DQ121:DS123" ca="1" si="495">DQ109*DQ$4*(1+DQ$34)</f>
        <v>0</v>
      </c>
      <c r="DR121" s="21">
        <f t="shared" ca="1" si="495"/>
        <v>1060227.8314735387</v>
      </c>
      <c r="DS121" s="21">
        <f t="shared" ca="1" si="495"/>
        <v>34457404.522890009</v>
      </c>
      <c r="DT121" s="21">
        <f t="shared" ref="DT121:DW123" ca="1" si="496">DT109*DT$4*(1+DT$34)</f>
        <v>34457404.522890009</v>
      </c>
      <c r="DU121" s="21">
        <f t="shared" ca="1" si="496"/>
        <v>17228702.261445004</v>
      </c>
      <c r="DV121" s="21">
        <f t="shared" ref="DV121" ca="1" si="497">DV109*DV$4*(1+DV$34)</f>
        <v>1060227.8314735387</v>
      </c>
      <c r="DW121" s="21">
        <f t="shared" ca="1" si="496"/>
        <v>1060227.8314735387</v>
      </c>
      <c r="DX121" s="21">
        <f t="shared" ref="DX121:EC121" ca="1" si="498">DX109*DX$4*(1+DX$34)</f>
        <v>0</v>
      </c>
      <c r="DY121" s="21">
        <f t="shared" ca="1" si="498"/>
        <v>0</v>
      </c>
      <c r="DZ121" s="21">
        <f t="shared" ca="1" si="498"/>
        <v>0</v>
      </c>
      <c r="EA121" s="21">
        <f t="shared" ca="1" si="498"/>
        <v>0</v>
      </c>
      <c r="EB121" s="21">
        <f t="shared" ca="1" si="498"/>
        <v>0</v>
      </c>
      <c r="EC121" s="21">
        <f t="shared" ca="1" si="498"/>
        <v>0</v>
      </c>
      <c r="ED121" s="21">
        <f ca="1">ED109*ED$4*(1+ED$34)</f>
        <v>0</v>
      </c>
    </row>
    <row r="122" spans="1:154" x14ac:dyDescent="0.3">
      <c r="A122" s="21" t="s">
        <v>132</v>
      </c>
      <c r="D122" s="115">
        <f>D110*D$4*(1+D$34)</f>
        <v>4571.9208074700764</v>
      </c>
      <c r="E122" s="115">
        <f t="shared" ref="E122:P122" si="499">E110*E$4*(1+E$34)</f>
        <v>4571.9208074700764</v>
      </c>
      <c r="F122" s="115">
        <f t="shared" si="499"/>
        <v>4571.9208074700764</v>
      </c>
      <c r="G122" s="115">
        <f t="shared" si="499"/>
        <v>4571.9208074700764</v>
      </c>
      <c r="H122" s="115">
        <f t="shared" si="499"/>
        <v>4571.9208074700764</v>
      </c>
      <c r="I122" s="115">
        <f t="shared" ref="I122" si="500">I110*I$4*(1+I$34)</f>
        <v>4571.9208074700764</v>
      </c>
      <c r="J122" s="115">
        <f t="shared" si="499"/>
        <v>4571.9208074700764</v>
      </c>
      <c r="K122" s="115">
        <f t="shared" si="499"/>
        <v>4571.9208074700764</v>
      </c>
      <c r="L122" s="115">
        <f t="shared" si="499"/>
        <v>4571.9208074700764</v>
      </c>
      <c r="M122" s="115">
        <f t="shared" si="499"/>
        <v>4571.9208074700764</v>
      </c>
      <c r="N122" s="115">
        <f t="shared" si="499"/>
        <v>4571.9208074700764</v>
      </c>
      <c r="O122" s="115">
        <f t="shared" si="499"/>
        <v>4571.9208074700764</v>
      </c>
      <c r="P122" s="115">
        <f t="shared" si="499"/>
        <v>4571.9208074700764</v>
      </c>
      <c r="Q122" s="115">
        <f t="shared" ref="Q122:S123" si="501">Q110*Q$4*(1+Q$34)</f>
        <v>3428.9406056025573</v>
      </c>
      <c r="R122" s="115">
        <f t="shared" si="501"/>
        <v>5714.9010093375964</v>
      </c>
      <c r="S122" s="115">
        <f t="shared" si="501"/>
        <v>4571.9208074700764</v>
      </c>
      <c r="T122" s="115">
        <f t="shared" si="480"/>
        <v>4571.9208074700764</v>
      </c>
      <c r="U122" s="115">
        <f t="shared" si="480"/>
        <v>4571.9208074700764</v>
      </c>
      <c r="V122" s="115">
        <f t="shared" si="480"/>
        <v>4571.9208074700764</v>
      </c>
      <c r="W122" s="115">
        <f t="shared" ref="W122:AX122" si="502">W110*W$4*(1+W$34)</f>
        <v>4571.9208074700764</v>
      </c>
      <c r="X122" s="115">
        <f t="shared" si="482"/>
        <v>9923.8390133055036</v>
      </c>
      <c r="Y122" s="115">
        <f t="shared" si="482"/>
        <v>9923.8390133055036</v>
      </c>
      <c r="Z122" s="115">
        <f t="shared" si="482"/>
        <v>9923.8390133055036</v>
      </c>
      <c r="AA122" s="115">
        <f t="shared" si="482"/>
        <v>9923.8390133055036</v>
      </c>
      <c r="AB122" s="115">
        <f t="shared" ref="AB122:AC122" si="503">AB110*AB$4*(1+AB$34)</f>
        <v>9923.8390133055036</v>
      </c>
      <c r="AC122" s="115">
        <f t="shared" si="503"/>
        <v>9923.8390133055036</v>
      </c>
      <c r="AD122" s="115">
        <f t="shared" ref="AD122" si="504">AD110*AD$4*(1+AD$34)</f>
        <v>9923.8390133055036</v>
      </c>
      <c r="AE122" s="115">
        <f t="shared" ref="AE122" si="505">AE110*AE$4*(1+AE$34)</f>
        <v>9923.8390133055036</v>
      </c>
      <c r="AF122" s="115">
        <f t="shared" si="502"/>
        <v>4571.9208074700764</v>
      </c>
      <c r="AG122" s="115">
        <f t="shared" si="502"/>
        <v>0</v>
      </c>
      <c r="AH122" s="115">
        <f t="shared" si="502"/>
        <v>6695.6150306162017</v>
      </c>
      <c r="AI122" s="115">
        <f t="shared" si="502"/>
        <v>0</v>
      </c>
      <c r="AJ122" s="115">
        <f t="shared" si="502"/>
        <v>8704.2995398010626</v>
      </c>
      <c r="AK122" s="115">
        <f t="shared" si="502"/>
        <v>0</v>
      </c>
      <c r="AL122" s="115">
        <f t="shared" si="502"/>
        <v>18010.597120336664</v>
      </c>
      <c r="AM122" s="115">
        <f t="shared" si="502"/>
        <v>0</v>
      </c>
      <c r="AN122" s="115">
        <f t="shared" si="502"/>
        <v>46827.552512875329</v>
      </c>
      <c r="AO122" s="115">
        <f t="shared" si="502"/>
        <v>0</v>
      </c>
      <c r="AP122" s="115">
        <f t="shared" si="502"/>
        <v>29663.592458683772</v>
      </c>
      <c r="AQ122" s="115">
        <f t="shared" si="502"/>
        <v>211602.04448047184</v>
      </c>
      <c r="AR122" s="115">
        <f t="shared" si="502"/>
        <v>831258.32863092294</v>
      </c>
      <c r="AS122" s="115">
        <f t="shared" si="502"/>
        <v>831258.32863092294</v>
      </c>
      <c r="AT122" s="115">
        <f t="shared" si="502"/>
        <v>831258.32863092294</v>
      </c>
      <c r="AU122" s="115">
        <f t="shared" si="502"/>
        <v>831258.32863092294</v>
      </c>
      <c r="AV122" s="115">
        <f t="shared" si="502"/>
        <v>623443.74647319224</v>
      </c>
      <c r="AW122" s="115">
        <f t="shared" si="502"/>
        <v>1039072.9107886538</v>
      </c>
      <c r="AX122" s="115">
        <f t="shared" si="502"/>
        <v>831258.32863092294</v>
      </c>
      <c r="AY122" s="115">
        <f t="shared" si="486"/>
        <v>29663.592458683772</v>
      </c>
      <c r="AZ122" s="115">
        <f t="shared" si="486"/>
        <v>29663.592458683772</v>
      </c>
      <c r="BA122" s="115">
        <f t="shared" si="486"/>
        <v>29663.592458683772</v>
      </c>
      <c r="BB122" s="115">
        <f t="shared" si="486"/>
        <v>29663.592458683772</v>
      </c>
      <c r="BC122" s="115">
        <f t="shared" si="486"/>
        <v>0</v>
      </c>
      <c r="BD122" s="115">
        <f>BD110*BD$4*(1+BD$34)</f>
        <v>0</v>
      </c>
      <c r="BE122" s="115">
        <f>BE110*BE$4*(1+BE$34)</f>
        <v>0</v>
      </c>
      <c r="BF122" s="115">
        <f t="shared" si="486"/>
        <v>0</v>
      </c>
      <c r="BG122" s="115">
        <f t="shared" si="486"/>
        <v>0</v>
      </c>
      <c r="BH122" s="115">
        <f t="shared" si="486"/>
        <v>0</v>
      </c>
      <c r="BI122" s="115">
        <f t="shared" ref="BI122:BT122" si="506">BI110*BI$4*(1+BI$34)</f>
        <v>0</v>
      </c>
      <c r="BJ122" s="115">
        <f t="shared" si="506"/>
        <v>29663.592458683772</v>
      </c>
      <c r="BK122" s="115">
        <f t="shared" si="506"/>
        <v>211602.04448047184</v>
      </c>
      <c r="BL122" s="115">
        <f t="shared" si="506"/>
        <v>969801.38340274349</v>
      </c>
      <c r="BM122" s="115">
        <f t="shared" si="506"/>
        <v>969801.38340274349</v>
      </c>
      <c r="BN122" s="115">
        <f t="shared" si="506"/>
        <v>969801.38340274349</v>
      </c>
      <c r="BO122" s="115">
        <f t="shared" si="506"/>
        <v>969801.38340274349</v>
      </c>
      <c r="BP122" s="115">
        <f t="shared" si="506"/>
        <v>969801.38340274349</v>
      </c>
      <c r="BQ122" s="115">
        <f t="shared" si="506"/>
        <v>969801.38340274349</v>
      </c>
      <c r="BR122" s="115">
        <f t="shared" si="506"/>
        <v>727351.03755205765</v>
      </c>
      <c r="BS122" s="115">
        <f t="shared" si="506"/>
        <v>1212251.7292534295</v>
      </c>
      <c r="BT122" s="115">
        <f t="shared" si="506"/>
        <v>969801.38340274349</v>
      </c>
      <c r="BU122" s="115">
        <f t="shared" ref="BU122:CC122" si="507">BU110*BU$4*(1+BU$34)</f>
        <v>1939602.766805487</v>
      </c>
      <c r="BV122" s="115">
        <f t="shared" si="507"/>
        <v>1939602.766805487</v>
      </c>
      <c r="BW122" s="115">
        <f t="shared" si="507"/>
        <v>1939602.766805487</v>
      </c>
      <c r="BX122" s="115">
        <f t="shared" si="507"/>
        <v>1939602.766805487</v>
      </c>
      <c r="BY122" s="115">
        <f t="shared" si="507"/>
        <v>1939602.766805487</v>
      </c>
      <c r="BZ122" s="115">
        <f t="shared" si="507"/>
        <v>1939602.766805487</v>
      </c>
      <c r="CA122" s="115">
        <f t="shared" si="507"/>
        <v>1454702.0751041153</v>
      </c>
      <c r="CB122" s="115">
        <f t="shared" si="507"/>
        <v>2424503.4585068589</v>
      </c>
      <c r="CC122" s="115">
        <f t="shared" si="507"/>
        <v>1939602.766805487</v>
      </c>
      <c r="CD122" s="115">
        <f t="shared" si="490"/>
        <v>29663.592458683772</v>
      </c>
      <c r="CE122" s="115">
        <f t="shared" si="490"/>
        <v>29663.592458683772</v>
      </c>
      <c r="CF122" s="115">
        <f t="shared" si="490"/>
        <v>29663.592458683772</v>
      </c>
      <c r="CG122" s="115">
        <f t="shared" si="490"/>
        <v>29663.592458683772</v>
      </c>
      <c r="CH122" s="115">
        <f t="shared" ref="CH122:CK122" si="508">CH110*CH$4*(1+CH$34)</f>
        <v>0</v>
      </c>
      <c r="CI122" s="115">
        <f t="shared" si="508"/>
        <v>29663.592458683772</v>
      </c>
      <c r="CJ122" s="115">
        <f t="shared" si="508"/>
        <v>211602.04448047184</v>
      </c>
      <c r="CK122" s="115">
        <f t="shared" si="508"/>
        <v>969801.38340274349</v>
      </c>
      <c r="CL122" s="115">
        <f>CL110*CL$4*(1+CL$34)</f>
        <v>1939602.766805487</v>
      </c>
      <c r="CM122" s="115">
        <f t="shared" ref="CM122:DF122" si="509">CM110*CM$4*(1+CM$34)</f>
        <v>29663.592458683772</v>
      </c>
      <c r="CN122" s="115">
        <f t="shared" si="509"/>
        <v>0</v>
      </c>
      <c r="CO122" s="115">
        <f t="shared" si="509"/>
        <v>41748.759756666048</v>
      </c>
      <c r="CP122" s="115">
        <f t="shared" si="509"/>
        <v>222443.01684528962</v>
      </c>
      <c r="CQ122" s="115">
        <f t="shared" si="509"/>
        <v>831258.32863092294</v>
      </c>
      <c r="CR122" s="115">
        <f t="shared" si="509"/>
        <v>41748.759756666048</v>
      </c>
      <c r="CS122" s="115">
        <f t="shared" si="509"/>
        <v>0</v>
      </c>
      <c r="CT122" s="115">
        <f t="shared" si="509"/>
        <v>41748.759756666048</v>
      </c>
      <c r="CU122" s="115">
        <f t="shared" si="509"/>
        <v>222443.01684528962</v>
      </c>
      <c r="CV122" s="115">
        <f t="shared" si="509"/>
        <v>969801.38340274349</v>
      </c>
      <c r="CW122" s="115">
        <f t="shared" si="509"/>
        <v>1939602.766805487</v>
      </c>
      <c r="CX122" s="115">
        <f t="shared" si="509"/>
        <v>41748.759756666048</v>
      </c>
      <c r="CY122" s="115">
        <f t="shared" si="509"/>
        <v>0</v>
      </c>
      <c r="CZ122" s="115">
        <f t="shared" si="509"/>
        <v>41748.759756666048</v>
      </c>
      <c r="DA122" s="115">
        <f t="shared" si="509"/>
        <v>222443.01684528962</v>
      </c>
      <c r="DB122" s="115">
        <f t="shared" si="509"/>
        <v>969801.38340274349</v>
      </c>
      <c r="DC122" s="115">
        <f t="shared" si="509"/>
        <v>1939602.766805487</v>
      </c>
      <c r="DD122" s="115">
        <f t="shared" si="509"/>
        <v>41748.759756666048</v>
      </c>
      <c r="DE122" s="115">
        <f t="shared" si="509"/>
        <v>0</v>
      </c>
      <c r="DF122" s="115">
        <f t="shared" si="509"/>
        <v>89466.154635999599</v>
      </c>
      <c r="DG122" s="115"/>
      <c r="DH122" s="115">
        <f t="shared" si="493"/>
        <v>2078145.8215773075</v>
      </c>
      <c r="DI122" s="115">
        <f t="shared" si="493"/>
        <v>4156291.6431546151</v>
      </c>
      <c r="DJ122" s="115">
        <f t="shared" si="493"/>
        <v>89466.154635999599</v>
      </c>
      <c r="DK122" s="115">
        <f t="shared" ref="DK122:DP122" si="510">DK110*DK$4*(1+DK$34)</f>
        <v>0</v>
      </c>
      <c r="DL122" s="115">
        <f t="shared" si="510"/>
        <v>0</v>
      </c>
      <c r="DM122" s="115">
        <f>DM110*DM$4*(1+DM$34)</f>
        <v>0</v>
      </c>
      <c r="DN122" s="115">
        <f t="shared" si="510"/>
        <v>0</v>
      </c>
      <c r="DO122" s="115">
        <f t="shared" si="510"/>
        <v>0</v>
      </c>
      <c r="DP122" s="115">
        <f t="shared" si="510"/>
        <v>0</v>
      </c>
      <c r="DQ122" s="115">
        <f t="shared" si="495"/>
        <v>0</v>
      </c>
      <c r="DR122" s="115">
        <f t="shared" si="495"/>
        <v>277086.10954364098</v>
      </c>
      <c r="DS122" s="115">
        <f t="shared" si="495"/>
        <v>9005298.5601683315</v>
      </c>
      <c r="DT122" s="115">
        <f t="shared" si="496"/>
        <v>9005298.5601683315</v>
      </c>
      <c r="DU122" s="115">
        <f t="shared" si="496"/>
        <v>4502649.2800841657</v>
      </c>
      <c r="DV122" s="115">
        <f t="shared" ref="DV122" si="511">DV110*DV$4*(1+DV$34)</f>
        <v>277086.10954364098</v>
      </c>
      <c r="DW122" s="115">
        <f t="shared" si="496"/>
        <v>277086.10954364098</v>
      </c>
      <c r="DX122" s="115">
        <f t="shared" ref="DX122:EC122" si="512">DX110*DX$4*(1+DX$34)</f>
        <v>0</v>
      </c>
      <c r="DY122" s="115">
        <f t="shared" si="512"/>
        <v>0</v>
      </c>
      <c r="DZ122" s="115">
        <f t="shared" si="512"/>
        <v>0</v>
      </c>
      <c r="EA122" s="115">
        <f t="shared" si="512"/>
        <v>0</v>
      </c>
      <c r="EB122" s="115">
        <f t="shared" si="512"/>
        <v>0</v>
      </c>
      <c r="EC122" s="115">
        <f t="shared" si="512"/>
        <v>0</v>
      </c>
      <c r="ED122" s="115">
        <f>ED110*ED$4*(1+ED$34)</f>
        <v>0</v>
      </c>
      <c r="EF122" s="74"/>
    </row>
    <row r="123" spans="1:154" x14ac:dyDescent="0.3">
      <c r="A123" s="21" t="s">
        <v>133</v>
      </c>
      <c r="D123" s="115">
        <f>D111*D$4*(1+D$34)</f>
        <v>354.82732701032211</v>
      </c>
      <c r="E123" s="115">
        <f t="shared" ref="E123:P123" si="513">E111*E$4*(1+E$34)</f>
        <v>354.82732701032211</v>
      </c>
      <c r="F123" s="115">
        <f t="shared" si="513"/>
        <v>354.82732701032211</v>
      </c>
      <c r="G123" s="115">
        <f t="shared" si="513"/>
        <v>354.82732701032211</v>
      </c>
      <c r="H123" s="115">
        <f t="shared" si="513"/>
        <v>354.82732701032211</v>
      </c>
      <c r="I123" s="115">
        <f t="shared" ref="I123" si="514">I111*I$4*(1+I$34)</f>
        <v>354.82732701032211</v>
      </c>
      <c r="J123" s="115">
        <f t="shared" si="513"/>
        <v>354.82732701032211</v>
      </c>
      <c r="K123" s="115">
        <f t="shared" si="513"/>
        <v>354.82732701032211</v>
      </c>
      <c r="L123" s="115">
        <f t="shared" si="513"/>
        <v>354.82732701032211</v>
      </c>
      <c r="M123" s="115">
        <f t="shared" si="513"/>
        <v>354.82732701032211</v>
      </c>
      <c r="N123" s="115">
        <f t="shared" si="513"/>
        <v>354.82732701032211</v>
      </c>
      <c r="O123" s="115">
        <f t="shared" si="513"/>
        <v>354.82732701032211</v>
      </c>
      <c r="P123" s="115">
        <f t="shared" si="513"/>
        <v>354.82732701032211</v>
      </c>
      <c r="Q123" s="115">
        <f t="shared" si="501"/>
        <v>266.1204952577416</v>
      </c>
      <c r="R123" s="115">
        <f t="shared" si="501"/>
        <v>443.53415876290268</v>
      </c>
      <c r="S123" s="115">
        <f t="shared" si="501"/>
        <v>354.82732701032211</v>
      </c>
      <c r="T123" s="115">
        <f t="shared" si="480"/>
        <v>354.82732701032211</v>
      </c>
      <c r="U123" s="115">
        <f t="shared" si="480"/>
        <v>354.82732701032211</v>
      </c>
      <c r="V123" s="115">
        <f t="shared" si="480"/>
        <v>354.82732701032211</v>
      </c>
      <c r="W123" s="115">
        <f t="shared" ref="W123:AX123" si="515">W111*W$4*(1+W$34)</f>
        <v>354.82732701032211</v>
      </c>
      <c r="X123" s="115">
        <f t="shared" si="482"/>
        <v>770.1903464772538</v>
      </c>
      <c r="Y123" s="115">
        <f t="shared" si="482"/>
        <v>770.1903464772538</v>
      </c>
      <c r="Z123" s="115">
        <f t="shared" si="482"/>
        <v>770.1903464772538</v>
      </c>
      <c r="AA123" s="115">
        <f t="shared" si="482"/>
        <v>770.1903464772538</v>
      </c>
      <c r="AB123" s="115">
        <f t="shared" ref="AB123:AC123" si="516">AB111*AB$4*(1+AB$34)</f>
        <v>770.1903464772538</v>
      </c>
      <c r="AC123" s="115">
        <f t="shared" si="516"/>
        <v>770.1903464772538</v>
      </c>
      <c r="AD123" s="115">
        <f t="shared" ref="AD123" si="517">AD111*AD$4*(1+AD$34)</f>
        <v>770.1903464772538</v>
      </c>
      <c r="AE123" s="115">
        <f t="shared" ref="AE123" si="518">AE111*AE$4*(1+AE$34)</f>
        <v>770.1903464772538</v>
      </c>
      <c r="AF123" s="115">
        <f t="shared" si="515"/>
        <v>354.82732701032211</v>
      </c>
      <c r="AG123" s="115">
        <f t="shared" si="515"/>
        <v>0</v>
      </c>
      <c r="AH123" s="115">
        <f t="shared" si="515"/>
        <v>519.64749260789392</v>
      </c>
      <c r="AI123" s="115">
        <f t="shared" si="515"/>
        <v>0</v>
      </c>
      <c r="AJ123" s="115">
        <f t="shared" si="515"/>
        <v>675.54174039026213</v>
      </c>
      <c r="AK123" s="115">
        <f t="shared" si="515"/>
        <v>0</v>
      </c>
      <c r="AL123" s="115">
        <f t="shared" si="515"/>
        <v>1397.8046215558145</v>
      </c>
      <c r="AM123" s="115">
        <f t="shared" si="515"/>
        <v>0</v>
      </c>
      <c r="AN123" s="115">
        <f t="shared" si="515"/>
        <v>3634.2920160451176</v>
      </c>
      <c r="AO123" s="115">
        <f t="shared" si="515"/>
        <v>0</v>
      </c>
      <c r="AP123" s="115">
        <f t="shared" si="515"/>
        <v>2302.1949996248268</v>
      </c>
      <c r="AQ123" s="115">
        <f t="shared" si="515"/>
        <v>16422.460273206849</v>
      </c>
      <c r="AR123" s="115">
        <f t="shared" si="515"/>
        <v>64514.059456422197</v>
      </c>
      <c r="AS123" s="115">
        <f t="shared" si="515"/>
        <v>64514.059456422197</v>
      </c>
      <c r="AT123" s="115">
        <f t="shared" si="515"/>
        <v>64514.059456422197</v>
      </c>
      <c r="AU123" s="115">
        <f t="shared" si="515"/>
        <v>64514.059456422197</v>
      </c>
      <c r="AV123" s="115">
        <f t="shared" si="515"/>
        <v>48385.544592316648</v>
      </c>
      <c r="AW123" s="115">
        <f t="shared" si="515"/>
        <v>80642.574320527754</v>
      </c>
      <c r="AX123" s="115">
        <f t="shared" si="515"/>
        <v>64514.059456422197</v>
      </c>
      <c r="AY123" s="115">
        <f t="shared" si="486"/>
        <v>2302.1949996248268</v>
      </c>
      <c r="AZ123" s="115">
        <f t="shared" si="486"/>
        <v>2302.1949996248268</v>
      </c>
      <c r="BA123" s="115">
        <f t="shared" si="486"/>
        <v>2302.1949996248268</v>
      </c>
      <c r="BB123" s="115">
        <f t="shared" si="486"/>
        <v>2302.1949996248268</v>
      </c>
      <c r="BC123" s="115">
        <f t="shared" si="486"/>
        <v>0</v>
      </c>
      <c r="BD123" s="115">
        <f>BD111*BD$4*(1+BD$34)</f>
        <v>0</v>
      </c>
      <c r="BE123" s="115">
        <f>BE111*BE$4*(1+BE$34)</f>
        <v>0</v>
      </c>
      <c r="BF123" s="115">
        <f t="shared" si="486"/>
        <v>0</v>
      </c>
      <c r="BG123" s="115">
        <f t="shared" si="486"/>
        <v>0</v>
      </c>
      <c r="BH123" s="115">
        <f t="shared" si="486"/>
        <v>0</v>
      </c>
      <c r="BI123" s="115">
        <f t="shared" ref="BI123:BT123" si="519">BI111*BI$4*(1+BI$34)</f>
        <v>0</v>
      </c>
      <c r="BJ123" s="115">
        <f t="shared" si="519"/>
        <v>2302.1949996248268</v>
      </c>
      <c r="BK123" s="115">
        <f t="shared" si="519"/>
        <v>16422.460273206849</v>
      </c>
      <c r="BL123" s="115">
        <f t="shared" si="519"/>
        <v>75266.40269915924</v>
      </c>
      <c r="BM123" s="115">
        <f t="shared" si="519"/>
        <v>75266.40269915924</v>
      </c>
      <c r="BN123" s="115">
        <f t="shared" si="519"/>
        <v>75266.40269915924</v>
      </c>
      <c r="BO123" s="115">
        <f t="shared" si="519"/>
        <v>75266.40269915924</v>
      </c>
      <c r="BP123" s="115">
        <f t="shared" si="519"/>
        <v>75266.40269915924</v>
      </c>
      <c r="BQ123" s="115">
        <f t="shared" si="519"/>
        <v>75266.40269915924</v>
      </c>
      <c r="BR123" s="115">
        <f t="shared" si="519"/>
        <v>56449.802024369426</v>
      </c>
      <c r="BS123" s="115">
        <f t="shared" si="519"/>
        <v>94083.003373949046</v>
      </c>
      <c r="BT123" s="115">
        <f t="shared" si="519"/>
        <v>75266.40269915924</v>
      </c>
      <c r="BU123" s="115">
        <f t="shared" ref="BU123:CC123" si="520">BU111*BU$4*(1+BU$34)</f>
        <v>150532.80539831848</v>
      </c>
      <c r="BV123" s="115">
        <f t="shared" si="520"/>
        <v>150532.80539831848</v>
      </c>
      <c r="BW123" s="115">
        <f t="shared" si="520"/>
        <v>150532.80539831848</v>
      </c>
      <c r="BX123" s="115">
        <f t="shared" si="520"/>
        <v>150532.80539831848</v>
      </c>
      <c r="BY123" s="115">
        <f t="shared" si="520"/>
        <v>150532.80539831848</v>
      </c>
      <c r="BZ123" s="115">
        <f t="shared" si="520"/>
        <v>150532.80539831848</v>
      </c>
      <c r="CA123" s="115">
        <f t="shared" si="520"/>
        <v>112899.60404873885</v>
      </c>
      <c r="CB123" s="115">
        <f t="shared" si="520"/>
        <v>188166.00674789809</v>
      </c>
      <c r="CC123" s="115">
        <f t="shared" si="520"/>
        <v>150532.80539831848</v>
      </c>
      <c r="CD123" s="115">
        <f t="shared" si="490"/>
        <v>2302.1949996248268</v>
      </c>
      <c r="CE123" s="115">
        <f t="shared" si="490"/>
        <v>2302.1949996248268</v>
      </c>
      <c r="CF123" s="115">
        <f t="shared" si="490"/>
        <v>2302.1949996248268</v>
      </c>
      <c r="CG123" s="115">
        <f t="shared" si="490"/>
        <v>2302.1949996248268</v>
      </c>
      <c r="CH123" s="115">
        <f t="shared" ref="CH123:CL123" si="521">CH111*CH$4*(1+CH$34)</f>
        <v>0</v>
      </c>
      <c r="CI123" s="115">
        <f t="shared" si="521"/>
        <v>2302.1949996248268</v>
      </c>
      <c r="CJ123" s="115">
        <f t="shared" si="521"/>
        <v>16422.460273206849</v>
      </c>
      <c r="CK123" s="115">
        <f t="shared" si="521"/>
        <v>75266.40269915924</v>
      </c>
      <c r="CL123" s="115">
        <f t="shared" si="521"/>
        <v>150532.80539831848</v>
      </c>
      <c r="CM123" s="115">
        <f t="shared" ref="CM123:DF123" si="522">CM111*CM$4*(1+CM$34)</f>
        <v>2302.1949996248268</v>
      </c>
      <c r="CN123" s="115">
        <f t="shared" si="522"/>
        <v>0</v>
      </c>
      <c r="CO123" s="115">
        <f t="shared" si="522"/>
        <v>3240.1262957682748</v>
      </c>
      <c r="CP123" s="115">
        <f t="shared" si="522"/>
        <v>17263.829450056099</v>
      </c>
      <c r="CQ123" s="115">
        <f t="shared" si="522"/>
        <v>64514.059456422197</v>
      </c>
      <c r="CR123" s="115">
        <f t="shared" si="522"/>
        <v>3240.1262957682748</v>
      </c>
      <c r="CS123" s="115">
        <f t="shared" si="522"/>
        <v>0</v>
      </c>
      <c r="CT123" s="115">
        <f t="shared" si="522"/>
        <v>3240.1262957682748</v>
      </c>
      <c r="CU123" s="115">
        <f t="shared" si="522"/>
        <v>17263.829450056099</v>
      </c>
      <c r="CV123" s="115">
        <f t="shared" si="522"/>
        <v>75266.40269915924</v>
      </c>
      <c r="CW123" s="115">
        <f>CW111*CW$4*(1+CW$34)</f>
        <v>150532.80539831848</v>
      </c>
      <c r="CX123" s="115">
        <f t="shared" si="522"/>
        <v>3240.1262957682748</v>
      </c>
      <c r="CY123" s="115">
        <f t="shared" si="522"/>
        <v>0</v>
      </c>
      <c r="CZ123" s="115">
        <f t="shared" si="522"/>
        <v>3240.1262957682748</v>
      </c>
      <c r="DA123" s="115">
        <f t="shared" si="522"/>
        <v>17263.829450056099</v>
      </c>
      <c r="DB123" s="115">
        <f t="shared" si="522"/>
        <v>75266.40269915924</v>
      </c>
      <c r="DC123" s="115">
        <f t="shared" si="522"/>
        <v>150532.80539831848</v>
      </c>
      <c r="DD123" s="115">
        <f t="shared" si="522"/>
        <v>3240.1262957682748</v>
      </c>
      <c r="DE123" s="115">
        <f t="shared" si="522"/>
        <v>0</v>
      </c>
      <c r="DF123" s="115">
        <f t="shared" si="522"/>
        <v>6943.4790855334932</v>
      </c>
      <c r="DG123" s="115"/>
      <c r="DH123" s="115">
        <f t="shared" si="493"/>
        <v>161285.14864105551</v>
      </c>
      <c r="DI123" s="115">
        <f t="shared" si="493"/>
        <v>322570.29728211102</v>
      </c>
      <c r="DJ123" s="115">
        <f t="shared" si="493"/>
        <v>6943.4790855334932</v>
      </c>
      <c r="DK123" s="115">
        <f t="shared" ref="DK123:DP123" si="523">DK111*DK$4*(1+DK$34)</f>
        <v>0</v>
      </c>
      <c r="DL123" s="115">
        <f t="shared" si="523"/>
        <v>0</v>
      </c>
      <c r="DM123" s="115">
        <f>DM111*DM$4*(1+DM$34)</f>
        <v>0</v>
      </c>
      <c r="DN123" s="115">
        <f t="shared" si="523"/>
        <v>0</v>
      </c>
      <c r="DO123" s="115">
        <f t="shared" si="523"/>
        <v>0</v>
      </c>
      <c r="DP123" s="115">
        <f t="shared" si="523"/>
        <v>0</v>
      </c>
      <c r="DQ123" s="115">
        <f t="shared" si="495"/>
        <v>0</v>
      </c>
      <c r="DR123" s="115">
        <f t="shared" si="495"/>
        <v>26459.962316460955</v>
      </c>
      <c r="DS123" s="115">
        <f t="shared" si="495"/>
        <v>859948.77528498101</v>
      </c>
      <c r="DT123" s="115">
        <f t="shared" si="496"/>
        <v>859948.77528498101</v>
      </c>
      <c r="DU123" s="115">
        <f t="shared" si="496"/>
        <v>429974.3876424905</v>
      </c>
      <c r="DV123" s="115">
        <f t="shared" ref="DV123" si="524">DV111*DV$4*(1+DV$34)</f>
        <v>26459.962316460955</v>
      </c>
      <c r="DW123" s="115">
        <f t="shared" si="496"/>
        <v>26459.962316460955</v>
      </c>
      <c r="DX123" s="115">
        <f t="shared" ref="DX123:EC123" si="525">DX111*DX$4*(1+DX$34)</f>
        <v>0</v>
      </c>
      <c r="DY123" s="115">
        <f t="shared" si="525"/>
        <v>0</v>
      </c>
      <c r="DZ123" s="115">
        <f t="shared" si="525"/>
        <v>0</v>
      </c>
      <c r="EA123" s="115">
        <f t="shared" si="525"/>
        <v>0</v>
      </c>
      <c r="EB123" s="115">
        <f t="shared" si="525"/>
        <v>0</v>
      </c>
      <c r="EC123" s="115">
        <f t="shared" si="525"/>
        <v>0</v>
      </c>
      <c r="ED123" s="115">
        <f>ED111*ED$4*(1+ED$34)</f>
        <v>0</v>
      </c>
      <c r="EF123" s="74"/>
    </row>
    <row r="124" spans="1:154" x14ac:dyDescent="0.3">
      <c r="A124" s="21" t="s">
        <v>25</v>
      </c>
      <c r="D124" s="115">
        <f ca="1">SUM(D120:D123)</f>
        <v>30705.262580760067</v>
      </c>
      <c r="E124" s="115">
        <f t="shared" ref="E124:P124" ca="1" si="526">SUM(E120:E123)</f>
        <v>30705.262580760067</v>
      </c>
      <c r="F124" s="115">
        <f t="shared" ca="1" si="526"/>
        <v>24685.449182648437</v>
      </c>
      <c r="G124" s="115">
        <f t="shared" ca="1" si="526"/>
        <v>30705.262580760067</v>
      </c>
      <c r="H124" s="115">
        <f t="shared" ca="1" si="526"/>
        <v>30705.262580760067</v>
      </c>
      <c r="I124" s="115">
        <f t="shared" ref="I124" ca="1" si="527">SUM(I120:I123)</f>
        <v>30705.262580760067</v>
      </c>
      <c r="J124" s="115">
        <f t="shared" ca="1" si="526"/>
        <v>30705.262580760067</v>
      </c>
      <c r="K124" s="115">
        <f t="shared" ca="1" si="526"/>
        <v>30705.262580760067</v>
      </c>
      <c r="L124" s="115">
        <f t="shared" ca="1" si="526"/>
        <v>30705.262580760067</v>
      </c>
      <c r="M124" s="115">
        <f t="shared" ca="1" si="526"/>
        <v>30705.262580760067</v>
      </c>
      <c r="N124" s="115">
        <f t="shared" ca="1" si="526"/>
        <v>30705.262580760067</v>
      </c>
      <c r="O124" s="115">
        <f t="shared" ca="1" si="526"/>
        <v>30705.262580760067</v>
      </c>
      <c r="P124" s="115">
        <f t="shared" ca="1" si="526"/>
        <v>30705.262580760067</v>
      </c>
      <c r="Q124" s="115">
        <f t="shared" ref="Q124:BD124" ca="1" si="528">SUM(Q120:Q123)</f>
        <v>23028.946935570049</v>
      </c>
      <c r="R124" s="115">
        <f t="shared" ca="1" si="528"/>
        <v>38381.578225950085</v>
      </c>
      <c r="S124" s="115">
        <f t="shared" ca="1" si="528"/>
        <v>30705.262580760067</v>
      </c>
      <c r="T124" s="115">
        <f t="shared" ca="1" si="528"/>
        <v>24685.449182648437</v>
      </c>
      <c r="U124" s="115">
        <f t="shared" ca="1" si="528"/>
        <v>30705.262580760067</v>
      </c>
      <c r="V124" s="115">
        <f t="shared" ca="1" si="528"/>
        <v>30705.262580760067</v>
      </c>
      <c r="W124" s="115">
        <f t="shared" ca="1" si="528"/>
        <v>30705.262580760067</v>
      </c>
      <c r="X124" s="115">
        <f t="shared" ref="X124:Y124" ca="1" si="529">SUM(X120:X123)</f>
        <v>53582.385604639618</v>
      </c>
      <c r="Y124" s="115">
        <f t="shared" ca="1" si="529"/>
        <v>66649.029050298283</v>
      </c>
      <c r="Z124" s="115">
        <f t="shared" ca="1" si="528"/>
        <v>66649.029050298283</v>
      </c>
      <c r="AA124" s="115">
        <f t="shared" ref="AA124" ca="1" si="530">SUM(AA120:AA123)</f>
        <v>66649.029050298283</v>
      </c>
      <c r="AB124" s="115">
        <f t="shared" ref="AB124:AC124" ca="1" si="531">SUM(AB120:AB123)</f>
        <v>53582.385604639618</v>
      </c>
      <c r="AC124" s="115">
        <f t="shared" ca="1" si="531"/>
        <v>66649.029050298283</v>
      </c>
      <c r="AD124" s="115">
        <f t="shared" ref="AD124" ca="1" si="532">SUM(AD120:AD123)</f>
        <v>66649.029050298283</v>
      </c>
      <c r="AE124" s="115">
        <f t="shared" ref="AE124" ca="1" si="533">SUM(AE120:AE123)</f>
        <v>66649.029050298283</v>
      </c>
      <c r="AF124" s="115">
        <f t="shared" ca="1" si="528"/>
        <v>30705.262580760067</v>
      </c>
      <c r="AG124" s="115">
        <f t="shared" ca="1" si="528"/>
        <v>0</v>
      </c>
      <c r="AH124" s="115">
        <f t="shared" ca="1" si="528"/>
        <v>44968.105597725829</v>
      </c>
      <c r="AI124" s="115">
        <f t="shared" ca="1" si="528"/>
        <v>0</v>
      </c>
      <c r="AJ124" s="115">
        <f t="shared" ca="1" si="528"/>
        <v>58458.537277043579</v>
      </c>
      <c r="AK124" s="115">
        <f t="shared" ca="1" si="528"/>
        <v>0</v>
      </c>
      <c r="AL124" s="115">
        <f t="shared" ca="1" si="528"/>
        <v>120960.12531814571</v>
      </c>
      <c r="AM124" s="115">
        <f t="shared" ca="1" si="528"/>
        <v>0</v>
      </c>
      <c r="AN124" s="115">
        <f t="shared" ca="1" si="528"/>
        <v>314496.32582717889</v>
      </c>
      <c r="AO124" s="115">
        <f t="shared" ca="1" si="528"/>
        <v>0</v>
      </c>
      <c r="AP124" s="115">
        <f t="shared" ca="1" si="528"/>
        <v>199222.25994035893</v>
      </c>
      <c r="AQ124" s="115">
        <f t="shared" ca="1" si="528"/>
        <v>1421130.5514703153</v>
      </c>
      <c r="AR124" s="115">
        <f t="shared" ca="1" si="528"/>
        <v>5582775.014683648</v>
      </c>
      <c r="AS124" s="115">
        <f t="shared" ca="1" si="528"/>
        <v>5582775.014683648</v>
      </c>
      <c r="AT124" s="115">
        <f t="shared" ca="1" si="528"/>
        <v>5582775.014683648</v>
      </c>
      <c r="AU124" s="115">
        <f t="shared" ca="1" si="528"/>
        <v>4488263.4877542602</v>
      </c>
      <c r="AV124" s="115">
        <f t="shared" ca="1" si="528"/>
        <v>4187081.2610127362</v>
      </c>
      <c r="AW124" s="115">
        <f t="shared" ca="1" si="528"/>
        <v>6978468.7683545602</v>
      </c>
      <c r="AX124" s="115">
        <f t="shared" ca="1" si="528"/>
        <v>5582775.014683648</v>
      </c>
      <c r="AY124" s="115">
        <f t="shared" ca="1" si="528"/>
        <v>199222.25994035893</v>
      </c>
      <c r="AZ124" s="115">
        <f t="shared" ca="1" si="528"/>
        <v>199222.25994035893</v>
      </c>
      <c r="BA124" s="115">
        <f t="shared" ca="1" si="528"/>
        <v>199222.25994035893</v>
      </c>
      <c r="BB124" s="115">
        <f t="shared" ca="1" si="528"/>
        <v>199222.25994035893</v>
      </c>
      <c r="BC124" s="115">
        <f t="shared" ca="1" si="528"/>
        <v>0</v>
      </c>
      <c r="BD124" s="115">
        <f t="shared" ca="1" si="528"/>
        <v>0</v>
      </c>
      <c r="BE124" s="115">
        <f t="shared" ref="BE124:CG124" ca="1" si="534">SUM(BE120:BE123)</f>
        <v>0</v>
      </c>
      <c r="BF124" s="115">
        <f t="shared" ca="1" si="534"/>
        <v>0</v>
      </c>
      <c r="BG124" s="115">
        <f t="shared" ca="1" si="534"/>
        <v>0</v>
      </c>
      <c r="BH124" s="115">
        <f t="shared" ca="1" si="534"/>
        <v>0</v>
      </c>
      <c r="BI124" s="115">
        <f t="shared" ca="1" si="534"/>
        <v>0</v>
      </c>
      <c r="BJ124" s="115">
        <f t="shared" ca="1" si="534"/>
        <v>199222.25994035893</v>
      </c>
      <c r="BK124" s="115">
        <f t="shared" ca="1" si="534"/>
        <v>1421130.5514703153</v>
      </c>
      <c r="BL124" s="115">
        <f t="shared" ca="1" si="534"/>
        <v>6513237.5171309235</v>
      </c>
      <c r="BM124" s="115">
        <f t="shared" ca="1" si="534"/>
        <v>6513237.5171309235</v>
      </c>
      <c r="BN124" s="115">
        <f t="shared" ca="1" si="534"/>
        <v>6513237.5171309235</v>
      </c>
      <c r="BO124" s="115">
        <f t="shared" ca="1" si="534"/>
        <v>6513237.5171309235</v>
      </c>
      <c r="BP124" s="115">
        <f t="shared" ca="1" si="534"/>
        <v>6513237.5171309235</v>
      </c>
      <c r="BQ124" s="115">
        <f t="shared" ca="1" si="534"/>
        <v>5236307.402379971</v>
      </c>
      <c r="BR124" s="115">
        <f t="shared" ca="1" si="534"/>
        <v>4884928.1378481919</v>
      </c>
      <c r="BS124" s="115">
        <f t="shared" ca="1" si="534"/>
        <v>8141546.8964136541</v>
      </c>
      <c r="BT124" s="115">
        <f t="shared" ca="1" si="534"/>
        <v>6513237.5171309235</v>
      </c>
      <c r="BU124" s="115">
        <f t="shared" ca="1" si="534"/>
        <v>13026475.034261847</v>
      </c>
      <c r="BV124" s="115">
        <f t="shared" ca="1" si="534"/>
        <v>13026475.034261847</v>
      </c>
      <c r="BW124" s="115">
        <f t="shared" ca="1" si="534"/>
        <v>13026475.034261847</v>
      </c>
      <c r="BX124" s="115">
        <f t="shared" ca="1" si="534"/>
        <v>13026475.034261847</v>
      </c>
      <c r="BY124" s="115">
        <f t="shared" ca="1" si="534"/>
        <v>13026475.034261847</v>
      </c>
      <c r="BZ124" s="115">
        <f t="shared" ca="1" si="534"/>
        <v>10472614.804759942</v>
      </c>
      <c r="CA124" s="115">
        <f t="shared" ca="1" si="534"/>
        <v>9769856.2756963838</v>
      </c>
      <c r="CB124" s="115">
        <f t="shared" ca="1" si="534"/>
        <v>16283093.792827308</v>
      </c>
      <c r="CC124" s="115">
        <f t="shared" ca="1" si="534"/>
        <v>13026475.034261847</v>
      </c>
      <c r="CD124" s="115">
        <f t="shared" ca="1" si="534"/>
        <v>199222.25994035893</v>
      </c>
      <c r="CE124" s="115">
        <f t="shared" ca="1" si="534"/>
        <v>199222.25994035893</v>
      </c>
      <c r="CF124" s="115">
        <f t="shared" ca="1" si="534"/>
        <v>199222.25994035893</v>
      </c>
      <c r="CG124" s="115">
        <f t="shared" ca="1" si="534"/>
        <v>199222.25994035893</v>
      </c>
      <c r="CH124" s="115">
        <f t="shared" ref="CH124:CK124" ca="1" si="535">SUM(CH120:CH123)</f>
        <v>0</v>
      </c>
      <c r="CI124" s="115">
        <f t="shared" ca="1" si="535"/>
        <v>199222.25994035893</v>
      </c>
      <c r="CJ124" s="115">
        <f t="shared" ca="1" si="535"/>
        <v>1421130.5514703153</v>
      </c>
      <c r="CK124" s="115">
        <f t="shared" ca="1" si="535"/>
        <v>6513237.5171309235</v>
      </c>
      <c r="CL124" s="115">
        <f t="shared" ref="CL124:DF124" ca="1" si="536">SUM(CL120:CL123)</f>
        <v>13026475.034261847</v>
      </c>
      <c r="CM124" s="115">
        <f t="shared" ca="1" si="536"/>
        <v>199222.25994035893</v>
      </c>
      <c r="CN124" s="115">
        <f t="shared" ca="1" si="536"/>
        <v>0</v>
      </c>
      <c r="CO124" s="115">
        <f t="shared" ca="1" si="536"/>
        <v>280386.88436050509</v>
      </c>
      <c r="CP124" s="115">
        <f t="shared" ca="1" si="536"/>
        <v>1493939.096742711</v>
      </c>
      <c r="CQ124" s="115">
        <f t="shared" ca="1" si="536"/>
        <v>5582775.014683648</v>
      </c>
      <c r="CR124" s="115">
        <f t="shared" ca="1" si="536"/>
        <v>280386.88436050509</v>
      </c>
      <c r="CS124" s="115">
        <f t="shared" ca="1" si="536"/>
        <v>0</v>
      </c>
      <c r="CT124" s="115">
        <f t="shared" ca="1" si="536"/>
        <v>280386.88436050509</v>
      </c>
      <c r="CU124" s="115">
        <f t="shared" ca="1" si="536"/>
        <v>1493939.096742711</v>
      </c>
      <c r="CV124" s="115">
        <f t="shared" ca="1" si="536"/>
        <v>6513237.5171309235</v>
      </c>
      <c r="CW124" s="115">
        <f t="shared" ca="1" si="536"/>
        <v>13026475.034261847</v>
      </c>
      <c r="CX124" s="115">
        <f t="shared" ca="1" si="536"/>
        <v>280386.88436050509</v>
      </c>
      <c r="CY124" s="115">
        <f t="shared" ca="1" si="536"/>
        <v>0</v>
      </c>
      <c r="CZ124" s="115">
        <f t="shared" ca="1" si="536"/>
        <v>280386.88436050509</v>
      </c>
      <c r="DA124" s="115">
        <f t="shared" ca="1" si="536"/>
        <v>1493939.096742711</v>
      </c>
      <c r="DB124" s="115">
        <f t="shared" ca="1" si="536"/>
        <v>6513237.5171309235</v>
      </c>
      <c r="DC124" s="115">
        <f t="shared" ca="1" si="536"/>
        <v>13026475.034261847</v>
      </c>
      <c r="DD124" s="115">
        <f t="shared" ca="1" si="536"/>
        <v>280386.88436050509</v>
      </c>
      <c r="DE124" s="115">
        <f t="shared" ca="1" si="536"/>
        <v>0</v>
      </c>
      <c r="DF124" s="115">
        <f t="shared" ca="1" si="536"/>
        <v>600859.43870698428</v>
      </c>
      <c r="DG124" s="115"/>
      <c r="DH124" s="115">
        <f ca="1">SUM(DH120:DH123)</f>
        <v>13956937.53670912</v>
      </c>
      <c r="DI124" s="115">
        <f ca="1">SUM(DI120:DI123)</f>
        <v>27913875.073418241</v>
      </c>
      <c r="DJ124" s="115">
        <f ca="1">SUM(DJ120:DJ123)</f>
        <v>600859.43870698428</v>
      </c>
      <c r="DK124" s="115">
        <f t="shared" ref="DK124:DP124" ca="1" si="537">SUM(DK120:DK123)</f>
        <v>0</v>
      </c>
      <c r="DL124" s="115">
        <f t="shared" ca="1" si="537"/>
        <v>0</v>
      </c>
      <c r="DM124" s="115">
        <f ca="1">SUM(DM120:DM123)</f>
        <v>0</v>
      </c>
      <c r="DN124" s="115">
        <f t="shared" ca="1" si="537"/>
        <v>0</v>
      </c>
      <c r="DO124" s="115">
        <f t="shared" ca="1" si="537"/>
        <v>0</v>
      </c>
      <c r="DP124" s="115">
        <f t="shared" ca="1" si="537"/>
        <v>0</v>
      </c>
      <c r="DQ124" s="115">
        <f t="shared" ref="DQ124:DW124" ca="1" si="538">SUM(DQ120:DQ123)</f>
        <v>0</v>
      </c>
      <c r="DR124" s="115">
        <f t="shared" ca="1" si="538"/>
        <v>1363773.9033336407</v>
      </c>
      <c r="DS124" s="115">
        <f t="shared" ca="1" si="538"/>
        <v>44322651.858343326</v>
      </c>
      <c r="DT124" s="115">
        <f t="shared" ca="1" si="538"/>
        <v>44322651.858343326</v>
      </c>
      <c r="DU124" s="115">
        <f t="shared" ca="1" si="538"/>
        <v>22161325.929171663</v>
      </c>
      <c r="DV124" s="115">
        <f t="shared" ca="1" si="538"/>
        <v>1363773.9033336407</v>
      </c>
      <c r="DW124" s="115">
        <f t="shared" ca="1" si="538"/>
        <v>1363773.9033336407</v>
      </c>
      <c r="DX124" s="115">
        <f t="shared" ref="DX124:EC124" ca="1" si="539">SUM(DX120:DX123)</f>
        <v>0</v>
      </c>
      <c r="DY124" s="115">
        <f t="shared" ca="1" si="539"/>
        <v>0</v>
      </c>
      <c r="DZ124" s="115">
        <f t="shared" ca="1" si="539"/>
        <v>0</v>
      </c>
      <c r="EA124" s="115">
        <f t="shared" ca="1" si="539"/>
        <v>0</v>
      </c>
      <c r="EB124" s="115">
        <f t="shared" ca="1" si="539"/>
        <v>0</v>
      </c>
      <c r="EC124" s="115">
        <f t="shared" ca="1" si="539"/>
        <v>0</v>
      </c>
      <c r="ED124" s="115">
        <f ca="1">SUM(ED120:ED123)</f>
        <v>0</v>
      </c>
    </row>
    <row r="126" spans="1:154" x14ac:dyDescent="0.3">
      <c r="A126" s="21" t="s">
        <v>174</v>
      </c>
      <c r="B126" s="21" t="s">
        <v>343</v>
      </c>
    </row>
    <row r="127" spans="1:154" x14ac:dyDescent="0.3">
      <c r="A127" s="21" t="s">
        <v>134</v>
      </c>
      <c r="D127" s="115">
        <f ca="1">D115+D121</f>
        <v>149206.4509519882</v>
      </c>
      <c r="E127" s="115">
        <f t="shared" ref="E127:R127" ca="1" si="540">E115+E121</f>
        <v>180063.43507841532</v>
      </c>
      <c r="F127" s="115">
        <f t="shared" ca="1" si="540"/>
        <v>82669.039557922471</v>
      </c>
      <c r="G127" s="115">
        <f t="shared" ca="1" si="540"/>
        <v>149206.4509519882</v>
      </c>
      <c r="H127" s="115">
        <f t="shared" ca="1" si="540"/>
        <v>149206.4509519882</v>
      </c>
      <c r="I127" s="115">
        <f t="shared" ref="I127" ca="1" si="541">I115+I121</f>
        <v>149206.4509519882</v>
      </c>
      <c r="J127" s="115">
        <f t="shared" ca="1" si="540"/>
        <v>149206.4509519882</v>
      </c>
      <c r="K127" s="115">
        <f t="shared" ca="1" si="540"/>
        <v>149206.4509519882</v>
      </c>
      <c r="L127" s="115">
        <f t="shared" ca="1" si="540"/>
        <v>149206.4509519882</v>
      </c>
      <c r="M127" s="115">
        <f t="shared" ca="1" si="540"/>
        <v>149206.4509519882</v>
      </c>
      <c r="N127" s="115">
        <f t="shared" ca="1" si="540"/>
        <v>149206.4509519882</v>
      </c>
      <c r="O127" s="115">
        <f t="shared" ca="1" si="540"/>
        <v>149206.4509519882</v>
      </c>
      <c r="P127" s="115">
        <f t="shared" ca="1" si="540"/>
        <v>149206.4509519882</v>
      </c>
      <c r="Q127" s="115">
        <f ca="1">Q115+Q121</f>
        <v>142761.82234041826</v>
      </c>
      <c r="R127" s="115">
        <f t="shared" ca="1" si="540"/>
        <v>155651.0795635581</v>
      </c>
      <c r="S127" s="115">
        <f ca="1">S115+S121</f>
        <v>180063.43507841532</v>
      </c>
      <c r="T127" s="115">
        <f t="shared" ref="T127:V129" ca="1" si="542">T115+T121</f>
        <v>82669.039557922471</v>
      </c>
      <c r="U127" s="115">
        <f t="shared" ca="1" si="542"/>
        <v>149206.4509519882</v>
      </c>
      <c r="V127" s="115">
        <f t="shared" ca="1" si="542"/>
        <v>149206.4509519882</v>
      </c>
      <c r="W127" s="115">
        <f t="shared" ref="W127:AX127" ca="1" si="543">W115+W121</f>
        <v>149206.4509519882</v>
      </c>
      <c r="X127" s="115">
        <f t="shared" ref="X127:Y127" ca="1" si="544">X115+X121</f>
        <v>186042.32459193165</v>
      </c>
      <c r="Y127" s="115">
        <f t="shared" ca="1" si="544"/>
        <v>324457.1967513467</v>
      </c>
      <c r="Z127" s="115">
        <f t="shared" ca="1" si="543"/>
        <v>324457.1967513467</v>
      </c>
      <c r="AA127" s="115">
        <f t="shared" ref="AA127" ca="1" si="545">AA115+AA121</f>
        <v>324457.1967513467</v>
      </c>
      <c r="AB127" s="115">
        <f t="shared" ref="AB127:AC127" ca="1" si="546">AB115+AB121</f>
        <v>186042.32459193165</v>
      </c>
      <c r="AC127" s="115">
        <f t="shared" ca="1" si="546"/>
        <v>324457.1967513467</v>
      </c>
      <c r="AD127" s="115">
        <f t="shared" ref="AD127" ca="1" si="547">AD115+AD121</f>
        <v>324457.1967513467</v>
      </c>
      <c r="AE127" s="115">
        <f t="shared" ref="AE127" ca="1" si="548">AE115+AE121</f>
        <v>324457.1967513467</v>
      </c>
      <c r="AF127" s="115">
        <f t="shared" ca="1" si="543"/>
        <v>149206.4509519882</v>
      </c>
      <c r="AG127" s="115">
        <f t="shared" ca="1" si="543"/>
        <v>72580.51631933765</v>
      </c>
      <c r="AH127" s="115">
        <f t="shared" ca="1" si="543"/>
        <v>127701.57865950314</v>
      </c>
      <c r="AI127" s="115">
        <f t="shared" ca="1" si="543"/>
        <v>92063.271483901859</v>
      </c>
      <c r="AJ127" s="115">
        <f t="shared" ca="1" si="543"/>
        <v>152745.03481575911</v>
      </c>
      <c r="AK127" s="115">
        <f t="shared" ca="1" si="543"/>
        <v>270304.25400998758</v>
      </c>
      <c r="AL127" s="115">
        <f t="shared" ca="1" si="543"/>
        <v>350005.92647269665</v>
      </c>
      <c r="AM127" s="115">
        <f t="shared" ca="1" si="543"/>
        <v>270304.25400998758</v>
      </c>
      <c r="AN127" s="115">
        <f ca="1">AN115+AN121</f>
        <v>512488.68419470184</v>
      </c>
      <c r="AO127" s="115">
        <f t="shared" ca="1" si="543"/>
        <v>4503470.1704088394</v>
      </c>
      <c r="AP127" s="115">
        <f t="shared" ca="1" si="543"/>
        <v>4929157.7989134481</v>
      </c>
      <c r="AQ127" s="115">
        <f t="shared" ca="1" si="543"/>
        <v>6192088.5568635333</v>
      </c>
      <c r="AR127" s="115">
        <f t="shared" ca="1" si="543"/>
        <v>9106244.7696115263</v>
      </c>
      <c r="AS127" s="115">
        <f t="shared" ca="1" si="543"/>
        <v>9106244.7696115263</v>
      </c>
      <c r="AT127" s="115">
        <f t="shared" ca="1" si="543"/>
        <v>9106244.7696115263</v>
      </c>
      <c r="AU127" s="115">
        <f t="shared" ca="1" si="543"/>
        <v>7632200.9930682667</v>
      </c>
      <c r="AV127" s="115">
        <f t="shared" ca="1" si="543"/>
        <v>7934494.1129624518</v>
      </c>
      <c r="AW127" s="115">
        <f t="shared" ca="1" si="543"/>
        <v>10277995.426260604</v>
      </c>
      <c r="AX127" s="115">
        <f t="shared" ca="1" si="543"/>
        <v>9106244.7696115263</v>
      </c>
      <c r="AY127" s="115">
        <f t="shared" ref="AY127:BH129" ca="1" si="549">AY115+AY121</f>
        <v>8678490.4041354787</v>
      </c>
      <c r="AZ127" s="115">
        <f t="shared" ca="1" si="549"/>
        <v>8678490.4041354787</v>
      </c>
      <c r="BA127" s="115">
        <f t="shared" ca="1" si="549"/>
        <v>8678490.4041354787</v>
      </c>
      <c r="BB127" s="115">
        <f t="shared" ca="1" si="549"/>
        <v>8678490.4041354787</v>
      </c>
      <c r="BC127" s="115">
        <f t="shared" ref="BC127:BH127" ca="1" si="550">BC115+BC121</f>
        <v>4503470.1704088394</v>
      </c>
      <c r="BD127" s="115">
        <f t="shared" ca="1" si="550"/>
        <v>4503470.1704088394</v>
      </c>
      <c r="BE127" s="115">
        <f t="shared" ca="1" si="550"/>
        <v>4503470.1704088394</v>
      </c>
      <c r="BF127" s="115">
        <f t="shared" ca="1" si="550"/>
        <v>4503470.1704088394</v>
      </c>
      <c r="BG127" s="115">
        <f t="shared" ca="1" si="550"/>
        <v>4503470.1704088394</v>
      </c>
      <c r="BH127" s="115">
        <f t="shared" ca="1" si="550"/>
        <v>4503470.1704088394</v>
      </c>
      <c r="BI127" s="115">
        <f t="shared" ref="BI127:BW127" ca="1" si="551">BI115+BI121</f>
        <v>4503470.1704088394</v>
      </c>
      <c r="BJ127" s="115">
        <f t="shared" ca="1" si="551"/>
        <v>4929157.7989134481</v>
      </c>
      <c r="BK127" s="115">
        <f t="shared" ca="1" si="551"/>
        <v>6192088.5568635333</v>
      </c>
      <c r="BL127" s="115">
        <f t="shared" ca="1" si="551"/>
        <v>9887411.8740442451</v>
      </c>
      <c r="BM127" s="115">
        <f t="shared" ca="1" si="551"/>
        <v>9887411.8740442451</v>
      </c>
      <c r="BN127" s="115">
        <f t="shared" ca="1" si="551"/>
        <v>9887411.8740442451</v>
      </c>
      <c r="BO127" s="115">
        <f t="shared" ca="1" si="551"/>
        <v>9887411.8740442451</v>
      </c>
      <c r="BP127" s="115">
        <f t="shared" ca="1" si="551"/>
        <v>9887411.8740442451</v>
      </c>
      <c r="BQ127" s="115">
        <f t="shared" ca="1" si="551"/>
        <v>8230949.5096794199</v>
      </c>
      <c r="BR127" s="115">
        <f t="shared" ca="1" si="551"/>
        <v>8520369.4412869886</v>
      </c>
      <c r="BS127" s="115">
        <f t="shared" ca="1" si="551"/>
        <v>11254454.3068015</v>
      </c>
      <c r="BT127" s="115">
        <f t="shared" ca="1" si="551"/>
        <v>9887411.8740442451</v>
      </c>
      <c r="BU127" s="115">
        <f t="shared" ca="1" si="551"/>
        <v>15355581.605073266</v>
      </c>
      <c r="BV127" s="115">
        <f t="shared" ca="1" si="551"/>
        <v>15355581.605073266</v>
      </c>
      <c r="BW127" s="115">
        <f t="shared" ca="1" si="551"/>
        <v>15355581.605073266</v>
      </c>
      <c r="BX127" s="115">
        <f t="shared" ref="BX127:CC127" ca="1" si="552">BX115+BX121</f>
        <v>15355581.605073266</v>
      </c>
      <c r="BY127" s="115">
        <f t="shared" ca="1" si="552"/>
        <v>15355581.605073266</v>
      </c>
      <c r="BZ127" s="115">
        <f t="shared" ca="1" si="552"/>
        <v>12422189.125957487</v>
      </c>
      <c r="CA127" s="115">
        <f t="shared" ca="1" si="552"/>
        <v>12621496.739558754</v>
      </c>
      <c r="CB127" s="115">
        <f t="shared" ca="1" si="552"/>
        <v>18089666.470587775</v>
      </c>
      <c r="CC127" s="115">
        <f t="shared" ca="1" si="552"/>
        <v>15355581.605073266</v>
      </c>
      <c r="CD127" s="115">
        <f t="shared" ref="CD127:CG129" ca="1" si="553">CD115+CD121</f>
        <v>8678490.4041354787</v>
      </c>
      <c r="CE127" s="115">
        <f t="shared" ca="1" si="553"/>
        <v>8678490.4041354787</v>
      </c>
      <c r="CF127" s="115">
        <f t="shared" ca="1" si="553"/>
        <v>8678490.4041354787</v>
      </c>
      <c r="CG127" s="115">
        <f t="shared" ca="1" si="553"/>
        <v>8678490.4041354787</v>
      </c>
      <c r="CH127" s="115">
        <f t="shared" ref="CH127:CL127" ca="1" si="554">CH115+CH121</f>
        <v>4503470.1704088394</v>
      </c>
      <c r="CI127" s="115">
        <f t="shared" ca="1" si="554"/>
        <v>4929157.7989134481</v>
      </c>
      <c r="CJ127" s="115">
        <f t="shared" ca="1" si="554"/>
        <v>6192088.5568635333</v>
      </c>
      <c r="CK127" s="115">
        <f t="shared" ca="1" si="554"/>
        <v>9887411.8740442451</v>
      </c>
      <c r="CL127" s="115">
        <f t="shared" ca="1" si="554"/>
        <v>15355581.605073266</v>
      </c>
      <c r="CM127" s="115">
        <f t="shared" ref="CM127:DF127" ca="1" si="555">CM115+CM121</f>
        <v>8678490.4041354787</v>
      </c>
      <c r="CN127" s="115">
        <f t="shared" ca="1" si="555"/>
        <v>5592253.6524951607</v>
      </c>
      <c r="CO127" s="115">
        <f t="shared" ca="1" si="555"/>
        <v>6155933.8631398892</v>
      </c>
      <c r="CP127" s="115">
        <f t="shared" ca="1" si="555"/>
        <v>7343861.3493033238</v>
      </c>
      <c r="CQ127" s="115">
        <f t="shared" ca="1" si="555"/>
        <v>10192775.285264365</v>
      </c>
      <c r="CR127" s="115">
        <f t="shared" ca="1" si="555"/>
        <v>10896577.811917406</v>
      </c>
      <c r="CS127" s="115">
        <f t="shared" ca="1" si="555"/>
        <v>5592253.6524951607</v>
      </c>
      <c r="CT127" s="115">
        <f t="shared" ca="1" si="555"/>
        <v>6155933.8631398892</v>
      </c>
      <c r="CU127" s="115">
        <f t="shared" ca="1" si="555"/>
        <v>7343861.3493033238</v>
      </c>
      <c r="CV127" s="115">
        <f t="shared" ca="1" si="555"/>
        <v>10973942.389697082</v>
      </c>
      <c r="CW127" s="115">
        <f t="shared" ca="1" si="555"/>
        <v>16442112.120726105</v>
      </c>
      <c r="CX127" s="115">
        <f t="shared" ca="1" si="555"/>
        <v>10896577.811917406</v>
      </c>
      <c r="CY127" s="115">
        <f t="shared" ca="1" si="555"/>
        <v>5592253.6524951607</v>
      </c>
      <c r="CZ127" s="115">
        <f t="shared" ca="1" si="555"/>
        <v>6155933.8631398892</v>
      </c>
      <c r="DA127" s="115">
        <f t="shared" ca="1" si="555"/>
        <v>7343861.3493033238</v>
      </c>
      <c r="DB127" s="115">
        <f t="shared" ca="1" si="555"/>
        <v>10973942.389697082</v>
      </c>
      <c r="DC127" s="115">
        <f t="shared" ca="1" si="555"/>
        <v>16442112.120726105</v>
      </c>
      <c r="DD127" s="115">
        <f t="shared" ca="1" si="555"/>
        <v>10896577.811917406</v>
      </c>
      <c r="DE127" s="115">
        <f t="shared" ca="1" si="555"/>
        <v>11328302.154663028</v>
      </c>
      <c r="DF127" s="115">
        <f t="shared" ca="1" si="555"/>
        <v>11971283.130757054</v>
      </c>
      <c r="DG127" s="115"/>
      <c r="DH127" s="115">
        <f t="shared" ref="DH127:DJ129" ca="1" si="556">DH115+DH121</f>
        <v>24665613.223349839</v>
      </c>
      <c r="DI127" s="115">
        <f t="shared" ca="1" si="556"/>
        <v>36383119.789840594</v>
      </c>
      <c r="DJ127" s="115">
        <f t="shared" ca="1" si="556"/>
        <v>21002801.383347634</v>
      </c>
      <c r="DK127" s="115">
        <f t="shared" ref="DK127:DP127" ca="1" si="557">DK115+DK121</f>
        <v>43508895.627887554</v>
      </c>
      <c r="DL127" s="115">
        <f t="shared" ca="1" si="557"/>
        <v>43508895.627887554</v>
      </c>
      <c r="DM127" s="115">
        <f ca="1">DM115+DM121</f>
        <v>43508895.627887554</v>
      </c>
      <c r="DN127" s="115">
        <f t="shared" ca="1" si="557"/>
        <v>43508895.627887554</v>
      </c>
      <c r="DO127" s="115">
        <f t="shared" ca="1" si="557"/>
        <v>43508895.627887554</v>
      </c>
      <c r="DP127" s="115">
        <f t="shared" ca="1" si="557"/>
        <v>43508895.627887554</v>
      </c>
      <c r="DQ127" s="115">
        <f t="shared" ref="DQ127:DS129" ca="1" si="558">DQ115+DQ121</f>
        <v>43508895.627887554</v>
      </c>
      <c r="DR127" s="115">
        <f t="shared" ca="1" si="558"/>
        <v>43057123.459361091</v>
      </c>
      <c r="DS127" s="115">
        <f t="shared" ca="1" si="558"/>
        <v>94781413.824595749</v>
      </c>
      <c r="DT127" s="115">
        <f t="shared" ref="DT127:DW129" ca="1" si="559">DT115+DT121</f>
        <v>94781413.824595749</v>
      </c>
      <c r="DU127" s="115">
        <f t="shared" ca="1" si="559"/>
        <v>77552711.563150749</v>
      </c>
      <c r="DV127" s="115">
        <f t="shared" ref="DV127" ca="1" si="560">DV115+DV121</f>
        <v>64023197.12951418</v>
      </c>
      <c r="DW127" s="115">
        <f t="shared" ca="1" si="559"/>
        <v>63703980.897923239</v>
      </c>
      <c r="DX127" s="115">
        <f t="shared" ref="DX127:EC127" ca="1" si="561">DX115+DX121</f>
        <v>873291603.94313657</v>
      </c>
      <c r="DY127" s="115">
        <f t="shared" ca="1" si="561"/>
        <v>873291603.94313657</v>
      </c>
      <c r="DZ127" s="115">
        <f t="shared" ca="1" si="561"/>
        <v>873291603.94313657</v>
      </c>
      <c r="EA127" s="115">
        <f t="shared" ca="1" si="561"/>
        <v>873291603.94313657</v>
      </c>
      <c r="EB127" s="115">
        <f t="shared" ca="1" si="561"/>
        <v>873291603.94313657</v>
      </c>
      <c r="EC127" s="115">
        <f t="shared" ca="1" si="561"/>
        <v>873291603.94313657</v>
      </c>
      <c r="ED127" s="115">
        <f ca="1">ED115+ED121</f>
        <v>873291603.94313657</v>
      </c>
    </row>
    <row r="128" spans="1:154" x14ac:dyDescent="0.3">
      <c r="A128" s="21" t="s">
        <v>132</v>
      </c>
      <c r="D128" s="115">
        <f>D116+D122</f>
        <v>10433.043116162611</v>
      </c>
      <c r="E128" s="115">
        <f t="shared" ref="E128:R128" si="562">E116+E122</f>
        <v>11898.323693335746</v>
      </c>
      <c r="F128" s="115">
        <f t="shared" si="562"/>
        <v>10433.043116162611</v>
      </c>
      <c r="G128" s="115">
        <f t="shared" si="562"/>
        <v>10433.043116162611</v>
      </c>
      <c r="H128" s="115">
        <f t="shared" si="562"/>
        <v>10433.043116162611</v>
      </c>
      <c r="I128" s="115">
        <f t="shared" ref="I128" si="563">I116+I122</f>
        <v>10433.043116162611</v>
      </c>
      <c r="J128" s="115">
        <f t="shared" si="562"/>
        <v>10433.043116162611</v>
      </c>
      <c r="K128" s="115">
        <f t="shared" si="562"/>
        <v>10433.043116162611</v>
      </c>
      <c r="L128" s="115">
        <f t="shared" si="562"/>
        <v>10433.043116162611</v>
      </c>
      <c r="M128" s="115">
        <f t="shared" si="562"/>
        <v>10433.043116162611</v>
      </c>
      <c r="N128" s="115">
        <f t="shared" si="562"/>
        <v>10433.043116162611</v>
      </c>
      <c r="O128" s="115">
        <f t="shared" si="562"/>
        <v>10433.043116162611</v>
      </c>
      <c r="P128" s="115">
        <f t="shared" si="562"/>
        <v>10433.043116162611</v>
      </c>
      <c r="Q128" s="115">
        <f>Q116+Q122</f>
        <v>9290.0629142950929</v>
      </c>
      <c r="R128" s="115">
        <f t="shared" si="562"/>
        <v>11576.023318030133</v>
      </c>
      <c r="S128" s="115">
        <f>S116+S122</f>
        <v>11898.323693335746</v>
      </c>
      <c r="T128" s="115">
        <f t="shared" si="542"/>
        <v>10433.043116162611</v>
      </c>
      <c r="U128" s="115">
        <f t="shared" si="542"/>
        <v>10433.043116162611</v>
      </c>
      <c r="V128" s="115">
        <f t="shared" si="542"/>
        <v>10433.043116162611</v>
      </c>
      <c r="W128" s="115">
        <f t="shared" ref="W128:AX128" si="564">W116+W122</f>
        <v>10433.043116162611</v>
      </c>
      <c r="X128" s="115">
        <f t="shared" ref="X128:Y128" si="565">X116+X122</f>
        <v>23193.957754169569</v>
      </c>
      <c r="Y128" s="115">
        <f t="shared" si="565"/>
        <v>23193.957754169569</v>
      </c>
      <c r="Z128" s="115">
        <f t="shared" si="564"/>
        <v>23193.957754169569</v>
      </c>
      <c r="AA128" s="115">
        <f t="shared" ref="AA128" si="566">AA116+AA122</f>
        <v>23193.957754169569</v>
      </c>
      <c r="AB128" s="115">
        <f t="shared" ref="AB128:AC128" si="567">AB116+AB122</f>
        <v>23193.957754169569</v>
      </c>
      <c r="AC128" s="115">
        <f t="shared" si="567"/>
        <v>23193.957754169569</v>
      </c>
      <c r="AD128" s="115">
        <f t="shared" ref="AD128" si="568">AD116+AD122</f>
        <v>23193.957754169569</v>
      </c>
      <c r="AE128" s="115">
        <f t="shared" ref="AE128" si="569">AE116+AE122</f>
        <v>23193.957754169569</v>
      </c>
      <c r="AF128" s="115">
        <f t="shared" si="564"/>
        <v>10433.043116162611</v>
      </c>
      <c r="AG128" s="115">
        <f t="shared" si="564"/>
        <v>11119.96706400861</v>
      </c>
      <c r="AH128" s="115">
        <f t="shared" si="564"/>
        <v>19243.756206348095</v>
      </c>
      <c r="AI128" s="115">
        <f t="shared" si="564"/>
        <v>14345.73136072908</v>
      </c>
      <c r="AJ128" s="115">
        <f t="shared" si="564"/>
        <v>25312.288789627455</v>
      </c>
      <c r="AK128" s="115">
        <f t="shared" si="564"/>
        <v>50631.486089320766</v>
      </c>
      <c r="AL128" s="115">
        <f t="shared" si="564"/>
        <v>62646.134623332633</v>
      </c>
      <c r="AM128" s="115">
        <f t="shared" si="564"/>
        <v>50631.486089320766</v>
      </c>
      <c r="AN128" s="115">
        <f t="shared" si="564"/>
        <v>91463.090015871305</v>
      </c>
      <c r="AO128" s="115">
        <f t="shared" si="564"/>
        <v>804771.86869683384</v>
      </c>
      <c r="AP128" s="115">
        <f t="shared" si="564"/>
        <v>881495.91833456082</v>
      </c>
      <c r="AQ128" s="115">
        <f t="shared" si="564"/>
        <v>1106524.9104203626</v>
      </c>
      <c r="AR128" s="115">
        <f t="shared" si="564"/>
        <v>1581361.7338030674</v>
      </c>
      <c r="AS128" s="115">
        <f t="shared" si="564"/>
        <v>1581361.7338030674</v>
      </c>
      <c r="AT128" s="115">
        <f t="shared" si="564"/>
        <v>1581361.7338030674</v>
      </c>
      <c r="AU128" s="115">
        <f t="shared" si="564"/>
        <v>1581361.7338030674</v>
      </c>
      <c r="AV128" s="115">
        <f t="shared" si="564"/>
        <v>1373547.1516453368</v>
      </c>
      <c r="AW128" s="115">
        <f t="shared" si="564"/>
        <v>1789176.3159607982</v>
      </c>
      <c r="AX128" s="115">
        <f t="shared" si="564"/>
        <v>1581361.7338030674</v>
      </c>
      <c r="AY128" s="115">
        <f t="shared" si="549"/>
        <v>933815.67835967825</v>
      </c>
      <c r="AZ128" s="115">
        <f t="shared" si="549"/>
        <v>933815.67835967825</v>
      </c>
      <c r="BA128" s="115">
        <f t="shared" si="549"/>
        <v>933815.67835967825</v>
      </c>
      <c r="BB128" s="115">
        <f t="shared" si="549"/>
        <v>933815.67835967825</v>
      </c>
      <c r="BC128" s="115">
        <f t="shared" si="549"/>
        <v>804771.86869683384</v>
      </c>
      <c r="BD128" s="115">
        <f>BD116+BD122</f>
        <v>804771.86869683384</v>
      </c>
      <c r="BE128" s="115">
        <f>BE116+BE122</f>
        <v>804771.86869683384</v>
      </c>
      <c r="BF128" s="115">
        <f t="shared" si="549"/>
        <v>804771.86869683384</v>
      </c>
      <c r="BG128" s="115">
        <f t="shared" si="549"/>
        <v>804771.86869683384</v>
      </c>
      <c r="BH128" s="115">
        <f t="shared" si="549"/>
        <v>804771.86869683384</v>
      </c>
      <c r="BI128" s="115">
        <f t="shared" ref="BI128:BT128" si="570">BI116+BI122</f>
        <v>804771.86869683384</v>
      </c>
      <c r="BJ128" s="115">
        <f t="shared" si="570"/>
        <v>881495.91833456082</v>
      </c>
      <c r="BK128" s="115">
        <f t="shared" si="570"/>
        <v>1106524.9104203626</v>
      </c>
      <c r="BL128" s="115">
        <f t="shared" si="570"/>
        <v>1719904.7885748879</v>
      </c>
      <c r="BM128" s="115">
        <f t="shared" si="570"/>
        <v>1719904.7885748879</v>
      </c>
      <c r="BN128" s="115">
        <f t="shared" si="570"/>
        <v>1719904.7885748879</v>
      </c>
      <c r="BO128" s="115">
        <f t="shared" si="570"/>
        <v>1719904.7885748879</v>
      </c>
      <c r="BP128" s="115">
        <f t="shared" si="570"/>
        <v>1719904.7885748879</v>
      </c>
      <c r="BQ128" s="115">
        <f t="shared" si="570"/>
        <v>1719904.7885748879</v>
      </c>
      <c r="BR128" s="115">
        <f t="shared" si="570"/>
        <v>1477454.4427242021</v>
      </c>
      <c r="BS128" s="115">
        <f t="shared" si="570"/>
        <v>1962355.134425574</v>
      </c>
      <c r="BT128" s="115">
        <f t="shared" si="570"/>
        <v>1719904.7885748879</v>
      </c>
      <c r="BU128" s="115">
        <f t="shared" ref="BU128:CC128" si="571">BU116+BU122</f>
        <v>2689706.1719776313</v>
      </c>
      <c r="BV128" s="115">
        <f t="shared" si="571"/>
        <v>2689706.1719776313</v>
      </c>
      <c r="BW128" s="115">
        <f t="shared" si="571"/>
        <v>2689706.1719776313</v>
      </c>
      <c r="BX128" s="115">
        <f t="shared" si="571"/>
        <v>2689706.1719776313</v>
      </c>
      <c r="BY128" s="115">
        <f t="shared" si="571"/>
        <v>2689706.1719776313</v>
      </c>
      <c r="BZ128" s="115">
        <f t="shared" si="571"/>
        <v>2689706.1719776313</v>
      </c>
      <c r="CA128" s="115">
        <f t="shared" si="571"/>
        <v>2204805.4802762596</v>
      </c>
      <c r="CB128" s="115">
        <f t="shared" si="571"/>
        <v>3174606.8636790034</v>
      </c>
      <c r="CC128" s="115">
        <f t="shared" si="571"/>
        <v>2689706.1719776313</v>
      </c>
      <c r="CD128" s="115">
        <f t="shared" si="553"/>
        <v>933815.67835967825</v>
      </c>
      <c r="CE128" s="115">
        <f t="shared" si="553"/>
        <v>933815.67835967825</v>
      </c>
      <c r="CF128" s="115">
        <f t="shared" si="553"/>
        <v>933815.67835967825</v>
      </c>
      <c r="CG128" s="115">
        <f t="shared" si="553"/>
        <v>933815.67835967825</v>
      </c>
      <c r="CH128" s="115">
        <f t="shared" ref="CH128:CK128" si="572">CH116+CH122</f>
        <v>804771.86869683384</v>
      </c>
      <c r="CI128" s="115">
        <f t="shared" si="572"/>
        <v>881495.91833456082</v>
      </c>
      <c r="CJ128" s="115">
        <f t="shared" si="572"/>
        <v>1106524.9104203626</v>
      </c>
      <c r="CK128" s="115">
        <f t="shared" si="572"/>
        <v>1719904.7885748879</v>
      </c>
      <c r="CL128" s="115">
        <f>CL116+CL122</f>
        <v>2689706.1719776313</v>
      </c>
      <c r="CM128" s="115">
        <f t="shared" ref="CM128:DF128" si="573">CM116+CM122</f>
        <v>933815.67835967825</v>
      </c>
      <c r="CN128" s="115">
        <f t="shared" si="573"/>
        <v>1022437.1749044665</v>
      </c>
      <c r="CO128" s="115">
        <f t="shared" si="573"/>
        <v>1120277.6606794766</v>
      </c>
      <c r="CP128" s="115">
        <f t="shared" si="573"/>
        <v>1352141.934094117</v>
      </c>
      <c r="CQ128" s="115">
        <f t="shared" si="573"/>
        <v>1788633.7907256898</v>
      </c>
      <c r="CR128" s="115">
        <f t="shared" si="573"/>
        <v>1193570.283890296</v>
      </c>
      <c r="CS128" s="115">
        <f t="shared" si="573"/>
        <v>1022437.1749044665</v>
      </c>
      <c r="CT128" s="115">
        <f t="shared" si="573"/>
        <v>1120277.6606794766</v>
      </c>
      <c r="CU128" s="115">
        <f t="shared" si="573"/>
        <v>1352141.934094117</v>
      </c>
      <c r="CV128" s="115">
        <f t="shared" si="573"/>
        <v>1927176.8454975104</v>
      </c>
      <c r="CW128" s="115">
        <f t="shared" si="573"/>
        <v>2896978.2289002538</v>
      </c>
      <c r="CX128" s="115">
        <f t="shared" si="573"/>
        <v>1193570.283890296</v>
      </c>
      <c r="CY128" s="115">
        <f t="shared" si="573"/>
        <v>1022437.1749044665</v>
      </c>
      <c r="CZ128" s="115">
        <f t="shared" si="573"/>
        <v>1120277.6606794766</v>
      </c>
      <c r="DA128" s="115">
        <f t="shared" si="573"/>
        <v>1352141.934094117</v>
      </c>
      <c r="DB128" s="115">
        <f t="shared" si="573"/>
        <v>1927176.8454975104</v>
      </c>
      <c r="DC128" s="115">
        <f t="shared" si="573"/>
        <v>2896978.2289002538</v>
      </c>
      <c r="DD128" s="115">
        <f t="shared" si="573"/>
        <v>1193570.283890296</v>
      </c>
      <c r="DE128" s="115">
        <f t="shared" si="573"/>
        <v>1914397.9194092834</v>
      </c>
      <c r="DF128" s="115">
        <f t="shared" si="573"/>
        <v>2031397.9577695173</v>
      </c>
      <c r="DG128" s="115"/>
      <c r="DH128" s="115">
        <f t="shared" si="556"/>
        <v>4066978.1661217222</v>
      </c>
      <c r="DI128" s="115">
        <f t="shared" si="556"/>
        <v>6145123.98769903</v>
      </c>
      <c r="DJ128" s="115">
        <f t="shared" si="556"/>
        <v>2288143.7801453085</v>
      </c>
      <c r="DK128" s="115">
        <f t="shared" ref="DK128:DP128" si="574">DK116+DK122</f>
        <v>5600704.1740080565</v>
      </c>
      <c r="DL128" s="115">
        <f t="shared" si="574"/>
        <v>5600704.1740080565</v>
      </c>
      <c r="DM128" s="115">
        <f>DM116+DM122</f>
        <v>5600704.1740080565</v>
      </c>
      <c r="DN128" s="115">
        <f t="shared" si="574"/>
        <v>5600704.1740080565</v>
      </c>
      <c r="DO128" s="115">
        <f t="shared" si="574"/>
        <v>5600704.1740080565</v>
      </c>
      <c r="DP128" s="115">
        <f t="shared" si="574"/>
        <v>5600704.1740080565</v>
      </c>
      <c r="DQ128" s="115">
        <f t="shared" si="558"/>
        <v>5600704.1740080565</v>
      </c>
      <c r="DR128" s="115">
        <f t="shared" si="558"/>
        <v>5787299.9679878047</v>
      </c>
      <c r="DS128" s="115">
        <f t="shared" si="558"/>
        <v>15256948.501280816</v>
      </c>
      <c r="DT128" s="115">
        <f t="shared" si="559"/>
        <v>15256948.501280816</v>
      </c>
      <c r="DU128" s="115">
        <f t="shared" si="559"/>
        <v>10754299.221196651</v>
      </c>
      <c r="DV128" s="115">
        <f t="shared" ref="DV128" si="575">DV116+DV122</f>
        <v>6802223.4116034489</v>
      </c>
      <c r="DW128" s="115">
        <f t="shared" si="559"/>
        <v>6802223.4116034489</v>
      </c>
      <c r="DX128" s="115">
        <f t="shared" ref="DX128:EC128" si="576">DX116+DX122</f>
        <v>100185706.51716661</v>
      </c>
      <c r="DY128" s="115">
        <f t="shared" si="576"/>
        <v>100185706.51716661</v>
      </c>
      <c r="DZ128" s="115">
        <f t="shared" si="576"/>
        <v>100185706.51716661</v>
      </c>
      <c r="EA128" s="115">
        <f t="shared" si="576"/>
        <v>100185706.51716661</v>
      </c>
      <c r="EB128" s="115">
        <f t="shared" si="576"/>
        <v>100185706.51716661</v>
      </c>
      <c r="EC128" s="115">
        <f t="shared" si="576"/>
        <v>100185706.51716661</v>
      </c>
      <c r="ED128" s="115">
        <f>ED116+ED122</f>
        <v>100185706.51716661</v>
      </c>
    </row>
    <row r="129" spans="1:154" x14ac:dyDescent="0.3">
      <c r="A129" s="21" t="s">
        <v>133</v>
      </c>
      <c r="D129" s="115">
        <f>D117+D123</f>
        <v>2023.5369030698728</v>
      </c>
      <c r="E129" s="115">
        <f t="shared" ref="E129:R129" si="577">E117+E123</f>
        <v>2440.7142970847608</v>
      </c>
      <c r="F129" s="115">
        <f t="shared" si="577"/>
        <v>2023.5369030698728</v>
      </c>
      <c r="G129" s="115">
        <f t="shared" si="577"/>
        <v>2023.5369030698728</v>
      </c>
      <c r="H129" s="115">
        <f t="shared" si="577"/>
        <v>2023.5369030698728</v>
      </c>
      <c r="I129" s="115">
        <f t="shared" ref="I129" si="578">I117+I123</f>
        <v>2023.5369030698728</v>
      </c>
      <c r="J129" s="115">
        <f t="shared" si="577"/>
        <v>2023.5369030698728</v>
      </c>
      <c r="K129" s="115">
        <f t="shared" si="577"/>
        <v>2023.5369030698728</v>
      </c>
      <c r="L129" s="115">
        <f t="shared" si="577"/>
        <v>2023.5369030698728</v>
      </c>
      <c r="M129" s="115">
        <f t="shared" si="577"/>
        <v>2023.5369030698728</v>
      </c>
      <c r="N129" s="115">
        <f t="shared" si="577"/>
        <v>2023.5369030698728</v>
      </c>
      <c r="O129" s="115">
        <f t="shared" si="577"/>
        <v>2023.5369030698728</v>
      </c>
      <c r="P129" s="115">
        <f t="shared" si="577"/>
        <v>2023.5369030698728</v>
      </c>
      <c r="Q129" s="115">
        <f>Q117+Q123</f>
        <v>1934.8300713172923</v>
      </c>
      <c r="R129" s="115">
        <f t="shared" si="577"/>
        <v>2112.2437348224535</v>
      </c>
      <c r="S129" s="115">
        <f>S117+S123</f>
        <v>2440.7142970847608</v>
      </c>
      <c r="T129" s="115">
        <f t="shared" si="542"/>
        <v>2023.5369030698728</v>
      </c>
      <c r="U129" s="115">
        <f t="shared" si="542"/>
        <v>2023.5369030698728</v>
      </c>
      <c r="V129" s="115">
        <f t="shared" si="542"/>
        <v>2023.5369030698728</v>
      </c>
      <c r="W129" s="115">
        <f t="shared" ref="W129:AX129" si="579">W117+W123</f>
        <v>2023.5369030698728</v>
      </c>
      <c r="X129" s="115">
        <f t="shared" ref="X129:Y129" si="580">X117+X123</f>
        <v>4548.3019524210167</v>
      </c>
      <c r="Y129" s="115">
        <f t="shared" si="580"/>
        <v>4548.3019524210167</v>
      </c>
      <c r="Z129" s="115">
        <f t="shared" si="579"/>
        <v>4548.3019524210167</v>
      </c>
      <c r="AA129" s="115">
        <f t="shared" ref="AA129" si="581">AA117+AA123</f>
        <v>4548.3019524210167</v>
      </c>
      <c r="AB129" s="115">
        <f t="shared" ref="AB129:AC129" si="582">AB117+AB123</f>
        <v>4548.3019524210167</v>
      </c>
      <c r="AC129" s="115">
        <f t="shared" si="582"/>
        <v>4548.3019524210167</v>
      </c>
      <c r="AD129" s="115">
        <f t="shared" ref="AD129" si="583">AD117+AD123</f>
        <v>4548.3019524210167</v>
      </c>
      <c r="AE129" s="115">
        <f t="shared" ref="AE129" si="584">AE117+AE123</f>
        <v>4548.3019524210167</v>
      </c>
      <c r="AF129" s="115">
        <f t="shared" si="579"/>
        <v>2023.5369030698728</v>
      </c>
      <c r="AG129" s="115">
        <f t="shared" si="579"/>
        <v>3165.9457946574294</v>
      </c>
      <c r="AH129" s="115">
        <f t="shared" si="579"/>
        <v>4092.2061663343175</v>
      </c>
      <c r="AI129" s="115">
        <f t="shared" si="579"/>
        <v>4084.3473376631455</v>
      </c>
      <c r="AJ129" s="115">
        <f t="shared" si="579"/>
        <v>5403.9724471129866</v>
      </c>
      <c r="AK129" s="115">
        <f t="shared" si="579"/>
        <v>14415.199212285823</v>
      </c>
      <c r="AL129" s="115">
        <f t="shared" si="579"/>
        <v>14105.908111112574</v>
      </c>
      <c r="AM129" s="115">
        <f t="shared" si="579"/>
        <v>14415.199212285823</v>
      </c>
      <c r="AN129" s="115">
        <f t="shared" si="579"/>
        <v>16342.395505601877</v>
      </c>
      <c r="AO129" s="115">
        <f t="shared" si="579"/>
        <v>229125.14926468395</v>
      </c>
      <c r="AP129" s="115">
        <f t="shared" si="579"/>
        <v>244825.84226731802</v>
      </c>
      <c r="AQ129" s="115">
        <f t="shared" si="579"/>
        <v>271214.33759229403</v>
      </c>
      <c r="AR129" s="115">
        <f t="shared" si="579"/>
        <v>278074.64893418341</v>
      </c>
      <c r="AS129" s="115">
        <f t="shared" si="579"/>
        <v>278074.64893418341</v>
      </c>
      <c r="AT129" s="115">
        <f t="shared" si="579"/>
        <v>278074.64893418341</v>
      </c>
      <c r="AU129" s="115">
        <f t="shared" si="579"/>
        <v>278074.64893418341</v>
      </c>
      <c r="AV129" s="115">
        <f t="shared" si="579"/>
        <v>261946.13407007785</v>
      </c>
      <c r="AW129" s="115">
        <f t="shared" si="579"/>
        <v>294203.16379828897</v>
      </c>
      <c r="AX129" s="115">
        <f t="shared" si="579"/>
        <v>278074.64893418341</v>
      </c>
      <c r="AY129" s="115">
        <f t="shared" si="549"/>
        <v>259721.70691111981</v>
      </c>
      <c r="AZ129" s="115">
        <f t="shared" si="549"/>
        <v>259721.70691111981</v>
      </c>
      <c r="BA129" s="115">
        <f t="shared" si="549"/>
        <v>259721.70691111981</v>
      </c>
      <c r="BB129" s="115">
        <f t="shared" si="549"/>
        <v>259721.70691111981</v>
      </c>
      <c r="BC129" s="115">
        <f t="shared" si="549"/>
        <v>229125.14926468395</v>
      </c>
      <c r="BD129" s="115">
        <f>BD117+BD123</f>
        <v>229125.14926468395</v>
      </c>
      <c r="BE129" s="115">
        <f>BE117+BE123</f>
        <v>229125.14926468395</v>
      </c>
      <c r="BF129" s="115">
        <f t="shared" si="549"/>
        <v>229125.14926468395</v>
      </c>
      <c r="BG129" s="115">
        <f t="shared" si="549"/>
        <v>229125.14926468395</v>
      </c>
      <c r="BH129" s="115">
        <f t="shared" si="549"/>
        <v>229125.14926468395</v>
      </c>
      <c r="BI129" s="115">
        <f t="shared" ref="BI129:BT129" si="585">BI117+BI123</f>
        <v>229125.14926468395</v>
      </c>
      <c r="BJ129" s="115">
        <f t="shared" si="585"/>
        <v>244825.84226731802</v>
      </c>
      <c r="BK129" s="115">
        <f t="shared" si="585"/>
        <v>271214.33759229403</v>
      </c>
      <c r="BL129" s="115">
        <f t="shared" si="585"/>
        <v>288826.99217692047</v>
      </c>
      <c r="BM129" s="115">
        <f t="shared" si="585"/>
        <v>288826.99217692047</v>
      </c>
      <c r="BN129" s="115">
        <f t="shared" si="585"/>
        <v>288826.99217692047</v>
      </c>
      <c r="BO129" s="115">
        <f t="shared" si="585"/>
        <v>288826.99217692047</v>
      </c>
      <c r="BP129" s="115">
        <f t="shared" si="585"/>
        <v>288826.99217692047</v>
      </c>
      <c r="BQ129" s="115">
        <f t="shared" si="585"/>
        <v>288826.99217692047</v>
      </c>
      <c r="BR129" s="115">
        <f t="shared" si="585"/>
        <v>270010.39150213066</v>
      </c>
      <c r="BS129" s="115">
        <f t="shared" si="585"/>
        <v>307643.59285171027</v>
      </c>
      <c r="BT129" s="115">
        <f t="shared" si="585"/>
        <v>288826.99217692047</v>
      </c>
      <c r="BU129" s="115">
        <f t="shared" ref="BU129:CC129" si="586">BU117+BU123</f>
        <v>364093.39487607969</v>
      </c>
      <c r="BV129" s="115">
        <f t="shared" si="586"/>
        <v>364093.39487607969</v>
      </c>
      <c r="BW129" s="115">
        <f t="shared" si="586"/>
        <v>364093.39487607969</v>
      </c>
      <c r="BX129" s="115">
        <f t="shared" si="586"/>
        <v>364093.39487607969</v>
      </c>
      <c r="BY129" s="115">
        <f t="shared" si="586"/>
        <v>364093.39487607969</v>
      </c>
      <c r="BZ129" s="115">
        <f t="shared" si="586"/>
        <v>364093.39487607969</v>
      </c>
      <c r="CA129" s="115">
        <f t="shared" si="586"/>
        <v>326460.19352650008</v>
      </c>
      <c r="CB129" s="115">
        <f t="shared" si="586"/>
        <v>401726.5962256593</v>
      </c>
      <c r="CC129" s="115">
        <f t="shared" si="586"/>
        <v>364093.39487607969</v>
      </c>
      <c r="CD129" s="115">
        <f t="shared" si="553"/>
        <v>259721.70691111981</v>
      </c>
      <c r="CE129" s="115">
        <f t="shared" si="553"/>
        <v>259721.70691111981</v>
      </c>
      <c r="CF129" s="115">
        <f t="shared" si="553"/>
        <v>259721.70691111981</v>
      </c>
      <c r="CG129" s="115">
        <f t="shared" si="553"/>
        <v>259721.70691111981</v>
      </c>
      <c r="CH129" s="115">
        <f t="shared" ref="CH129:CL129" si="587">CH117+CH123</f>
        <v>229125.14926468395</v>
      </c>
      <c r="CI129" s="115">
        <f t="shared" si="587"/>
        <v>244825.84226731802</v>
      </c>
      <c r="CJ129" s="115">
        <f t="shared" si="587"/>
        <v>271214.33759229403</v>
      </c>
      <c r="CK129" s="115">
        <f t="shared" si="587"/>
        <v>288826.99217692047</v>
      </c>
      <c r="CL129" s="115">
        <f t="shared" si="587"/>
        <v>364093.39487607969</v>
      </c>
      <c r="CM129" s="115">
        <f t="shared" ref="CM129:DF129" si="588">CM117+CM123</f>
        <v>259721.70691111981</v>
      </c>
      <c r="CN129" s="115">
        <f t="shared" si="588"/>
        <v>291096.24655878491</v>
      </c>
      <c r="CO129" s="115">
        <f t="shared" si="588"/>
        <v>310306.14714261086</v>
      </c>
      <c r="CP129" s="115">
        <f t="shared" si="588"/>
        <v>338898.37348292919</v>
      </c>
      <c r="CQ129" s="115">
        <f t="shared" si="588"/>
        <v>337086.70294359664</v>
      </c>
      <c r="CR129" s="115">
        <f t="shared" si="588"/>
        <v>331173.1578898583</v>
      </c>
      <c r="CS129" s="115">
        <f t="shared" si="588"/>
        <v>291096.24655878491</v>
      </c>
      <c r="CT129" s="115">
        <f t="shared" si="588"/>
        <v>310306.14714261086</v>
      </c>
      <c r="CU129" s="115">
        <f t="shared" si="588"/>
        <v>338898.37348292919</v>
      </c>
      <c r="CV129" s="115">
        <f t="shared" si="588"/>
        <v>347839.04618633364</v>
      </c>
      <c r="CW129" s="115">
        <f t="shared" si="588"/>
        <v>423105.44888549286</v>
      </c>
      <c r="CX129" s="115">
        <f t="shared" si="588"/>
        <v>331173.1578898583</v>
      </c>
      <c r="CY129" s="115">
        <f t="shared" si="588"/>
        <v>291096.24655878491</v>
      </c>
      <c r="CZ129" s="115">
        <f t="shared" si="588"/>
        <v>310306.14714261086</v>
      </c>
      <c r="DA129" s="115">
        <f t="shared" si="588"/>
        <v>338898.37348292919</v>
      </c>
      <c r="DB129" s="115">
        <f t="shared" si="588"/>
        <v>347839.04618633364</v>
      </c>
      <c r="DC129" s="115">
        <f t="shared" si="588"/>
        <v>423105.44888549286</v>
      </c>
      <c r="DD129" s="115">
        <f t="shared" si="588"/>
        <v>331173.1578898583</v>
      </c>
      <c r="DE129" s="115">
        <f t="shared" si="588"/>
        <v>545044.78361915948</v>
      </c>
      <c r="DF129" s="115">
        <f t="shared" si="588"/>
        <v>559827.38514863153</v>
      </c>
      <c r="DG129" s="115"/>
      <c r="DH129" s="115">
        <f t="shared" si="556"/>
        <v>727522.02337683761</v>
      </c>
      <c r="DI129" s="115">
        <f t="shared" si="556"/>
        <v>888807.17201789317</v>
      </c>
      <c r="DJ129" s="115">
        <f t="shared" si="556"/>
        <v>632925.02581317851</v>
      </c>
      <c r="DK129" s="115">
        <f t="shared" ref="DK129:DP129" si="589">DK117+DK123</f>
        <v>1594566.397971787</v>
      </c>
      <c r="DL129" s="115">
        <f t="shared" si="589"/>
        <v>1594566.397971787</v>
      </c>
      <c r="DM129" s="115">
        <f>DM117+DM123</f>
        <v>1594566.397971787</v>
      </c>
      <c r="DN129" s="115">
        <f t="shared" si="589"/>
        <v>1594566.397971787</v>
      </c>
      <c r="DO129" s="115">
        <f t="shared" si="589"/>
        <v>1594566.397971787</v>
      </c>
      <c r="DP129" s="115">
        <f t="shared" si="589"/>
        <v>1594566.397971787</v>
      </c>
      <c r="DQ129" s="115">
        <f t="shared" si="558"/>
        <v>1594566.397971787</v>
      </c>
      <c r="DR129" s="115">
        <f t="shared" si="558"/>
        <v>1595263.0255258647</v>
      </c>
      <c r="DS129" s="115">
        <f t="shared" si="558"/>
        <v>2639844.7701927689</v>
      </c>
      <c r="DT129" s="115">
        <f t="shared" si="559"/>
        <v>2639844.7701927689</v>
      </c>
      <c r="DU129" s="115">
        <f t="shared" si="559"/>
        <v>2209870.3825502782</v>
      </c>
      <c r="DV129" s="115">
        <f t="shared" ref="DV129" si="590">DV117+DV123</f>
        <v>1884220.051182366</v>
      </c>
      <c r="DW129" s="115">
        <f t="shared" si="559"/>
        <v>1884220.051182366</v>
      </c>
      <c r="DX129" s="115">
        <f t="shared" ref="DX129:EC129" si="591">DX117+DX123</f>
        <v>28523692.058352798</v>
      </c>
      <c r="DY129" s="115">
        <f t="shared" si="591"/>
        <v>28523692.058352798</v>
      </c>
      <c r="DZ129" s="115">
        <f t="shared" si="591"/>
        <v>28523692.058352798</v>
      </c>
      <c r="EA129" s="115">
        <f t="shared" si="591"/>
        <v>28523692.058352798</v>
      </c>
      <c r="EB129" s="115">
        <f t="shared" si="591"/>
        <v>28523692.058352798</v>
      </c>
      <c r="EC129" s="115">
        <f t="shared" si="591"/>
        <v>28523692.058352798</v>
      </c>
      <c r="ED129" s="115">
        <f>ED117+ED123</f>
        <v>28523692.058352798</v>
      </c>
    </row>
    <row r="130" spans="1:154" s="24" customFormat="1" x14ac:dyDescent="0.3">
      <c r="A130" s="24" t="s">
        <v>25</v>
      </c>
      <c r="D130" s="118">
        <f ca="1">SUM(D127:D129)</f>
        <v>161663.03097122069</v>
      </c>
      <c r="E130" s="118">
        <f t="shared" ref="E130:R130" ca="1" si="592">SUM(E127:E129)</f>
        <v>194402.47306883582</v>
      </c>
      <c r="F130" s="118">
        <f t="shared" ca="1" si="592"/>
        <v>95125.619577154954</v>
      </c>
      <c r="G130" s="118">
        <f t="shared" ca="1" si="592"/>
        <v>161663.03097122069</v>
      </c>
      <c r="H130" s="118">
        <f t="shared" ca="1" si="592"/>
        <v>161663.03097122069</v>
      </c>
      <c r="I130" s="118">
        <f t="shared" ref="I130" ca="1" si="593">SUM(I127:I129)</f>
        <v>161663.03097122069</v>
      </c>
      <c r="J130" s="118">
        <f t="shared" ca="1" si="592"/>
        <v>161663.03097122069</v>
      </c>
      <c r="K130" s="118">
        <f t="shared" ca="1" si="592"/>
        <v>161663.03097122069</v>
      </c>
      <c r="L130" s="118">
        <f t="shared" ca="1" si="592"/>
        <v>161663.03097122069</v>
      </c>
      <c r="M130" s="118">
        <f t="shared" ca="1" si="592"/>
        <v>161663.03097122069</v>
      </c>
      <c r="N130" s="118">
        <f t="shared" ca="1" si="592"/>
        <v>161663.03097122069</v>
      </c>
      <c r="O130" s="118">
        <f t="shared" ca="1" si="592"/>
        <v>161663.03097122069</v>
      </c>
      <c r="P130" s="118">
        <f t="shared" ca="1" si="592"/>
        <v>161663.03097122069</v>
      </c>
      <c r="Q130" s="118">
        <f ca="1">SUM(Q127:Q129)</f>
        <v>153986.71532603065</v>
      </c>
      <c r="R130" s="118">
        <f t="shared" ca="1" si="592"/>
        <v>169339.34661641071</v>
      </c>
      <c r="S130" s="118">
        <f t="shared" ref="S130:BT130" ca="1" si="594">SUM(S127:S129)</f>
        <v>194402.47306883582</v>
      </c>
      <c r="T130" s="118">
        <f t="shared" ca="1" si="594"/>
        <v>95125.619577154954</v>
      </c>
      <c r="U130" s="118">
        <f t="shared" ca="1" si="594"/>
        <v>161663.03097122069</v>
      </c>
      <c r="V130" s="118">
        <f t="shared" ca="1" si="594"/>
        <v>161663.03097122069</v>
      </c>
      <c r="W130" s="118">
        <f t="shared" ca="1" si="594"/>
        <v>161663.03097122069</v>
      </c>
      <c r="X130" s="118">
        <f t="shared" ref="X130:Y130" ca="1" si="595">SUM(X127:X129)</f>
        <v>213784.58429852224</v>
      </c>
      <c r="Y130" s="118">
        <f t="shared" ca="1" si="595"/>
        <v>352199.45645793731</v>
      </c>
      <c r="Z130" s="118">
        <f t="shared" ca="1" si="594"/>
        <v>352199.45645793731</v>
      </c>
      <c r="AA130" s="118">
        <f t="shared" ref="AA130" ca="1" si="596">SUM(AA127:AA129)</f>
        <v>352199.45645793731</v>
      </c>
      <c r="AB130" s="118">
        <f t="shared" ref="AB130:AC130" ca="1" si="597">SUM(AB127:AB129)</f>
        <v>213784.58429852224</v>
      </c>
      <c r="AC130" s="118">
        <f t="shared" ca="1" si="597"/>
        <v>352199.45645793731</v>
      </c>
      <c r="AD130" s="118">
        <f t="shared" ref="AD130" ca="1" si="598">SUM(AD127:AD129)</f>
        <v>352199.45645793731</v>
      </c>
      <c r="AE130" s="118">
        <f t="shared" ref="AE130" ca="1" si="599">SUM(AE127:AE129)</f>
        <v>352199.45645793731</v>
      </c>
      <c r="AF130" s="118">
        <f t="shared" ca="1" si="594"/>
        <v>161663.03097122069</v>
      </c>
      <c r="AG130" s="118">
        <f t="shared" ca="1" si="594"/>
        <v>86866.429178003687</v>
      </c>
      <c r="AH130" s="118">
        <f t="shared" ca="1" si="594"/>
        <v>151037.54103218555</v>
      </c>
      <c r="AI130" s="118">
        <f t="shared" ca="1" si="594"/>
        <v>110493.35018229409</v>
      </c>
      <c r="AJ130" s="118">
        <f t="shared" ca="1" si="594"/>
        <v>183461.29605249956</v>
      </c>
      <c r="AK130" s="118">
        <f t="shared" ca="1" si="594"/>
        <v>335350.93931159412</v>
      </c>
      <c r="AL130" s="118">
        <f t="shared" ca="1" si="594"/>
        <v>426757.9692071419</v>
      </c>
      <c r="AM130" s="118">
        <f t="shared" ca="1" si="594"/>
        <v>335350.93931159412</v>
      </c>
      <c r="AN130" s="118">
        <f ca="1">SUM(AN127:AN129)</f>
        <v>620294.16971617506</v>
      </c>
      <c r="AO130" s="118">
        <f t="shared" ca="1" si="594"/>
        <v>5537367.1883703573</v>
      </c>
      <c r="AP130" s="118">
        <f t="shared" ca="1" si="594"/>
        <v>6055479.5595153263</v>
      </c>
      <c r="AQ130" s="118">
        <f t="shared" ca="1" si="594"/>
        <v>7569827.8048761906</v>
      </c>
      <c r="AR130" s="118">
        <f t="shared" ca="1" si="594"/>
        <v>10965681.152348777</v>
      </c>
      <c r="AS130" s="118">
        <f t="shared" ca="1" si="594"/>
        <v>10965681.152348777</v>
      </c>
      <c r="AT130" s="118">
        <f t="shared" ca="1" si="594"/>
        <v>10965681.152348777</v>
      </c>
      <c r="AU130" s="118">
        <f t="shared" ca="1" si="594"/>
        <v>9491637.3758055177</v>
      </c>
      <c r="AV130" s="118">
        <f t="shared" ca="1" si="594"/>
        <v>9569987.3986778669</v>
      </c>
      <c r="AW130" s="118">
        <f t="shared" ca="1" si="594"/>
        <v>12361374.906019691</v>
      </c>
      <c r="AX130" s="118">
        <f t="shared" ca="1" si="594"/>
        <v>10965681.152348777</v>
      </c>
      <c r="AY130" s="118">
        <f t="shared" ca="1" si="594"/>
        <v>9872027.7894062772</v>
      </c>
      <c r="AZ130" s="118">
        <f t="shared" ca="1" si="594"/>
        <v>9872027.7894062772</v>
      </c>
      <c r="BA130" s="118">
        <f t="shared" ca="1" si="594"/>
        <v>9872027.7894062772</v>
      </c>
      <c r="BB130" s="118">
        <f t="shared" ca="1" si="594"/>
        <v>9872027.7894062772</v>
      </c>
      <c r="BC130" s="118">
        <f t="shared" ca="1" si="594"/>
        <v>5537367.1883703573</v>
      </c>
      <c r="BD130" s="118">
        <f t="shared" ca="1" si="594"/>
        <v>5537367.1883703573</v>
      </c>
      <c r="BE130" s="118">
        <f t="shared" ca="1" si="594"/>
        <v>5537367.1883703573</v>
      </c>
      <c r="BF130" s="118">
        <f t="shared" ca="1" si="594"/>
        <v>5537367.1883703573</v>
      </c>
      <c r="BG130" s="118">
        <f t="shared" ca="1" si="594"/>
        <v>5537367.1883703573</v>
      </c>
      <c r="BH130" s="118">
        <f t="shared" ca="1" si="594"/>
        <v>5537367.1883703573</v>
      </c>
      <c r="BI130" s="118">
        <f t="shared" ca="1" si="594"/>
        <v>5537367.1883703573</v>
      </c>
      <c r="BJ130" s="118">
        <f t="shared" ca="1" si="594"/>
        <v>6055479.5595153263</v>
      </c>
      <c r="BK130" s="118">
        <f t="shared" ca="1" si="594"/>
        <v>7569827.8048761906</v>
      </c>
      <c r="BL130" s="118">
        <f t="shared" ca="1" si="594"/>
        <v>11896143.654796053</v>
      </c>
      <c r="BM130" s="118">
        <f t="shared" ca="1" si="594"/>
        <v>11896143.654796053</v>
      </c>
      <c r="BN130" s="118">
        <f t="shared" ca="1" si="594"/>
        <v>11896143.654796053</v>
      </c>
      <c r="BO130" s="118">
        <f t="shared" ca="1" si="594"/>
        <v>11896143.654796053</v>
      </c>
      <c r="BP130" s="118">
        <f t="shared" ca="1" si="594"/>
        <v>11896143.654796053</v>
      </c>
      <c r="BQ130" s="118">
        <f t="shared" ca="1" si="594"/>
        <v>10239681.290431228</v>
      </c>
      <c r="BR130" s="118">
        <f t="shared" ca="1" si="594"/>
        <v>10267834.275513321</v>
      </c>
      <c r="BS130" s="118">
        <f t="shared" ca="1" si="594"/>
        <v>13524453.034078784</v>
      </c>
      <c r="BT130" s="118">
        <f t="shared" ca="1" si="594"/>
        <v>11896143.654796053</v>
      </c>
      <c r="BU130" s="118">
        <f t="shared" ref="BU130:CA130" ca="1" si="600">SUM(BU127:BU129)</f>
        <v>18409381.171926979</v>
      </c>
      <c r="BV130" s="118">
        <f t="shared" ca="1" si="600"/>
        <v>18409381.171926979</v>
      </c>
      <c r="BW130" s="118">
        <f t="shared" ca="1" si="600"/>
        <v>18409381.171926979</v>
      </c>
      <c r="BX130" s="118">
        <f t="shared" ca="1" si="600"/>
        <v>18409381.171926979</v>
      </c>
      <c r="BY130" s="118">
        <f t="shared" ca="1" si="600"/>
        <v>18409381.171926979</v>
      </c>
      <c r="BZ130" s="118">
        <f t="shared" ca="1" si="600"/>
        <v>15475988.692811199</v>
      </c>
      <c r="CA130" s="118">
        <f t="shared" ca="1" si="600"/>
        <v>15152762.413361514</v>
      </c>
      <c r="CB130" s="118">
        <f t="shared" ref="CB130:CG130" ca="1" si="601">SUM(CB127:CB129)</f>
        <v>21665999.930492438</v>
      </c>
      <c r="CC130" s="118">
        <f t="shared" ca="1" si="601"/>
        <v>18409381.171926979</v>
      </c>
      <c r="CD130" s="118">
        <f t="shared" ca="1" si="601"/>
        <v>9872027.7894062772</v>
      </c>
      <c r="CE130" s="118">
        <f t="shared" ca="1" si="601"/>
        <v>9872027.7894062772</v>
      </c>
      <c r="CF130" s="118">
        <f t="shared" ca="1" si="601"/>
        <v>9872027.7894062772</v>
      </c>
      <c r="CG130" s="118">
        <f t="shared" ca="1" si="601"/>
        <v>9872027.7894062772</v>
      </c>
      <c r="CH130" s="118">
        <f t="shared" ref="CH130:CK130" ca="1" si="602">SUM(CH127:CH129)</f>
        <v>5537367.1883703573</v>
      </c>
      <c r="CI130" s="118">
        <f t="shared" ca="1" si="602"/>
        <v>6055479.5595153263</v>
      </c>
      <c r="CJ130" s="118">
        <f t="shared" ca="1" si="602"/>
        <v>7569827.8048761906</v>
      </c>
      <c r="CK130" s="118">
        <f t="shared" ca="1" si="602"/>
        <v>11896143.654796053</v>
      </c>
      <c r="CL130" s="118">
        <f t="shared" ref="CL130:DF130" ca="1" si="603">SUM(CL127:CL129)</f>
        <v>18409381.171926979</v>
      </c>
      <c r="CM130" s="118">
        <f t="shared" ca="1" si="603"/>
        <v>9872027.7894062772</v>
      </c>
      <c r="CN130" s="118">
        <f t="shared" ca="1" si="603"/>
        <v>6905787.0739584118</v>
      </c>
      <c r="CO130" s="118">
        <f t="shared" ca="1" si="603"/>
        <v>7586517.6709619761</v>
      </c>
      <c r="CP130" s="118">
        <f t="shared" ca="1" si="603"/>
        <v>9034901.6568803694</v>
      </c>
      <c r="CQ130" s="118">
        <f t="shared" ca="1" si="603"/>
        <v>12318495.778933652</v>
      </c>
      <c r="CR130" s="118">
        <f t="shared" ca="1" si="603"/>
        <v>12421321.253697559</v>
      </c>
      <c r="CS130" s="118">
        <f t="shared" ca="1" si="603"/>
        <v>6905787.0739584118</v>
      </c>
      <c r="CT130" s="118">
        <f t="shared" ca="1" si="603"/>
        <v>7586517.6709619761</v>
      </c>
      <c r="CU130" s="118">
        <f t="shared" ca="1" si="603"/>
        <v>9034901.6568803694</v>
      </c>
      <c r="CV130" s="118">
        <f t="shared" ca="1" si="603"/>
        <v>13248958.281380927</v>
      </c>
      <c r="CW130" s="118">
        <f t="shared" ca="1" si="603"/>
        <v>19762195.798511852</v>
      </c>
      <c r="CX130" s="118">
        <f t="shared" ca="1" si="603"/>
        <v>12421321.253697559</v>
      </c>
      <c r="CY130" s="118">
        <f t="shared" ca="1" si="603"/>
        <v>6905787.0739584118</v>
      </c>
      <c r="CZ130" s="118">
        <f t="shared" ca="1" si="603"/>
        <v>7586517.6709619761</v>
      </c>
      <c r="DA130" s="118">
        <f t="shared" ca="1" si="603"/>
        <v>9034901.6568803694</v>
      </c>
      <c r="DB130" s="118">
        <f t="shared" ca="1" si="603"/>
        <v>13248958.281380927</v>
      </c>
      <c r="DC130" s="118">
        <f t="shared" ca="1" si="603"/>
        <v>19762195.798511852</v>
      </c>
      <c r="DD130" s="118">
        <f t="shared" ca="1" si="603"/>
        <v>12421321.253697559</v>
      </c>
      <c r="DE130" s="118">
        <f t="shared" ca="1" si="603"/>
        <v>13787744.857691472</v>
      </c>
      <c r="DF130" s="118">
        <f t="shared" ca="1" si="603"/>
        <v>14562508.473675203</v>
      </c>
      <c r="DG130" s="118"/>
      <c r="DH130" s="118">
        <f ca="1">SUM(DH127:DH129)</f>
        <v>29460113.412848398</v>
      </c>
      <c r="DI130" s="118">
        <f ca="1">SUM(DI127:DI129)</f>
        <v>43417050.94955752</v>
      </c>
      <c r="DJ130" s="118">
        <f ca="1">SUM(DJ127:DJ129)</f>
        <v>23923870.189306121</v>
      </c>
      <c r="DK130" s="118">
        <f t="shared" ref="DK130:DP130" ca="1" si="604">SUM(DK127:DK129)</f>
        <v>50704166.199867398</v>
      </c>
      <c r="DL130" s="118">
        <f t="shared" ca="1" si="604"/>
        <v>50704166.199867398</v>
      </c>
      <c r="DM130" s="118">
        <f ca="1">SUM(DM127:DM129)</f>
        <v>50704166.199867398</v>
      </c>
      <c r="DN130" s="118">
        <f t="shared" ca="1" si="604"/>
        <v>50704166.199867398</v>
      </c>
      <c r="DO130" s="118">
        <f t="shared" ca="1" si="604"/>
        <v>50704166.199867398</v>
      </c>
      <c r="DP130" s="118">
        <f t="shared" ca="1" si="604"/>
        <v>50704166.199867398</v>
      </c>
      <c r="DQ130" s="118">
        <f t="shared" ref="DQ130:DW130" ca="1" si="605">SUM(DQ127:DQ129)</f>
        <v>50704166.199867398</v>
      </c>
      <c r="DR130" s="118">
        <f t="shared" ca="1" si="605"/>
        <v>50439686.452874765</v>
      </c>
      <c r="DS130" s="118">
        <f t="shared" ca="1" si="605"/>
        <v>112678207.09606934</v>
      </c>
      <c r="DT130" s="118">
        <f t="shared" ca="1" si="605"/>
        <v>112678207.09606934</v>
      </c>
      <c r="DU130" s="118">
        <f t="shared" ca="1" si="605"/>
        <v>90516881.166897684</v>
      </c>
      <c r="DV130" s="118">
        <f t="shared" ca="1" si="605"/>
        <v>72709640.592299983</v>
      </c>
      <c r="DW130" s="118">
        <f t="shared" ca="1" si="605"/>
        <v>72390424.360709041</v>
      </c>
      <c r="DX130" s="118">
        <f t="shared" ref="DX130:EC130" ca="1" si="606">SUM(DX127:DX129)</f>
        <v>1002001002.518656</v>
      </c>
      <c r="DY130" s="118">
        <f t="shared" ca="1" si="606"/>
        <v>1002001002.518656</v>
      </c>
      <c r="DZ130" s="118">
        <f t="shared" ca="1" si="606"/>
        <v>1002001002.518656</v>
      </c>
      <c r="EA130" s="118">
        <f t="shared" ca="1" si="606"/>
        <v>1002001002.518656</v>
      </c>
      <c r="EB130" s="118">
        <f t="shared" ca="1" si="606"/>
        <v>1002001002.518656</v>
      </c>
      <c r="EC130" s="118">
        <f t="shared" ca="1" si="606"/>
        <v>1002001002.518656</v>
      </c>
      <c r="ED130" s="118">
        <f ca="1">SUM(ED127:ED129)</f>
        <v>1002001002.518656</v>
      </c>
      <c r="EG130" s="75"/>
      <c r="EW130" s="21"/>
      <c r="EX130" s="21"/>
    </row>
    <row r="131" spans="1:154" x14ac:dyDescent="0.3">
      <c r="D131" s="45"/>
      <c r="E131" s="45"/>
      <c r="F131" s="45"/>
      <c r="G131" s="45"/>
      <c r="H131" s="45"/>
      <c r="I131" s="45"/>
      <c r="J131" s="45"/>
      <c r="K131" s="45"/>
      <c r="L131" s="45"/>
      <c r="M131" s="45"/>
      <c r="N131" s="45"/>
      <c r="O131" s="45"/>
      <c r="P131" s="45"/>
      <c r="Q131" s="45"/>
      <c r="R131" s="45"/>
      <c r="S131" s="45"/>
      <c r="T131" s="276"/>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23"/>
      <c r="DT131" s="23"/>
      <c r="DU131" s="23"/>
      <c r="DV131" s="23"/>
      <c r="DW131" s="23"/>
      <c r="DX131" s="23"/>
      <c r="DY131" s="23"/>
      <c r="DZ131" s="23"/>
      <c r="EA131" s="23"/>
      <c r="EB131" s="23"/>
      <c r="EC131" s="23"/>
      <c r="ED131" s="23"/>
    </row>
    <row r="132" spans="1:154" x14ac:dyDescent="0.3">
      <c r="A132" s="21" t="s">
        <v>290</v>
      </c>
      <c r="B132" s="21" t="s">
        <v>79</v>
      </c>
      <c r="D132" s="117">
        <v>0</v>
      </c>
      <c r="E132" s="117">
        <v>0</v>
      </c>
      <c r="F132" s="117">
        <v>0</v>
      </c>
      <c r="G132" s="117">
        <v>0</v>
      </c>
      <c r="H132" s="117">
        <v>0</v>
      </c>
      <c r="I132" s="117">
        <v>0</v>
      </c>
      <c r="J132" s="117">
        <v>0</v>
      </c>
      <c r="K132" s="117">
        <v>0</v>
      </c>
      <c r="L132" s="117">
        <v>0</v>
      </c>
      <c r="M132" s="117">
        <v>0</v>
      </c>
      <c r="N132" s="117">
        <v>0</v>
      </c>
      <c r="O132" s="117">
        <v>0</v>
      </c>
      <c r="P132" s="117">
        <v>0</v>
      </c>
      <c r="Q132" s="117">
        <v>0</v>
      </c>
      <c r="R132" s="117">
        <v>0</v>
      </c>
      <c r="S132" s="117">
        <v>0</v>
      </c>
      <c r="T132" s="117">
        <v>0</v>
      </c>
      <c r="U132" s="117">
        <v>0</v>
      </c>
      <c r="V132" s="117">
        <v>0</v>
      </c>
      <c r="W132" s="117">
        <v>0</v>
      </c>
      <c r="X132" s="117">
        <v>0</v>
      </c>
      <c r="Y132" s="117">
        <v>0</v>
      </c>
      <c r="Z132" s="117">
        <v>0</v>
      </c>
      <c r="AA132" s="117">
        <v>0</v>
      </c>
      <c r="AB132" s="117">
        <v>0</v>
      </c>
      <c r="AC132" s="117">
        <v>0</v>
      </c>
      <c r="AD132" s="117">
        <v>0</v>
      </c>
      <c r="AE132" s="117">
        <v>0</v>
      </c>
      <c r="AF132" s="117">
        <v>0</v>
      </c>
      <c r="AG132" s="117">
        <v>0</v>
      </c>
      <c r="AH132" s="117">
        <v>0</v>
      </c>
      <c r="AI132" s="117">
        <v>0</v>
      </c>
      <c r="AJ132" s="117">
        <v>0</v>
      </c>
      <c r="AK132" s="117">
        <v>0</v>
      </c>
      <c r="AL132" s="117">
        <v>0</v>
      </c>
      <c r="AM132" s="117">
        <v>0</v>
      </c>
      <c r="AN132" s="117">
        <v>0</v>
      </c>
      <c r="AO132" s="298">
        <f>SUMPRODUCT([5]Vehi_Fluids!$B$6:$G$6,[5]Vehi_Fluids!$B$12:$G$12)</f>
        <v>544.53965689999995</v>
      </c>
      <c r="AP132" s="298">
        <f>SUMPRODUCT([5]Vehi_Fluids!$B$8:$G$8,[5]Vehi_Fluids!$B$12:$G$12)</f>
        <v>522.34920435000004</v>
      </c>
      <c r="AQ132" s="298">
        <f>SUMPRODUCT([5]Vehi_Fluids!$B$9:$G$9,[5]Vehi_Fluids!$B$12:$G$12)</f>
        <v>522.34920435000004</v>
      </c>
      <c r="AR132" s="91">
        <f t="shared" ref="AR132:AW133" si="607">$AX132</f>
        <v>169.16219990640002</v>
      </c>
      <c r="AS132" s="91">
        <f t="shared" si="607"/>
        <v>169.16219990640002</v>
      </c>
      <c r="AT132" s="91">
        <f t="shared" si="607"/>
        <v>169.16219990640002</v>
      </c>
      <c r="AU132" s="91">
        <f t="shared" si="607"/>
        <v>169.16219990640002</v>
      </c>
      <c r="AV132" s="91">
        <f t="shared" si="607"/>
        <v>169.16219990640002</v>
      </c>
      <c r="AW132" s="91">
        <f t="shared" si="607"/>
        <v>169.16219990640002</v>
      </c>
      <c r="AX132" s="298">
        <f>SUMPRODUCT([5]Vehi_Fluids!$B$10:$G$10,[5]Vehi_Fluids!$B$12:$G$12)</f>
        <v>169.16219990640002</v>
      </c>
      <c r="AY132" s="325">
        <f>SUMPRODUCT([5]Vehi_Fluids!$B$10:$G$10,[5]Vehi_Fluids!$B$12:$G$12)</f>
        <v>169.16219990640002</v>
      </c>
      <c r="AZ132" s="325">
        <f>SUMPRODUCT([5]Vehi_Fluids!$B$10:$G$10,[5]Vehi_Fluids!$B$12:$G$12)</f>
        <v>169.16219990640002</v>
      </c>
      <c r="BA132" s="325">
        <f>SUMPRODUCT([5]Vehi_Fluids!$B$10:$G$10,[5]Vehi_Fluids!$B$12:$G$12)</f>
        <v>169.16219990640002</v>
      </c>
      <c r="BB132" s="325">
        <f>SUMPRODUCT([5]Vehi_Fluids!$B$10:$G$10,[5]Vehi_Fluids!$B$12:$G$12)</f>
        <v>169.16219990640002</v>
      </c>
      <c r="BC132" s="91">
        <f t="shared" ref="BC132:BH134" si="608">$BI132</f>
        <v>1018.6685258420514</v>
      </c>
      <c r="BD132" s="91">
        <f t="shared" si="608"/>
        <v>1018.6685258420514</v>
      </c>
      <c r="BE132" s="91">
        <f t="shared" si="608"/>
        <v>1018.6685258420514</v>
      </c>
      <c r="BF132" s="91">
        <f t="shared" si="608"/>
        <v>1018.6685258420514</v>
      </c>
      <c r="BG132" s="91">
        <f t="shared" si="608"/>
        <v>1018.6685258420514</v>
      </c>
      <c r="BH132" s="91">
        <f t="shared" si="608"/>
        <v>1018.6685258420514</v>
      </c>
      <c r="BI132" s="88">
        <f>AO$132/('3_Use'!AO$9*'3_Use'!AO$8)*('3_Use'!BI9*'3_Use'!BI8)</f>
        <v>1018.6685258420514</v>
      </c>
      <c r="BJ132" s="88">
        <f>AP$132/('3_Use'!AP$9*'3_Use'!AP$8)*('3_Use'!BJ9*'3_Use'!BJ8)</f>
        <v>977.15692002887261</v>
      </c>
      <c r="BK132" s="88">
        <f>AQ$132/('3_Use'!AQ$9*'3_Use'!AQ$8)*('3_Use'!BK9*'3_Use'!BK8)</f>
        <v>977.15692002887261</v>
      </c>
      <c r="BL132" s="91">
        <f t="shared" ref="BL132:BS134" si="609">$BT132</f>
        <v>316.45116498557616</v>
      </c>
      <c r="BM132" s="91">
        <f t="shared" si="609"/>
        <v>316.45116498557616</v>
      </c>
      <c r="BN132" s="91">
        <f t="shared" si="609"/>
        <v>316.45116498557616</v>
      </c>
      <c r="BO132" s="91">
        <f t="shared" si="609"/>
        <v>316.45116498557616</v>
      </c>
      <c r="BP132" s="91">
        <f t="shared" si="609"/>
        <v>316.45116498557616</v>
      </c>
      <c r="BQ132" s="91">
        <f t="shared" si="609"/>
        <v>316.45116498557616</v>
      </c>
      <c r="BR132" s="91">
        <f t="shared" si="609"/>
        <v>316.45116498557616</v>
      </c>
      <c r="BS132" s="91">
        <f t="shared" si="609"/>
        <v>316.45116498557616</v>
      </c>
      <c r="BT132" s="88">
        <f>AX$132/('3_Use'!AX$9*'3_Use'!AX$8)*('3_Use'!BT9*'3_Use'!BT8)</f>
        <v>316.45116498557616</v>
      </c>
      <c r="BU132" s="91">
        <f t="shared" ref="BU132:CB134" si="610">$CC132</f>
        <v>1018.6685258420514</v>
      </c>
      <c r="BV132" s="91">
        <f t="shared" si="610"/>
        <v>1018.6685258420514</v>
      </c>
      <c r="BW132" s="91">
        <f t="shared" si="610"/>
        <v>1018.6685258420514</v>
      </c>
      <c r="BX132" s="91">
        <f t="shared" si="610"/>
        <v>1018.6685258420514</v>
      </c>
      <c r="BY132" s="91">
        <f t="shared" si="610"/>
        <v>1018.6685258420514</v>
      </c>
      <c r="BZ132" s="91">
        <f t="shared" si="610"/>
        <v>1018.6685258420514</v>
      </c>
      <c r="CA132" s="91">
        <f t="shared" si="610"/>
        <v>1018.6685258420514</v>
      </c>
      <c r="CB132" s="91">
        <f t="shared" si="610"/>
        <v>1018.6685258420514</v>
      </c>
      <c r="CC132" s="88">
        <f>AO$132/('3_Use'!AO$9*'3_Use'!AO$8)*('3_Use'!CC9*'3_Use'!CC8)</f>
        <v>1018.6685258420514</v>
      </c>
      <c r="CD132" s="325">
        <f>SUMPRODUCT([5]Vehi_Fluids!$B$10:$G$10,[5]Vehi_Fluids!$B$12:$G$12)</f>
        <v>169.16219990640002</v>
      </c>
      <c r="CE132" s="325">
        <f>SUMPRODUCT([5]Vehi_Fluids!$B$10:$G$10,[5]Vehi_Fluids!$B$12:$G$12)</f>
        <v>169.16219990640002</v>
      </c>
      <c r="CF132" s="325">
        <f>SUMPRODUCT([5]Vehi_Fluids!$B$10:$G$10,[5]Vehi_Fluids!$B$12:$G$12)</f>
        <v>169.16219990640002</v>
      </c>
      <c r="CG132" s="325">
        <f>BB$132/('3_Use'!BB$9*'3_Use'!BB$8)*('3_Use'!CG9*'3_Use'!CG8)</f>
        <v>316.45116498557616</v>
      </c>
      <c r="CH132" s="88">
        <f>AO$132/('3_Use'!AO$9*'3_Use'!AO$8)*('3_Use'!CH9*'3_Use'!CH8)</f>
        <v>1018.6685258420514</v>
      </c>
      <c r="CI132" s="88">
        <f>AP$132/('3_Use'!AP$9*'3_Use'!AP$8)*('3_Use'!CI9*'3_Use'!CI8)</f>
        <v>977.15692002887261</v>
      </c>
      <c r="CJ132" s="88">
        <f>AQ$132/('3_Use'!AQ$9*'3_Use'!AQ$8)*('3_Use'!CJ9*'3_Use'!CJ8)</f>
        <v>977.15692002887261</v>
      </c>
      <c r="CK132" s="88">
        <f>AX$132/('3_Use'!AX$9*'3_Use'!AX$8)*('3_Use'!CK9*'3_Use'!CK8)</f>
        <v>316.45116498557616</v>
      </c>
      <c r="CL132" s="88">
        <f>AX$132/('3_Use'!AX$9*'3_Use'!AX$8)*('3_Use'!CL9*'3_Use'!CL8)</f>
        <v>316.45116498557616</v>
      </c>
      <c r="CM132" s="325">
        <f>CG$132/('3_Use'!CG$9*'3_Use'!CG$8)*('3_Use'!CM9*'3_Use'!CM8)</f>
        <v>316.45116498557616</v>
      </c>
      <c r="CN132" s="298">
        <f>SUMPRODUCT([6]Vehi_Fluids!$B$6:$G$6,[6]Vehi_Fluids!$B$12:$G$12)</f>
        <v>866.5</v>
      </c>
      <c r="CO132" s="298">
        <f>SUMPRODUCT([6]Vehi_Fluids!$B$8:$G$8,[6]Vehi_Fluids!$B$12:$G$12)</f>
        <v>837.4</v>
      </c>
      <c r="CP132" s="298">
        <f>SUMPRODUCT([6]Vehi_Fluids!$B$9:$G$9,[6]Vehi_Fluids!$B$12:$G$12)</f>
        <v>837.4</v>
      </c>
      <c r="CQ132" s="298">
        <f>SUMPRODUCT([6]Vehi_Fluids!$B$10:$G$10,[6]Vehi_Fluids!$B$12:$G$12)</f>
        <v>321.39999999999998</v>
      </c>
      <c r="CR132" s="325">
        <f>SUMPRODUCT([6]Vehi_Fluids!$B$10:$G$10,[6]Vehi_Fluids!$B$12:$G$12)</f>
        <v>321.39999999999998</v>
      </c>
      <c r="CS132" s="88">
        <f>CN$132/('3_Use'!CN$9*'3_Use'!CN$8)*('3_Use'!CS9*'3_Use'!CS8)</f>
        <v>1620.9586693228359</v>
      </c>
      <c r="CT132" s="88">
        <f>CO$132/('3_Use'!CO$9*'3_Use'!CO$8)*('3_Use'!CT9*'3_Use'!CT8)</f>
        <v>1566.5213960657156</v>
      </c>
      <c r="CU132" s="88">
        <f>CP$132/('3_Use'!CP$9*'3_Use'!CP$8)*('3_Use'!CU9*'3_Use'!CU8)</f>
        <v>1566.5213960657156</v>
      </c>
      <c r="CV132" s="88">
        <f>CQ$132/('3_Use'!CQ$9*'3_Use'!CQ$8)*('3_Use'!CV9*'3_Use'!CV8)</f>
        <v>601.24191150647357</v>
      </c>
      <c r="CW132" s="88">
        <f>CR$132/('3_Use'!CR$9*'3_Use'!CR$8)*('3_Use'!CW9*'3_Use'!CW8)</f>
        <v>601.24191150647357</v>
      </c>
      <c r="CX132" s="325">
        <f>CR$132/('3_Use'!CR$9*'3_Use'!CR$8)*('3_Use'!CX9*'3_Use'!CX8)</f>
        <v>601.24191150647357</v>
      </c>
      <c r="CY132" s="91">
        <f>CN132/('3_Use'!CN$9*'3_Use'!CN$8)*('3_Use'!CY8*'3_Use'!CY9)</f>
        <v>1620.9586693228359</v>
      </c>
      <c r="CZ132" s="91">
        <f>CO132/('3_Use'!CO$9*'3_Use'!CO$8)*('3_Use'!CZ8*'3_Use'!CZ9)</f>
        <v>1566.5213960657156</v>
      </c>
      <c r="DA132" s="91">
        <f>CP132/('3_Use'!CP$9*'3_Use'!CP$8)*('3_Use'!DA8*'3_Use'!DA9)</f>
        <v>1566.5213960657156</v>
      </c>
      <c r="DB132" s="91">
        <f>CQ132/('3_Use'!CQ$9*'3_Use'!CQ$8)*('3_Use'!DB8*'3_Use'!DB9)</f>
        <v>601.24191150647357</v>
      </c>
      <c r="DC132" s="91">
        <f>CR132/('3_Use'!CR$9*'3_Use'!CR$8)*('3_Use'!DC8*'3_Use'!DC9)</f>
        <v>601.24191150647357</v>
      </c>
      <c r="DD132" s="325">
        <f>CX$132/('3_Use'!CX$9*'3_Use'!CX$8)*('3_Use'!DD9*'3_Use'!DD8)</f>
        <v>601.24191150647357</v>
      </c>
      <c r="DE132" s="91">
        <f>CN132/('3_Use'!CN$9*'3_Use'!CN$8)*('3_Use'!DE8*'3_Use'!DE9)</f>
        <v>1620.9586693228359</v>
      </c>
      <c r="DF132" s="91">
        <f>CO132/('3_Use'!CO$9*'3_Use'!CO$8)*('3_Use'!DF8*'3_Use'!DF9)</f>
        <v>1566.5213960657156</v>
      </c>
      <c r="DG132" s="88"/>
      <c r="DH132" s="91">
        <f>CQ132/('3_Use'!CQ$9*'3_Use'!CQ$8)*('3_Use'!DH8*'3_Use'!DH9)</f>
        <v>601.24191150647357</v>
      </c>
      <c r="DI132" s="91">
        <f>CR132/('3_Use'!CR$9*'3_Use'!CR$8)*('3_Use'!DI8*'3_Use'!DI9)</f>
        <v>601.24191150647357</v>
      </c>
      <c r="DJ132" s="325">
        <f>DD$132/('3_Use'!DD$9*'3_Use'!DD$8)*('3_Use'!DJ9*'3_Use'!DJ8)</f>
        <v>601.24191150647357</v>
      </c>
      <c r="DK132" s="91">
        <f>$CN132/('3_Use'!$CN$9*'3_Use'!$CN$8)*('3_Use'!DK8*'3_Use'!DK9)</f>
        <v>1417.909090909091</v>
      </c>
      <c r="DL132" s="91">
        <f>$CN132/('3_Use'!$CN$9*'3_Use'!$CN$8)*('3_Use'!DL8*'3_Use'!DL9)</f>
        <v>2363.1818181818185</v>
      </c>
      <c r="DM132" s="91">
        <f>$CN132/('3_Use'!$CN$9*'3_Use'!$CN$8)*('3_Use'!DM8*'3_Use'!DM9)</f>
        <v>1890.5454545454547</v>
      </c>
      <c r="DN132" s="91">
        <f>$CN132/('3_Use'!$CN$9*'3_Use'!$CN$8)*('3_Use'!DN8*'3_Use'!DN9)</f>
        <v>1890.5454545454547</v>
      </c>
      <c r="DO132" s="91">
        <f>$CN132/('3_Use'!$CN$9*'3_Use'!$CN$8)*('3_Use'!DO8*'3_Use'!DO9)</f>
        <v>1890.5454545454547</v>
      </c>
      <c r="DP132" s="91">
        <f>$CN132/('3_Use'!$CN$9*'3_Use'!$CN$8)*('3_Use'!DP8*'3_Use'!DP9)</f>
        <v>1890.5454545454547</v>
      </c>
      <c r="DQ132" s="91">
        <f>$CN132/('3_Use'!$CN$9*'3_Use'!$CN$8)*('3_Use'!DQ8*'3_Use'!DQ9)</f>
        <v>1890.5454545454547</v>
      </c>
      <c r="DR132" s="91">
        <f>CO132/CN132*DQ132</f>
        <v>1827.0545454545456</v>
      </c>
      <c r="DS132" s="91">
        <f>$CQ132/$CN132*$DQ132</f>
        <v>701.23636363636365</v>
      </c>
      <c r="DT132" s="91">
        <f>$CQ132/$CN132*$DQ132</f>
        <v>701.23636363636365</v>
      </c>
      <c r="DU132" s="91">
        <f>$CQ132/$CN132*$DQ132</f>
        <v>701.23636363636365</v>
      </c>
      <c r="DV132" s="325">
        <f>CQ132/CN132*DQ132</f>
        <v>701.23636363636365</v>
      </c>
      <c r="DW132" s="325">
        <f>CR132/CO132*DR132</f>
        <v>701.23636363636365</v>
      </c>
      <c r="DX132" s="172">
        <f>DX3*Tech_Spec_Rail!$Z34</f>
        <v>1339.0014207150205</v>
      </c>
      <c r="DY132" s="172">
        <f>DY3*Tech_Spec_Rail!$Z34</f>
        <v>1339.0014207150205</v>
      </c>
      <c r="DZ132" s="172">
        <f>DZ3*Tech_Spec_Rail!$Z34</f>
        <v>1339.0014207150205</v>
      </c>
      <c r="EA132" s="172">
        <f>EA3*Tech_Spec_Rail!$Z34</f>
        <v>1339.0014207150205</v>
      </c>
      <c r="EB132" s="172">
        <f>EB3*Tech_Spec_Rail!$Z34</f>
        <v>1339.0014207150205</v>
      </c>
      <c r="EC132" s="172">
        <f>EC3*Tech_Spec_Rail!$Z34</f>
        <v>1339.0014207150205</v>
      </c>
      <c r="ED132" s="172">
        <f>ED3*Tech_Spec_Rail!$Z34</f>
        <v>1339.0014207150205</v>
      </c>
      <c r="EF132" s="21" t="s">
        <v>82</v>
      </c>
    </row>
    <row r="133" spans="1:154" x14ac:dyDescent="0.3">
      <c r="A133" s="115" t="s">
        <v>236</v>
      </c>
      <c r="B133" s="115"/>
      <c r="C133" s="96"/>
      <c r="D133" s="60" t="s">
        <v>231</v>
      </c>
      <c r="E133" s="60" t="s">
        <v>231</v>
      </c>
      <c r="F133" s="60" t="s">
        <v>231</v>
      </c>
      <c r="G133" s="60" t="s">
        <v>231</v>
      </c>
      <c r="H133" s="60" t="s">
        <v>231</v>
      </c>
      <c r="I133" s="60" t="s">
        <v>231</v>
      </c>
      <c r="J133" s="60" t="s">
        <v>231</v>
      </c>
      <c r="K133" s="60" t="s">
        <v>231</v>
      </c>
      <c r="L133" s="60" t="s">
        <v>231</v>
      </c>
      <c r="M133" s="60" t="s">
        <v>231</v>
      </c>
      <c r="N133" s="60" t="s">
        <v>231</v>
      </c>
      <c r="O133" s="60" t="s">
        <v>231</v>
      </c>
      <c r="P133" s="60" t="s">
        <v>231</v>
      </c>
      <c r="Q133" s="60" t="s">
        <v>231</v>
      </c>
      <c r="R133" s="60" t="s">
        <v>231</v>
      </c>
      <c r="S133" s="60" t="s">
        <v>231</v>
      </c>
      <c r="T133" s="60" t="s">
        <v>231</v>
      </c>
      <c r="U133" s="60" t="s">
        <v>231</v>
      </c>
      <c r="V133" s="60" t="s">
        <v>231</v>
      </c>
      <c r="W133" s="60" t="s">
        <v>231</v>
      </c>
      <c r="X133" s="60" t="s">
        <v>231</v>
      </c>
      <c r="Y133" s="60" t="s">
        <v>231</v>
      </c>
      <c r="Z133" s="60" t="s">
        <v>231</v>
      </c>
      <c r="AA133" s="60" t="s">
        <v>231</v>
      </c>
      <c r="AB133" s="60" t="s">
        <v>231</v>
      </c>
      <c r="AC133" s="60" t="s">
        <v>231</v>
      </c>
      <c r="AD133" s="60" t="s">
        <v>231</v>
      </c>
      <c r="AE133" s="60" t="s">
        <v>231</v>
      </c>
      <c r="AF133" s="60" t="s">
        <v>231</v>
      </c>
      <c r="AG133" s="60" t="s">
        <v>231</v>
      </c>
      <c r="AH133" s="60" t="s">
        <v>231</v>
      </c>
      <c r="AI133" s="60" t="s">
        <v>231</v>
      </c>
      <c r="AJ133" s="60" t="s">
        <v>231</v>
      </c>
      <c r="AK133" s="60" t="s">
        <v>231</v>
      </c>
      <c r="AL133" s="60" t="s">
        <v>231</v>
      </c>
      <c r="AM133" s="60" t="s">
        <v>231</v>
      </c>
      <c r="AN133" s="60" t="s">
        <v>231</v>
      </c>
      <c r="AO133" s="60" t="s">
        <v>230</v>
      </c>
      <c r="AP133" s="60" t="s">
        <v>230</v>
      </c>
      <c r="AQ133" s="60" t="s">
        <v>230</v>
      </c>
      <c r="AR133" s="91" t="str">
        <f t="shared" si="607"/>
        <v>EV</v>
      </c>
      <c r="AS133" s="91" t="str">
        <f t="shared" si="607"/>
        <v>EV</v>
      </c>
      <c r="AT133" s="91" t="str">
        <f t="shared" si="607"/>
        <v>EV</v>
      </c>
      <c r="AU133" s="91" t="str">
        <f t="shared" si="607"/>
        <v>EV</v>
      </c>
      <c r="AV133" s="91" t="str">
        <f t="shared" si="607"/>
        <v>EV</v>
      </c>
      <c r="AW133" s="91" t="str">
        <f t="shared" si="607"/>
        <v>EV</v>
      </c>
      <c r="AX133" s="60" t="s">
        <v>231</v>
      </c>
      <c r="AY133" s="326" t="s">
        <v>231</v>
      </c>
      <c r="AZ133" s="326" t="s">
        <v>231</v>
      </c>
      <c r="BA133" s="326" t="s">
        <v>231</v>
      </c>
      <c r="BB133" s="326" t="s">
        <v>231</v>
      </c>
      <c r="BC133" s="91" t="str">
        <f t="shared" si="608"/>
        <v>ICE</v>
      </c>
      <c r="BD133" s="91" t="str">
        <f t="shared" si="608"/>
        <v>ICE</v>
      </c>
      <c r="BE133" s="91" t="str">
        <f t="shared" si="608"/>
        <v>ICE</v>
      </c>
      <c r="BF133" s="91" t="str">
        <f t="shared" si="608"/>
        <v>ICE</v>
      </c>
      <c r="BG133" s="91" t="str">
        <f t="shared" si="608"/>
        <v>ICE</v>
      </c>
      <c r="BH133" s="91" t="str">
        <f t="shared" si="608"/>
        <v>ICE</v>
      </c>
      <c r="BI133" s="60" t="s">
        <v>230</v>
      </c>
      <c r="BJ133" s="60" t="s">
        <v>230</v>
      </c>
      <c r="BK133" s="60" t="s">
        <v>230</v>
      </c>
      <c r="BL133" s="91" t="str">
        <f t="shared" si="609"/>
        <v>EV</v>
      </c>
      <c r="BM133" s="91" t="str">
        <f t="shared" si="609"/>
        <v>EV</v>
      </c>
      <c r="BN133" s="91" t="str">
        <f t="shared" si="609"/>
        <v>EV</v>
      </c>
      <c r="BO133" s="91" t="str">
        <f t="shared" si="609"/>
        <v>EV</v>
      </c>
      <c r="BP133" s="91" t="str">
        <f t="shared" si="609"/>
        <v>EV</v>
      </c>
      <c r="BQ133" s="91" t="str">
        <f t="shared" si="609"/>
        <v>EV</v>
      </c>
      <c r="BR133" s="91" t="str">
        <f t="shared" si="609"/>
        <v>EV</v>
      </c>
      <c r="BS133" s="91" t="str">
        <f t="shared" si="609"/>
        <v>EV</v>
      </c>
      <c r="BT133" s="60" t="s">
        <v>231</v>
      </c>
      <c r="BU133" s="91" t="str">
        <f t="shared" si="610"/>
        <v>EV</v>
      </c>
      <c r="BV133" s="91" t="str">
        <f t="shared" si="610"/>
        <v>EV</v>
      </c>
      <c r="BW133" s="91" t="str">
        <f t="shared" si="610"/>
        <v>EV</v>
      </c>
      <c r="BX133" s="91" t="str">
        <f t="shared" si="610"/>
        <v>EV</v>
      </c>
      <c r="BY133" s="91" t="str">
        <f t="shared" si="610"/>
        <v>EV</v>
      </c>
      <c r="BZ133" s="91" t="str">
        <f t="shared" si="610"/>
        <v>EV</v>
      </c>
      <c r="CA133" s="91" t="str">
        <f t="shared" si="610"/>
        <v>EV</v>
      </c>
      <c r="CB133" s="91" t="str">
        <f t="shared" si="610"/>
        <v>EV</v>
      </c>
      <c r="CC133" s="60" t="s">
        <v>231</v>
      </c>
      <c r="CD133" s="326" t="s">
        <v>231</v>
      </c>
      <c r="CE133" s="326" t="s">
        <v>231</v>
      </c>
      <c r="CF133" s="326" t="s">
        <v>231</v>
      </c>
      <c r="CG133" s="326" t="s">
        <v>231</v>
      </c>
      <c r="CH133" s="60" t="s">
        <v>230</v>
      </c>
      <c r="CI133" s="60" t="s">
        <v>230</v>
      </c>
      <c r="CJ133" s="60" t="s">
        <v>230</v>
      </c>
      <c r="CK133" s="60" t="s">
        <v>231</v>
      </c>
      <c r="CL133" s="60" t="s">
        <v>231</v>
      </c>
      <c r="CM133" s="326" t="s">
        <v>231</v>
      </c>
      <c r="CN133" s="60" t="s">
        <v>230</v>
      </c>
      <c r="CO133" s="60" t="s">
        <v>230</v>
      </c>
      <c r="CP133" s="60" t="s">
        <v>230</v>
      </c>
      <c r="CQ133" s="60" t="s">
        <v>231</v>
      </c>
      <c r="CR133" s="326" t="s">
        <v>231</v>
      </c>
      <c r="CS133" s="60" t="s">
        <v>230</v>
      </c>
      <c r="CT133" s="60" t="s">
        <v>230</v>
      </c>
      <c r="CU133" s="60" t="s">
        <v>230</v>
      </c>
      <c r="CV133" s="60" t="s">
        <v>231</v>
      </c>
      <c r="CW133" s="60" t="s">
        <v>231</v>
      </c>
      <c r="CX133" s="326" t="s">
        <v>231</v>
      </c>
      <c r="CY133" s="60" t="s">
        <v>230</v>
      </c>
      <c r="CZ133" s="60" t="s">
        <v>230</v>
      </c>
      <c r="DA133" s="60" t="s">
        <v>230</v>
      </c>
      <c r="DB133" s="60" t="s">
        <v>230</v>
      </c>
      <c r="DC133" s="60" t="s">
        <v>230</v>
      </c>
      <c r="DD133" s="326" t="s">
        <v>231</v>
      </c>
      <c r="DE133" s="60" t="s">
        <v>230</v>
      </c>
      <c r="DF133" s="60" t="s">
        <v>230</v>
      </c>
      <c r="DG133" s="60"/>
      <c r="DH133" s="60" t="s">
        <v>230</v>
      </c>
      <c r="DI133" s="60" t="s">
        <v>230</v>
      </c>
      <c r="DJ133" s="326" t="s">
        <v>231</v>
      </c>
      <c r="DK133" s="60" t="s">
        <v>230</v>
      </c>
      <c r="DL133" s="60" t="s">
        <v>230</v>
      </c>
      <c r="DM133" s="60" t="s">
        <v>230</v>
      </c>
      <c r="DN133" s="60" t="s">
        <v>230</v>
      </c>
      <c r="DO133" s="60" t="s">
        <v>230</v>
      </c>
      <c r="DP133" s="60" t="s">
        <v>230</v>
      </c>
      <c r="DQ133" s="60" t="s">
        <v>230</v>
      </c>
      <c r="DR133" s="60" t="s">
        <v>230</v>
      </c>
      <c r="DS133" s="60" t="s">
        <v>231</v>
      </c>
      <c r="DT133" s="60" t="s">
        <v>231</v>
      </c>
      <c r="DU133" s="60" t="s">
        <v>231</v>
      </c>
      <c r="DV133" s="326" t="s">
        <v>231</v>
      </c>
      <c r="DW133" s="326" t="s">
        <v>231</v>
      </c>
      <c r="DX133" s="60" t="s">
        <v>231</v>
      </c>
      <c r="DY133" s="60" t="s">
        <v>231</v>
      </c>
      <c r="DZ133" s="60" t="s">
        <v>231</v>
      </c>
      <c r="EA133" s="60" t="s">
        <v>231</v>
      </c>
      <c r="EB133" s="60" t="s">
        <v>231</v>
      </c>
      <c r="EC133" s="60" t="s">
        <v>231</v>
      </c>
      <c r="ED133" s="60" t="s">
        <v>231</v>
      </c>
      <c r="EF133" s="299" t="s">
        <v>148</v>
      </c>
      <c r="EG133" s="300" t="s">
        <v>925</v>
      </c>
      <c r="EI133" s="21" t="s">
        <v>230</v>
      </c>
      <c r="EJ133" s="21" t="s">
        <v>231</v>
      </c>
    </row>
    <row r="134" spans="1:154" x14ac:dyDescent="0.3">
      <c r="A134" s="115" t="s">
        <v>237</v>
      </c>
      <c r="B134" s="115" t="s">
        <v>315</v>
      </c>
      <c r="C134" s="96"/>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f t="shared" ref="AO134:BB134" si="611">AO135/AO132</f>
        <v>2.310107956494848E-2</v>
      </c>
      <c r="AP134" s="41">
        <f t="shared" si="611"/>
        <v>2.5490724650181585E-2</v>
      </c>
      <c r="AQ134" s="41">
        <f t="shared" si="611"/>
        <v>2.6780190967006293E-2</v>
      </c>
      <c r="AR134" s="41">
        <f>AR135/AR132</f>
        <v>1.5897202735653749E-2</v>
      </c>
      <c r="AS134" s="41">
        <f>AS135/AS132</f>
        <v>1.5897202735653749E-2</v>
      </c>
      <c r="AT134" s="41">
        <f t="shared" si="611"/>
        <v>1.5897202735653749E-2</v>
      </c>
      <c r="AU134" s="41">
        <f t="shared" si="611"/>
        <v>1.5897202735653749E-2</v>
      </c>
      <c r="AV134" s="41">
        <f t="shared" si="611"/>
        <v>1.5897202735653749E-2</v>
      </c>
      <c r="AW134" s="41">
        <f t="shared" si="611"/>
        <v>1.5897202735653749E-2</v>
      </c>
      <c r="AX134" s="41">
        <f t="shared" si="611"/>
        <v>1.5897202735653749E-2</v>
      </c>
      <c r="AY134" s="327">
        <f t="shared" si="611"/>
        <v>1.9162010083308052E-2</v>
      </c>
      <c r="AZ134" s="327">
        <f t="shared" si="611"/>
        <v>1.9162010083308052E-2</v>
      </c>
      <c r="BA134" s="327">
        <f t="shared" si="611"/>
        <v>1.9162010083308052E-2</v>
      </c>
      <c r="BB134" s="327">
        <f t="shared" si="611"/>
        <v>1.9162010083308052E-2</v>
      </c>
      <c r="BC134" s="113">
        <f t="shared" si="608"/>
        <v>2.310107956494848E-2</v>
      </c>
      <c r="BD134" s="113">
        <f t="shared" si="608"/>
        <v>2.310107956494848E-2</v>
      </c>
      <c r="BE134" s="113">
        <f t="shared" si="608"/>
        <v>2.310107956494848E-2</v>
      </c>
      <c r="BF134" s="113">
        <f t="shared" si="608"/>
        <v>2.310107956494848E-2</v>
      </c>
      <c r="BG134" s="113">
        <f t="shared" si="608"/>
        <v>2.310107956494848E-2</v>
      </c>
      <c r="BH134" s="113">
        <f t="shared" si="608"/>
        <v>2.310107956494848E-2</v>
      </c>
      <c r="BI134" s="277">
        <f>AO134</f>
        <v>2.310107956494848E-2</v>
      </c>
      <c r="BJ134" s="277">
        <f>AP134</f>
        <v>2.5490724650181585E-2</v>
      </c>
      <c r="BK134" s="277">
        <f>AQ134</f>
        <v>2.6780190967006293E-2</v>
      </c>
      <c r="BL134" s="113">
        <f t="shared" si="609"/>
        <v>1.5897202735653749E-2</v>
      </c>
      <c r="BM134" s="113">
        <f t="shared" si="609"/>
        <v>1.5897202735653749E-2</v>
      </c>
      <c r="BN134" s="113">
        <f t="shared" si="609"/>
        <v>1.5897202735653749E-2</v>
      </c>
      <c r="BO134" s="113">
        <f t="shared" si="609"/>
        <v>1.5897202735653749E-2</v>
      </c>
      <c r="BP134" s="113">
        <f t="shared" si="609"/>
        <v>1.5897202735653749E-2</v>
      </c>
      <c r="BQ134" s="113">
        <f t="shared" si="609"/>
        <v>1.5897202735653749E-2</v>
      </c>
      <c r="BR134" s="113">
        <f t="shared" si="609"/>
        <v>1.5897202735653749E-2</v>
      </c>
      <c r="BS134" s="113">
        <f t="shared" si="609"/>
        <v>1.5897202735653749E-2</v>
      </c>
      <c r="BT134" s="277">
        <f>AX134</f>
        <v>1.5897202735653749E-2</v>
      </c>
      <c r="BU134" s="113">
        <f t="shared" si="610"/>
        <v>2.310107956494848E-2</v>
      </c>
      <c r="BV134" s="113">
        <f t="shared" si="610"/>
        <v>2.310107956494848E-2</v>
      </c>
      <c r="BW134" s="113">
        <f t="shared" si="610"/>
        <v>2.310107956494848E-2</v>
      </c>
      <c r="BX134" s="113">
        <f t="shared" si="610"/>
        <v>2.310107956494848E-2</v>
      </c>
      <c r="BY134" s="113">
        <f t="shared" si="610"/>
        <v>2.310107956494848E-2</v>
      </c>
      <c r="BZ134" s="113">
        <f t="shared" si="610"/>
        <v>2.310107956494848E-2</v>
      </c>
      <c r="CA134" s="113">
        <f t="shared" si="610"/>
        <v>2.310107956494848E-2</v>
      </c>
      <c r="CB134" s="113">
        <f t="shared" si="610"/>
        <v>2.310107956494848E-2</v>
      </c>
      <c r="CC134" s="277">
        <f>AO134</f>
        <v>2.310107956494848E-2</v>
      </c>
      <c r="CD134" s="327">
        <f>CD135/CD132</f>
        <v>1.9162010083308052E-2</v>
      </c>
      <c r="CE134" s="327">
        <f>CE135/CE132</f>
        <v>1.9162010083308052E-2</v>
      </c>
      <c r="CF134" s="327">
        <f>CF135/CF132</f>
        <v>1.9162010083308052E-2</v>
      </c>
      <c r="CG134" s="327">
        <f>BB134</f>
        <v>1.9162010083308052E-2</v>
      </c>
      <c r="CH134" s="277">
        <f>CC134</f>
        <v>2.310107956494848E-2</v>
      </c>
      <c r="CI134" s="277">
        <f>CD134</f>
        <v>1.9162010083308052E-2</v>
      </c>
      <c r="CJ134" s="277">
        <f>CE134</f>
        <v>1.9162010083308052E-2</v>
      </c>
      <c r="CK134" s="277">
        <f>CF134</f>
        <v>1.9162010083308052E-2</v>
      </c>
      <c r="CL134" s="277">
        <f>CG134</f>
        <v>1.9162010083308052E-2</v>
      </c>
      <c r="CM134" s="327">
        <f>CG134</f>
        <v>1.9162010083308052E-2</v>
      </c>
      <c r="CN134" s="41">
        <f>CN135/CN132</f>
        <v>1.8444082959513025E-2</v>
      </c>
      <c r="CO134" s="41">
        <f>CO135/CO132</f>
        <v>2.0132042243291536E-2</v>
      </c>
      <c r="CP134" s="41">
        <f>CP135/CP132</f>
        <v>2.108719229015988E-2</v>
      </c>
      <c r="CQ134" s="41">
        <f>CQ135/CQ132</f>
        <v>1.0679214750383619E-2</v>
      </c>
      <c r="CR134" s="327">
        <f>CR135/CR132</f>
        <v>1.2848197909128797E-2</v>
      </c>
      <c r="CS134" s="277">
        <f>CN134</f>
        <v>1.8444082959513025E-2</v>
      </c>
      <c r="CT134" s="277">
        <f>CO134</f>
        <v>2.0132042243291536E-2</v>
      </c>
      <c r="CU134" s="277">
        <f>CP134</f>
        <v>2.108719229015988E-2</v>
      </c>
      <c r="CV134" s="277">
        <f>CQ134</f>
        <v>1.0679214750383619E-2</v>
      </c>
      <c r="CW134" s="277">
        <f>CR134</f>
        <v>1.2848197909128797E-2</v>
      </c>
      <c r="CX134" s="327">
        <f>CR134</f>
        <v>1.2848197909128797E-2</v>
      </c>
      <c r="CY134" s="113">
        <f>CN134</f>
        <v>1.8444082959513025E-2</v>
      </c>
      <c r="CZ134" s="113">
        <f>CO134</f>
        <v>2.0132042243291536E-2</v>
      </c>
      <c r="DA134" s="113">
        <f>CP134</f>
        <v>2.108719229015988E-2</v>
      </c>
      <c r="DB134" s="113">
        <f>CQ134</f>
        <v>1.0679214750383619E-2</v>
      </c>
      <c r="DC134" s="113">
        <f>CR134</f>
        <v>1.2848197909128797E-2</v>
      </c>
      <c r="DD134" s="327">
        <f>CX134</f>
        <v>1.2848197909128797E-2</v>
      </c>
      <c r="DE134" s="113">
        <f>CN134</f>
        <v>1.8444082959513025E-2</v>
      </c>
      <c r="DF134" s="113">
        <f>CO134</f>
        <v>2.0132042243291536E-2</v>
      </c>
      <c r="DG134" s="277"/>
      <c r="DH134" s="113">
        <f>CQ134</f>
        <v>1.0679214750383619E-2</v>
      </c>
      <c r="DI134" s="113">
        <f>CR134</f>
        <v>1.2848197909128797E-2</v>
      </c>
      <c r="DJ134" s="327">
        <f>DD134</f>
        <v>1.2848197909128797E-2</v>
      </c>
      <c r="DK134" s="113">
        <f t="shared" ref="DK134:DP134" si="612">$CN134</f>
        <v>1.8444082959513025E-2</v>
      </c>
      <c r="DL134" s="113">
        <f t="shared" si="612"/>
        <v>1.8444082959513025E-2</v>
      </c>
      <c r="DM134" s="113">
        <f t="shared" si="612"/>
        <v>1.8444082959513025E-2</v>
      </c>
      <c r="DN134" s="113">
        <f t="shared" si="612"/>
        <v>1.8444082959513025E-2</v>
      </c>
      <c r="DO134" s="113">
        <f t="shared" si="612"/>
        <v>1.8444082959513025E-2</v>
      </c>
      <c r="DP134" s="113">
        <f t="shared" si="612"/>
        <v>1.8444082959513025E-2</v>
      </c>
      <c r="DQ134" s="113">
        <f>$CN134</f>
        <v>1.8444082959513025E-2</v>
      </c>
      <c r="DR134" s="113">
        <f>CO134</f>
        <v>2.0132042243291536E-2</v>
      </c>
      <c r="DS134" s="113">
        <f>$CQ134</f>
        <v>1.0679214750383619E-2</v>
      </c>
      <c r="DT134" s="113">
        <f>$CQ134</f>
        <v>1.0679214750383619E-2</v>
      </c>
      <c r="DU134" s="113">
        <f>$CQ134</f>
        <v>1.0679214750383619E-2</v>
      </c>
      <c r="DV134" s="327">
        <f>CQ134</f>
        <v>1.0679214750383619E-2</v>
      </c>
      <c r="DW134" s="327">
        <f>CR134</f>
        <v>1.2848197909128797E-2</v>
      </c>
      <c r="DX134" s="489">
        <f t="shared" ref="DX134:EC134" si="613">$DU134</f>
        <v>1.0679214750383619E-2</v>
      </c>
      <c r="DY134" s="489">
        <f t="shared" si="613"/>
        <v>1.0679214750383619E-2</v>
      </c>
      <c r="DZ134" s="489">
        <f t="shared" si="613"/>
        <v>1.0679214750383619E-2</v>
      </c>
      <c r="EA134" s="489">
        <f t="shared" si="613"/>
        <v>1.0679214750383619E-2</v>
      </c>
      <c r="EB134" s="489">
        <f t="shared" si="613"/>
        <v>1.0679214750383619E-2</v>
      </c>
      <c r="EC134" s="489">
        <f t="shared" si="613"/>
        <v>1.0679214750383619E-2</v>
      </c>
      <c r="ED134" s="489">
        <f>$DU134</f>
        <v>1.0679214750383619E-2</v>
      </c>
      <c r="EF134" s="74" t="s">
        <v>830</v>
      </c>
    </row>
    <row r="135" spans="1:154" x14ac:dyDescent="0.3">
      <c r="A135" s="115" t="s">
        <v>314</v>
      </c>
      <c r="B135" s="115" t="s">
        <v>169</v>
      </c>
      <c r="C135" s="96"/>
      <c r="D135" s="49">
        <f>IF(D$133=$EI$133,[5]Vehi_Fluids!$B$105,IF(D$133=$EJ$133,[5]Vehi_Fluids!$F$105,0))*Convert!$G$9/1000/$AO$3*D$3</f>
        <v>2.1012788267431037E-2</v>
      </c>
      <c r="E135" s="49">
        <f>IF(E$133=$EI$133,[5]Vehi_Fluids!$B$105,IF(E$133=$EJ$133,[5]Vehi_Fluids!$F$105,0))*Convert!$G$9/1000/$AO$3*E$3</f>
        <v>2.6265985334288797E-2</v>
      </c>
      <c r="F135" s="49">
        <f>IF(F$133=$EI$133,[5]Vehi_Fluids!$B$105,IF(F$133=$EJ$133,[5]Vehi_Fluids!$F$105,0))*Convert!$G$9/1000/$AO$3*F$3</f>
        <v>2.1012788267431037E-2</v>
      </c>
      <c r="G135" s="49">
        <f>IF(G$133=$EI$133,[5]Vehi_Fluids!$B$105,IF(G$133=$EJ$133,[5]Vehi_Fluids!$F$105,0))*Convert!$G$9/1000/$AO$3*G$3</f>
        <v>2.1012788267431037E-2</v>
      </c>
      <c r="H135" s="49">
        <f>IF(H$133=$EI$133,[5]Vehi_Fluids!$B$105,IF(H$133=$EJ$133,[5]Vehi_Fluids!$F$105,0))*Convert!$G$9/1000/$AO$3*H$3</f>
        <v>2.1012788267431037E-2</v>
      </c>
      <c r="I135" s="49">
        <f>IF(I$133=$EI$133,[5]Vehi_Fluids!$B$105,IF(I$133=$EJ$133,[5]Vehi_Fluids!$F$105,0))*Convert!$G$9/1000/$AO$3*I$3</f>
        <v>2.1012788267431037E-2</v>
      </c>
      <c r="J135" s="49">
        <f>IF(J$133=$EI$133,[5]Vehi_Fluids!$B$105,IF(J$133=$EJ$133,[5]Vehi_Fluids!$F$105,0))*Convert!$G$9/1000/$AO$3*J$3</f>
        <v>2.1012788267431037E-2</v>
      </c>
      <c r="K135" s="49">
        <f>IF(K$133=$EI$133,[5]Vehi_Fluids!$B$105,IF(K$133=$EJ$133,[5]Vehi_Fluids!$F$105,0))*Convert!$G$9/1000/$AO$3*K$3</f>
        <v>2.1012788267431037E-2</v>
      </c>
      <c r="L135" s="49">
        <f>IF(L$133=$EI$133,[5]Vehi_Fluids!$B$105,IF(L$133=$EJ$133,[5]Vehi_Fluids!$F$105,0))*Convert!$G$9/1000/$AO$3*L$3</f>
        <v>2.1012788267431037E-2</v>
      </c>
      <c r="M135" s="49">
        <f>IF(M$133=$EI$133,[5]Vehi_Fluids!$B$105,IF(M$133=$EJ$133,[5]Vehi_Fluids!$F$105,0))*Convert!$G$9/1000/$AO$3*M$3</f>
        <v>2.1012788267431037E-2</v>
      </c>
      <c r="N135" s="49">
        <f>IF(N$133=$EI$133,[5]Vehi_Fluids!$B$105,IF(N$133=$EJ$133,[5]Vehi_Fluids!$F$105,0))*Convert!$G$9/1000/$AO$3*N$3</f>
        <v>2.1012788267431037E-2</v>
      </c>
      <c r="O135" s="49">
        <f>IF(O$133=$EI$133,[5]Vehi_Fluids!$B$105,IF(O$133=$EJ$133,[5]Vehi_Fluids!$F$105,0))*Convert!$G$9/1000/$AO$3*O$3</f>
        <v>2.1012788267431037E-2</v>
      </c>
      <c r="P135" s="49">
        <f>IF(P$133=$EI$133,[5]Vehi_Fluids!$B$105,IF(P$133=$EJ$133,[5]Vehi_Fluids!$F$105,0))*Convert!$G$9/1000/$AO$3*P$3</f>
        <v>2.1012788267431037E-2</v>
      </c>
      <c r="Q135" s="49">
        <f>IF(Q$133=$EI$133,[5]Vehi_Fluids!$B$105,IF(Q$133=$EJ$133,[5]Vehi_Fluids!$F$105,0))*Convert!$G$9/1000/$AO$3*Q$3</f>
        <v>2.1012788267431037E-2</v>
      </c>
      <c r="R135" s="49">
        <f>IF(R$133=$EI$133,[5]Vehi_Fluids!$B$105,IF(R$133=$EJ$133,[5]Vehi_Fluids!$F$105,0))*Convert!$G$9/1000/$AO$3*R$3</f>
        <v>2.1012788267431037E-2</v>
      </c>
      <c r="S135" s="49">
        <f>IF(S$133=$EI$133,[5]Vehi_Fluids!$B$105,IF(S$133=$EJ$133,[5]Vehi_Fluids!$F$105,0))*Convert!$G$9/1000/$AO$3*S$3</f>
        <v>2.6265985334288797E-2</v>
      </c>
      <c r="T135" s="49">
        <f>IF(T$133=$EI$133,[5]Vehi_Fluids!$B$105,IF(T$133=$EJ$133,[5]Vehi_Fluids!$F$105,0))*Convert!$G$9/1000/$AO$3*T$3</f>
        <v>2.1012788267431037E-2</v>
      </c>
      <c r="U135" s="49">
        <f>IF(U$133=$EI$133,[5]Vehi_Fluids!$B$105,IF(U$133=$EJ$133,[5]Vehi_Fluids!$F$105,0))*Convert!$G$9/1000/$AO$3*U$3</f>
        <v>2.1012788267431037E-2</v>
      </c>
      <c r="V135" s="49">
        <f>IF(V$133=$EI$133,[5]Vehi_Fluids!$B$105,IF(V$133=$EJ$133,[5]Vehi_Fluids!$F$105,0))*Convert!$G$9/1000/$AO$3*V$3</f>
        <v>2.1012788267431037E-2</v>
      </c>
      <c r="W135" s="49">
        <f>IF(W$133=$EI$133,[5]Vehi_Fluids!$B$105,IF(W$133=$EJ$133,[5]Vehi_Fluids!$F$105,0))*Convert!$G$9/1000/$AO$3*W$3</f>
        <v>2.1012788267431037E-2</v>
      </c>
      <c r="X135" s="49">
        <f>IF(X$133=$EI$133,[5]Vehi_Fluids!$B$105,IF(X$133=$EJ$133,[5]Vehi_Fluids!$F$105,0))*Convert!$G$9/1000/$AO$3*X$3</f>
        <v>4.7574880833300269E-2</v>
      </c>
      <c r="Y135" s="49">
        <f>IF(Y$133=$EI$133,[5]Vehi_Fluids!$B$105,IF(Y$133=$EJ$133,[5]Vehi_Fluids!$F$105,0))*Convert!$G$9/1000/$AO$3*Y$3</f>
        <v>4.7574880833300269E-2</v>
      </c>
      <c r="Z135" s="49">
        <f>IF(Z$133=$EI$133,[5]Vehi_Fluids!$B$105,IF(Z$133=$EJ$133,[5]Vehi_Fluids!$F$105,0))*Convert!$G$9/1000/$AO$3*Z$3</f>
        <v>4.7574880833300269E-2</v>
      </c>
      <c r="AA135" s="49">
        <f>IF(AA$133=$EI$133,[5]Vehi_Fluids!$B$105,IF(AA$133=$EJ$133,[5]Vehi_Fluids!$F$105,0))*Convert!$G$9/1000/$AO$3*AA$3</f>
        <v>4.7574880833300269E-2</v>
      </c>
      <c r="AB135" s="49">
        <f>IF(AB$133=$EI$133,[5]Vehi_Fluids!$B$105,IF(AB$133=$EJ$133,[5]Vehi_Fluids!$F$105,0))*Convert!$G$9/1000/$AO$3*AB$3</f>
        <v>4.7574880833300269E-2</v>
      </c>
      <c r="AC135" s="49">
        <f>IF(AC$133=$EI$133,[5]Vehi_Fluids!$B$105,IF(AC$133=$EJ$133,[5]Vehi_Fluids!$F$105,0))*Convert!$G$9/1000/$AO$3*AC$3</f>
        <v>4.7574880833300269E-2</v>
      </c>
      <c r="AD135" s="49">
        <f>IF(AD$133=$EI$133,[5]Vehi_Fluids!$B$105,IF(AD$133=$EJ$133,[5]Vehi_Fluids!$F$105,0))*Convert!$G$9/1000/$AO$3*AD$3</f>
        <v>4.7574880833300269E-2</v>
      </c>
      <c r="AE135" s="49">
        <f>IF(AE$133=$EI$133,[5]Vehi_Fluids!$B$105,IF(AE$133=$EJ$133,[5]Vehi_Fluids!$F$105,0))*Convert!$G$9/1000/$AO$3*AE$3</f>
        <v>4.7574880833300269E-2</v>
      </c>
      <c r="AF135" s="49">
        <f>IF(AF$133=$EI$133,[5]Vehi_Fluids!$B$105,IF(AF$133=$EJ$133,[5]Vehi_Fluids!$F$105,0))*Convert!$G$9/1000/$AO$3*AF$3</f>
        <v>2.1012788267431037E-2</v>
      </c>
      <c r="AG135" s="49">
        <f>IF(AG$133=$EI$133,[5]Vehi_Fluids!$B$105,IF(AG$133=$EJ$133,[5]Vehi_Fluids!$F$105,0))*Convert!$G$9/1000/$AO$3*AG$3</f>
        <v>3.986634319339831E-2</v>
      </c>
      <c r="AH135" s="49">
        <f>IF(AH$133=$EI$133,[5]Vehi_Fluids!$B$105,IF(AH$133=$EJ$133,[5]Vehi_Fluids!$F$105,0))*Convert!$G$9/1000/$AO$3*AH$3</f>
        <v>4.4986509372862013E-2</v>
      </c>
      <c r="AI135" s="49">
        <f>IF(AI$133=$EI$133,[5]Vehi_Fluids!$B$105,IF(AI$133=$EJ$133,[5]Vehi_Fluids!$F$105,0))*Convert!$G$9/1000/$AO$3*AI$3</f>
        <v>5.1431074075587717E-2</v>
      </c>
      <c r="AJ135" s="49">
        <f>IF(AJ$133=$EI$133,[5]Vehi_Fluids!$B$105,IF(AJ$133=$EJ$133,[5]Vehi_Fluids!$F$105,0))*Convert!$G$9/1000/$AO$3*AJ$3</f>
        <v>5.9541525201889399E-2</v>
      </c>
      <c r="AK135" s="49">
        <f>IF(AK$133=$EI$133,[5]Vehi_Fluids!$B$105,IF(AK$133=$EJ$133,[5]Vehi_Fluids!$F$105,0))*Convert!$G$9/1000/$AO$3*AK$3</f>
        <v>0.1815196204457995</v>
      </c>
      <c r="AL135" s="49">
        <f>IF(AL$133=$EI$133,[5]Vehi_Fluids!$B$105,IF(AL$133=$EJ$133,[5]Vehi_Fluids!$F$105,0))*Convert!$G$9/1000/$AO$3*AL$3</f>
        <v>0.16002346468054796</v>
      </c>
      <c r="AM135" s="49">
        <f>IF(AM$133=$EI$133,[5]Vehi_Fluids!$B$105,IF(AM$133=$EJ$133,[5]Vehi_Fluids!$F$105,0))*Convert!$G$9/1000/$AO$3*AM$3</f>
        <v>0.1815196204457995</v>
      </c>
      <c r="AN135" s="49">
        <f>IF(AN$133=$EI$133,[5]Vehi_Fluids!$B$105,IF(AN$133=$EJ$133,[5]Vehi_Fluids!$F$105,0))*Convert!$G$9/1000/$AO$3*AN$3</f>
        <v>0.16002346468054796</v>
      </c>
      <c r="AO135" s="115">
        <f>IF(AO$133=$EI$133,[5]Vehi_Fluids!$B$105,IF(AO$133=$EJ$133,[5]Vehi_Fluids!$F$105,0))*Convert!$G$9/1000/$AO$3*AO$3</f>
        <v>12.579453940316645</v>
      </c>
      <c r="AP135" s="115">
        <f>IF(AP$133=$EI$133,[5]Vehi_Fluids!$B$105,IF(AP$133=$EJ$133,[5]Vehi_Fluids!$F$105,0))*Convert!$G$9/1000/$AO$3*AP$3</f>
        <v>13.315059739327284</v>
      </c>
      <c r="AQ135" s="115">
        <f>IF(AQ$133=$EI$133,[5]Vehi_Fluids!$B$105,IF(AQ$133=$EJ$133,[5]Vehi_Fluids!$F$105,0))*Convert!$G$9/1000/$AO$3*AQ$3</f>
        <v>13.988611443956795</v>
      </c>
      <c r="AR135" s="115">
        <f>IF(AR$133=$EI$133,[5]Vehi_Fluids!$B$105,IF(AR$133=$EJ$133,[5]Vehi_Fluids!$F$105,0))*Convert!$G$9/1000/$AO$3*AR$3</f>
        <v>2.6892057871212289</v>
      </c>
      <c r="AS135" s="115">
        <f>IF(AS$133=$EI$133,[5]Vehi_Fluids!$B$105,IF(AS$133=$EJ$133,[5]Vehi_Fluids!$F$105,0))*Convert!$G$9/1000/$AO$3*AS$3</f>
        <v>2.6892057871212289</v>
      </c>
      <c r="AT135" s="115">
        <f>IF(AT$133=$EI$133,[5]Vehi_Fluids!$B$105,IF(AT$133=$EJ$133,[5]Vehi_Fluids!$F$105,0))*Convert!$G$9/1000/$AO$3*AT$3</f>
        <v>2.6892057871212289</v>
      </c>
      <c r="AU135" s="115">
        <f>IF(AU$133=$EI$133,[5]Vehi_Fluids!$B$105,IF(AU$133=$EJ$133,[5]Vehi_Fluids!$F$105,0))*Convert!$G$9/1000/$AO$3*AU$3</f>
        <v>2.6892057871212289</v>
      </c>
      <c r="AV135" s="115">
        <f>IF(AV$133=$EI$133,[5]Vehi_Fluids!$B$105,IF(AV$133=$EJ$133,[5]Vehi_Fluids!$F$105,0))*Convert!$G$9/1000/$AO$3*AV$3</f>
        <v>2.6892057871212289</v>
      </c>
      <c r="AW135" s="115">
        <f>IF(AW$133=$EI$133,[5]Vehi_Fluids!$B$105,IF(AW$133=$EJ$133,[5]Vehi_Fluids!$F$105,0))*Convert!$G$9/1000/$AO$3*AW$3</f>
        <v>2.6892057871212289</v>
      </c>
      <c r="AX135" s="115">
        <f>IF(AX$133=$EI$133,[5]Vehi_Fluids!$B$105,IF(AX$133=$EJ$133,[5]Vehi_Fluids!$F$105,0))*Convert!$G$9/1000/$AO$3*AX$3</f>
        <v>2.6892057871212289</v>
      </c>
      <c r="AY135" s="326">
        <f>IF(AY$133=$EI$133,[5]Vehi_Fluids!$B$105,IF(AY$133=$EJ$133,[5]Vehi_Fluids!$F$105,0))*Convert!$G$9/1000/$AO$3*AY$3</f>
        <v>3.2414877803210094</v>
      </c>
      <c r="AZ135" s="326">
        <f>IF(AZ$133=$EI$133,[5]Vehi_Fluids!$B$105,IF(AZ$133=$EJ$133,[5]Vehi_Fluids!$F$105,0))*Convert!$G$9/1000/$AO$3*AZ$3</f>
        <v>3.2414877803210094</v>
      </c>
      <c r="BA135" s="326">
        <f>IF(BA$133=$EI$133,[5]Vehi_Fluids!$B$105,IF(BA$133=$EJ$133,[5]Vehi_Fluids!$F$105,0))*Convert!$G$9/1000/$AO$3*BA$3</f>
        <v>3.2414877803210094</v>
      </c>
      <c r="BB135" s="326">
        <f>IF(BB$133=$EI$133,[5]Vehi_Fluids!$B$105,IF(BB$133=$EJ$133,[5]Vehi_Fluids!$F$105,0))*Convert!$G$9/1000/$AO$3*BB$3</f>
        <v>3.2414877803210094</v>
      </c>
      <c r="BC135" s="278">
        <f t="shared" ref="BC135:BK135" si="614">BC132*BC134</f>
        <v>23.532342665786008</v>
      </c>
      <c r="BD135" s="278">
        <f t="shared" si="614"/>
        <v>23.532342665786008</v>
      </c>
      <c r="BE135" s="278">
        <f t="shared" si="614"/>
        <v>23.532342665786008</v>
      </c>
      <c r="BF135" s="278">
        <f t="shared" si="614"/>
        <v>23.532342665786008</v>
      </c>
      <c r="BG135" s="278">
        <f t="shared" si="614"/>
        <v>23.532342665786008</v>
      </c>
      <c r="BH135" s="278">
        <f t="shared" si="614"/>
        <v>23.532342665786008</v>
      </c>
      <c r="BI135" s="278">
        <f t="shared" si="614"/>
        <v>23.532342665786008</v>
      </c>
      <c r="BJ135" s="278">
        <f t="shared" si="614"/>
        <v>24.908437988475498</v>
      </c>
      <c r="BK135" s="278">
        <f t="shared" si="614"/>
        <v>26.168448923104904</v>
      </c>
      <c r="BL135" s="278">
        <f t="shared" ref="BL135:BS135" si="615">BL132*BL134</f>
        <v>5.0306883257095167</v>
      </c>
      <c r="BM135" s="278">
        <f t="shared" si="615"/>
        <v>5.0306883257095167</v>
      </c>
      <c r="BN135" s="278">
        <f t="shared" si="615"/>
        <v>5.0306883257095167</v>
      </c>
      <c r="BO135" s="278">
        <f t="shared" si="615"/>
        <v>5.0306883257095167</v>
      </c>
      <c r="BP135" s="278">
        <f t="shared" si="615"/>
        <v>5.0306883257095167</v>
      </c>
      <c r="BQ135" s="278">
        <f t="shared" si="615"/>
        <v>5.0306883257095167</v>
      </c>
      <c r="BR135" s="278">
        <f t="shared" si="615"/>
        <v>5.0306883257095167</v>
      </c>
      <c r="BS135" s="278">
        <f t="shared" si="615"/>
        <v>5.0306883257095167</v>
      </c>
      <c r="BT135" s="278">
        <f t="shared" ref="BT135:CC135" si="616">BT132*BT134</f>
        <v>5.0306883257095167</v>
      </c>
      <c r="BU135" s="278">
        <f t="shared" si="616"/>
        <v>23.532342665786008</v>
      </c>
      <c r="BV135" s="278">
        <f t="shared" si="616"/>
        <v>23.532342665786008</v>
      </c>
      <c r="BW135" s="278">
        <f t="shared" si="616"/>
        <v>23.532342665786008</v>
      </c>
      <c r="BX135" s="278">
        <f t="shared" si="616"/>
        <v>23.532342665786008</v>
      </c>
      <c r="BY135" s="278">
        <f t="shared" si="616"/>
        <v>23.532342665786008</v>
      </c>
      <c r="BZ135" s="278">
        <f t="shared" si="616"/>
        <v>23.532342665786008</v>
      </c>
      <c r="CA135" s="278">
        <f t="shared" si="616"/>
        <v>23.532342665786008</v>
      </c>
      <c r="CB135" s="278">
        <f t="shared" si="616"/>
        <v>23.532342665786008</v>
      </c>
      <c r="CC135" s="278">
        <f t="shared" si="616"/>
        <v>23.532342665786008</v>
      </c>
      <c r="CD135" s="326">
        <f>IF(CD$133=$EI$133,[5]Vehi_Fluids!$B$105,IF(CD$133=$EJ$133,[5]Vehi_Fluids!$F$105,0))*Convert!$G$9/1000/$AO$3*CD$3</f>
        <v>3.2414877803210094</v>
      </c>
      <c r="CE135" s="326">
        <f>IF(CE$133=$EI$133,[5]Vehi_Fluids!$B$105,IF(CE$133=$EJ$133,[5]Vehi_Fluids!$F$105,0))*Convert!$G$9/1000/$AO$3*CE$3</f>
        <v>3.2414877803210094</v>
      </c>
      <c r="CF135" s="326">
        <f>IF(CF$133=$EI$133,[5]Vehi_Fluids!$B$105,IF(CF$133=$EJ$133,[5]Vehi_Fluids!$F$105,0))*Convert!$G$9/1000/$AO$3*CF$3</f>
        <v>3.2414877803210094</v>
      </c>
      <c r="CG135" s="326">
        <f>CG132*CG134</f>
        <v>6.0638404143281903</v>
      </c>
      <c r="CH135" s="278">
        <f t="shared" ref="CH135:CL135" si="617">CH132*CH134</f>
        <v>23.532342665786008</v>
      </c>
      <c r="CI135" s="278">
        <f>CI132*CI134</f>
        <v>18.724290754567495</v>
      </c>
      <c r="CJ135" s="278">
        <f t="shared" si="617"/>
        <v>18.724290754567495</v>
      </c>
      <c r="CK135" s="278">
        <f t="shared" si="617"/>
        <v>6.0638404143281903</v>
      </c>
      <c r="CL135" s="278">
        <f t="shared" si="617"/>
        <v>6.0638404143281903</v>
      </c>
      <c r="CM135" s="326">
        <f>CM132*CM134</f>
        <v>6.0638404143281903</v>
      </c>
      <c r="CN135" s="115">
        <f>IF(CN$133=$EI$133,[5]Vehi_Fluids!$B$105,IF(CN$133=$EJ$133,[5]Vehi_Fluids!$F$105,0))*Convert!$G$9/1000/$AO$3*CN$3</f>
        <v>15.981797884418038</v>
      </c>
      <c r="CO135" s="115">
        <f>IF(CO$133=$EI$133,[5]Vehi_Fluids!$B$105,IF(CO$133=$EJ$133,[5]Vehi_Fluids!$F$105,0))*Convert!$G$9/1000/$AO$3*CO$3</f>
        <v>16.85857217453233</v>
      </c>
      <c r="CP135" s="115">
        <f>IF(CP$133=$EI$133,[5]Vehi_Fluids!$B$105,IF(CP$133=$EJ$133,[5]Vehi_Fluids!$F$105,0))*Convert!$G$9/1000/$AO$3*CP$3</f>
        <v>17.658414823779882</v>
      </c>
      <c r="CQ135" s="115">
        <f>IF(CQ$133=$EI$133,[5]Vehi_Fluids!$B$105,IF(CQ$133=$EJ$133,[5]Vehi_Fluids!$F$105,0))*Convert!$G$9/1000/$AO$3*CQ$3</f>
        <v>3.432299620773295</v>
      </c>
      <c r="CR135" s="326">
        <f>IF(CR$133=$EI$133,[5]Vehi_Fluids!$B$105,IF(CR$133=$EJ$133,[5]Vehi_Fluids!$F$105,0))*Convert!$G$9/1000/$AO$3*CR$3</f>
        <v>4.1294108079939953</v>
      </c>
      <c r="CS135" s="278">
        <f t="shared" ref="CS135:DF135" si="618">CS132*CS134</f>
        <v>29.897096170932226</v>
      </c>
      <c r="CT135" s="278">
        <f t="shared" si="618"/>
        <v>31.537274920615019</v>
      </c>
      <c r="CU135" s="278">
        <f t="shared" si="618"/>
        <v>33.033537905487449</v>
      </c>
      <c r="CV135" s="278">
        <f t="shared" si="618"/>
        <v>6.4207914899087752</v>
      </c>
      <c r="CW135" s="278">
        <f t="shared" si="618"/>
        <v>7.7248750702980749</v>
      </c>
      <c r="CX135" s="326">
        <f t="shared" si="618"/>
        <v>7.7248750702980749</v>
      </c>
      <c r="CY135" s="278">
        <f t="shared" si="618"/>
        <v>29.897096170932226</v>
      </c>
      <c r="CZ135" s="278">
        <f t="shared" si="618"/>
        <v>31.537274920615019</v>
      </c>
      <c r="DA135" s="278">
        <f t="shared" si="618"/>
        <v>33.033537905487449</v>
      </c>
      <c r="DB135" s="278">
        <f t="shared" si="618"/>
        <v>6.4207914899087752</v>
      </c>
      <c r="DC135" s="278">
        <f t="shared" si="618"/>
        <v>7.7248750702980749</v>
      </c>
      <c r="DD135" s="326">
        <f t="shared" si="618"/>
        <v>7.7248750702980749</v>
      </c>
      <c r="DE135" s="278">
        <f t="shared" si="618"/>
        <v>29.897096170932226</v>
      </c>
      <c r="DF135" s="278">
        <f t="shared" si="618"/>
        <v>31.537274920615019</v>
      </c>
      <c r="DG135" s="278"/>
      <c r="DH135" s="278">
        <f>DH132*DH134</f>
        <v>6.4207914899087752</v>
      </c>
      <c r="DI135" s="278">
        <f>DI132*DI134</f>
        <v>7.7248750702980749</v>
      </c>
      <c r="DJ135" s="326">
        <f>DJ132*DJ134</f>
        <v>7.7248750702980749</v>
      </c>
      <c r="DK135" s="278">
        <f t="shared" ref="DK135:DP135" si="619">DK132*DK134</f>
        <v>26.15203290177497</v>
      </c>
      <c r="DL135" s="278">
        <f t="shared" si="619"/>
        <v>43.586721502958284</v>
      </c>
      <c r="DM135" s="278">
        <f>DM132*DM134</f>
        <v>34.869377202366628</v>
      </c>
      <c r="DN135" s="278">
        <f t="shared" si="619"/>
        <v>34.869377202366628</v>
      </c>
      <c r="DO135" s="278">
        <f t="shared" si="619"/>
        <v>34.869377202366628</v>
      </c>
      <c r="DP135" s="278">
        <f t="shared" si="619"/>
        <v>34.869377202366628</v>
      </c>
      <c r="DQ135" s="278">
        <f t="shared" ref="DQ135:DW135" si="620">DQ132*DQ134</f>
        <v>34.869377202366628</v>
      </c>
      <c r="DR135" s="278">
        <f t="shared" si="620"/>
        <v>36.782339289888725</v>
      </c>
      <c r="DS135" s="278">
        <f t="shared" si="620"/>
        <v>7.4886537180508261</v>
      </c>
      <c r="DT135" s="278">
        <f t="shared" si="620"/>
        <v>7.4886537180508261</v>
      </c>
      <c r="DU135" s="278">
        <f t="shared" si="620"/>
        <v>7.4886537180508261</v>
      </c>
      <c r="DV135" s="326">
        <f t="shared" si="620"/>
        <v>7.4886537180508261</v>
      </c>
      <c r="DW135" s="326">
        <f t="shared" si="620"/>
        <v>9.0096235810778076</v>
      </c>
      <c r="DX135" s="74">
        <f t="shared" ref="DX135:EC135" si="621">DX132*DX134</f>
        <v>14.299483722884469</v>
      </c>
      <c r="DY135" s="74">
        <f t="shared" si="621"/>
        <v>14.299483722884469</v>
      </c>
      <c r="DZ135" s="74">
        <f t="shared" si="621"/>
        <v>14.299483722884469</v>
      </c>
      <c r="EA135" s="74">
        <f t="shared" si="621"/>
        <v>14.299483722884469</v>
      </c>
      <c r="EB135" s="74">
        <f t="shared" si="621"/>
        <v>14.299483722884469</v>
      </c>
      <c r="EC135" s="74">
        <f t="shared" si="621"/>
        <v>14.299483722884469</v>
      </c>
      <c r="ED135" s="74">
        <f>ED132*ED134</f>
        <v>14.299483722884469</v>
      </c>
      <c r="EF135" s="74"/>
    </row>
    <row r="136" spans="1:154" x14ac:dyDescent="0.3">
      <c r="A136" s="115" t="s">
        <v>238</v>
      </c>
      <c r="B136" s="115" t="s">
        <v>831</v>
      </c>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f t="shared" ref="AO136:BB136" si="622">AO137/AO132</f>
        <v>1505.5765432439146</v>
      </c>
      <c r="AP136" s="116">
        <f t="shared" si="622"/>
        <v>1661.3179048928323</v>
      </c>
      <c r="AQ136" s="116">
        <f t="shared" si="622"/>
        <v>1745.3568449110342</v>
      </c>
      <c r="AR136" s="116">
        <f t="shared" si="622"/>
        <v>1205.3283798194786</v>
      </c>
      <c r="AS136" s="116">
        <f t="shared" si="622"/>
        <v>1205.3283798194786</v>
      </c>
      <c r="AT136" s="116">
        <f t="shared" si="622"/>
        <v>1205.3283798194786</v>
      </c>
      <c r="AU136" s="116">
        <f t="shared" si="622"/>
        <v>1205.3283798194786</v>
      </c>
      <c r="AV136" s="116">
        <f t="shared" si="622"/>
        <v>1205.3283798194786</v>
      </c>
      <c r="AW136" s="116">
        <f t="shared" si="622"/>
        <v>1205.3283798194786</v>
      </c>
      <c r="AX136" s="116">
        <f t="shared" si="622"/>
        <v>1205.3283798194786</v>
      </c>
      <c r="AY136" s="325">
        <f t="shared" si="622"/>
        <v>1452.8665798542067</v>
      </c>
      <c r="AZ136" s="325">
        <f t="shared" si="622"/>
        <v>1452.8665798542067</v>
      </c>
      <c r="BA136" s="325">
        <f t="shared" si="622"/>
        <v>1452.8665798542067</v>
      </c>
      <c r="BB136" s="325">
        <f t="shared" si="622"/>
        <v>1452.8665798542067</v>
      </c>
      <c r="BC136" s="113">
        <f t="shared" ref="BC136:BH136" si="623">$BI136</f>
        <v>1505.5765432439146</v>
      </c>
      <c r="BD136" s="113">
        <f t="shared" si="623"/>
        <v>1505.5765432439146</v>
      </c>
      <c r="BE136" s="113">
        <f t="shared" si="623"/>
        <v>1505.5765432439146</v>
      </c>
      <c r="BF136" s="113">
        <f t="shared" si="623"/>
        <v>1505.5765432439146</v>
      </c>
      <c r="BG136" s="113">
        <f t="shared" si="623"/>
        <v>1505.5765432439146</v>
      </c>
      <c r="BH136" s="113">
        <f t="shared" si="623"/>
        <v>1505.5765432439146</v>
      </c>
      <c r="BI136" s="279">
        <f>AO136</f>
        <v>1505.5765432439146</v>
      </c>
      <c r="BJ136" s="279">
        <f>AP136</f>
        <v>1661.3179048928323</v>
      </c>
      <c r="BK136" s="279">
        <f>AQ136</f>
        <v>1745.3568449110342</v>
      </c>
      <c r="BL136" s="113">
        <f t="shared" ref="BL136:BS136" si="624">$BT136</f>
        <v>1205.3283798194786</v>
      </c>
      <c r="BM136" s="113">
        <f t="shared" si="624"/>
        <v>1205.3283798194786</v>
      </c>
      <c r="BN136" s="113">
        <f t="shared" si="624"/>
        <v>1205.3283798194786</v>
      </c>
      <c r="BO136" s="113">
        <f t="shared" si="624"/>
        <v>1205.3283798194786</v>
      </c>
      <c r="BP136" s="113">
        <f t="shared" si="624"/>
        <v>1205.3283798194786</v>
      </c>
      <c r="BQ136" s="113">
        <f t="shared" si="624"/>
        <v>1205.3283798194786</v>
      </c>
      <c r="BR136" s="113">
        <f t="shared" si="624"/>
        <v>1205.3283798194786</v>
      </c>
      <c r="BS136" s="113">
        <f t="shared" si="624"/>
        <v>1205.3283798194786</v>
      </c>
      <c r="BT136" s="279">
        <f>AX136</f>
        <v>1205.3283798194786</v>
      </c>
      <c r="BU136" s="113">
        <f t="shared" ref="BU136:CB136" si="625">$CC136</f>
        <v>1505.5765432439146</v>
      </c>
      <c r="BV136" s="113">
        <f t="shared" si="625"/>
        <v>1505.5765432439146</v>
      </c>
      <c r="BW136" s="113">
        <f t="shared" si="625"/>
        <v>1505.5765432439146</v>
      </c>
      <c r="BX136" s="113">
        <f t="shared" si="625"/>
        <v>1505.5765432439146</v>
      </c>
      <c r="BY136" s="113">
        <f t="shared" si="625"/>
        <v>1505.5765432439146</v>
      </c>
      <c r="BZ136" s="113">
        <f t="shared" si="625"/>
        <v>1505.5765432439146</v>
      </c>
      <c r="CA136" s="113">
        <f t="shared" si="625"/>
        <v>1505.5765432439146</v>
      </c>
      <c r="CB136" s="113">
        <f t="shared" si="625"/>
        <v>1505.5765432439146</v>
      </c>
      <c r="CC136" s="279">
        <f>AO136</f>
        <v>1505.5765432439146</v>
      </c>
      <c r="CD136" s="325">
        <f>CD137/CD132</f>
        <v>1452.8665798542067</v>
      </c>
      <c r="CE136" s="325">
        <f>CE137/CE132</f>
        <v>1452.8665798542067</v>
      </c>
      <c r="CF136" s="325">
        <f>CF137/CF132</f>
        <v>1452.8665798542067</v>
      </c>
      <c r="CG136" s="325">
        <f>BB136</f>
        <v>1452.8665798542067</v>
      </c>
      <c r="CH136" s="279">
        <f>CC136</f>
        <v>1505.5765432439146</v>
      </c>
      <c r="CI136" s="279">
        <f>CD136</f>
        <v>1452.8665798542067</v>
      </c>
      <c r="CJ136" s="279">
        <f>CE136</f>
        <v>1452.8665798542067</v>
      </c>
      <c r="CK136" s="279">
        <f>CF136</f>
        <v>1452.8665798542067</v>
      </c>
      <c r="CL136" s="279">
        <f>CG136</f>
        <v>1452.8665798542067</v>
      </c>
      <c r="CM136" s="325">
        <f>CG136</f>
        <v>1452.8665798542067</v>
      </c>
      <c r="CN136" s="116">
        <f>CN137/CN132</f>
        <v>1202.0641107882157</v>
      </c>
      <c r="CO136" s="116">
        <f>CO137/CO132</f>
        <v>1312.074203453484</v>
      </c>
      <c r="CP136" s="116">
        <f>CP137/CP132</f>
        <v>1374.324606158701</v>
      </c>
      <c r="CQ136" s="116">
        <f>CQ137/CQ132</f>
        <v>809.69972056501058</v>
      </c>
      <c r="CR136" s="325">
        <f>CR137/CR132</f>
        <v>974.15236044502581</v>
      </c>
      <c r="CS136" s="279">
        <f>CN136</f>
        <v>1202.0641107882157</v>
      </c>
      <c r="CT136" s="279">
        <f>CO136</f>
        <v>1312.074203453484</v>
      </c>
      <c r="CU136" s="279">
        <f>CP136</f>
        <v>1374.324606158701</v>
      </c>
      <c r="CV136" s="279">
        <f>CQ136</f>
        <v>809.69972056501058</v>
      </c>
      <c r="CW136" s="279">
        <f>CR136</f>
        <v>974.15236044502581</v>
      </c>
      <c r="CX136" s="325">
        <f>CR136</f>
        <v>974.15236044502581</v>
      </c>
      <c r="CY136" s="279">
        <f>CT136</f>
        <v>1312.074203453484</v>
      </c>
      <c r="CZ136" s="279">
        <f>CU136</f>
        <v>1374.324606158701</v>
      </c>
      <c r="DA136" s="279">
        <f>CV136</f>
        <v>809.69972056501058</v>
      </c>
      <c r="DB136" s="279">
        <f>CW136</f>
        <v>974.15236044502581</v>
      </c>
      <c r="DC136" s="279">
        <f>CX136</f>
        <v>974.15236044502581</v>
      </c>
      <c r="DD136" s="325">
        <f>CX136</f>
        <v>974.15236044502581</v>
      </c>
      <c r="DE136" s="279">
        <f>CZ136</f>
        <v>1374.324606158701</v>
      </c>
      <c r="DF136" s="279">
        <f>DA136</f>
        <v>809.69972056501058</v>
      </c>
      <c r="DG136" s="279"/>
      <c r="DH136" s="279">
        <f>DC136</f>
        <v>974.15236044502581</v>
      </c>
      <c r="DI136" s="279">
        <f>DD136</f>
        <v>974.15236044502581</v>
      </c>
      <c r="DJ136" s="325">
        <f>DD136</f>
        <v>974.15236044502581</v>
      </c>
      <c r="DK136" s="491">
        <f>$DP136</f>
        <v>1452.8665798542067</v>
      </c>
      <c r="DL136" s="491">
        <f>$DP136</f>
        <v>1452.8665798542067</v>
      </c>
      <c r="DM136" s="491">
        <f>$DP136</f>
        <v>1452.8665798542067</v>
      </c>
      <c r="DN136" s="491">
        <f>$DP136</f>
        <v>1452.8665798542067</v>
      </c>
      <c r="DO136" s="491">
        <f>$DP136</f>
        <v>1452.8665798542067</v>
      </c>
      <c r="DP136" s="114">
        <f>CG136</f>
        <v>1452.8665798542067</v>
      </c>
      <c r="DQ136" s="114">
        <f>CN136</f>
        <v>1202.0641107882157</v>
      </c>
      <c r="DR136" s="114">
        <f>CO136</f>
        <v>1312.074203453484</v>
      </c>
      <c r="DS136" s="114">
        <f>$CQ136</f>
        <v>809.69972056501058</v>
      </c>
      <c r="DT136" s="114">
        <f>$CQ136</f>
        <v>809.69972056501058</v>
      </c>
      <c r="DU136" s="114">
        <f>$CQ136</f>
        <v>809.69972056501058</v>
      </c>
      <c r="DV136" s="325">
        <f>CQ136</f>
        <v>809.69972056501058</v>
      </c>
      <c r="DW136" s="325">
        <f>CR136</f>
        <v>974.15236044502581</v>
      </c>
      <c r="DX136" s="488">
        <f t="shared" ref="DX136:EC136" si="626">$DU136</f>
        <v>809.69972056501058</v>
      </c>
      <c r="DY136" s="488">
        <f t="shared" si="626"/>
        <v>809.69972056501058</v>
      </c>
      <c r="DZ136" s="488">
        <f t="shared" si="626"/>
        <v>809.69972056501058</v>
      </c>
      <c r="EA136" s="488">
        <f t="shared" si="626"/>
        <v>809.69972056501058</v>
      </c>
      <c r="EB136" s="488">
        <f t="shared" si="626"/>
        <v>809.69972056501058</v>
      </c>
      <c r="EC136" s="488">
        <f t="shared" si="626"/>
        <v>809.69972056501058</v>
      </c>
      <c r="ED136" s="488">
        <f>$DU136</f>
        <v>809.69972056501058</v>
      </c>
    </row>
    <row r="137" spans="1:154" x14ac:dyDescent="0.3">
      <c r="A137" s="115" t="s">
        <v>313</v>
      </c>
      <c r="B137" s="115" t="s">
        <v>343</v>
      </c>
      <c r="C137" s="96"/>
      <c r="D137" s="114">
        <f>IF(D$133=$EI$133,[5]Vehi_Fluids!$B$124,IF(D$133=$EJ$133,[5]Vehi_Fluids!$F$124,0))/$AO$3*D$3</f>
        <v>1593.1928691498094</v>
      </c>
      <c r="E137" s="114">
        <f>IF(E$133=$EI$133,[5]Vehi_Fluids!$B$124,IF(E$133=$EJ$133,[5]Vehi_Fluids!$F$124,0))/$AO$3*E$3</f>
        <v>1991.4910864372616</v>
      </c>
      <c r="F137" s="114">
        <f>IF(F$133=$EI$133,[5]Vehi_Fluids!$B$124,IF(F$133=$EJ$133,[5]Vehi_Fluids!$F$124,0))/$AO$3*F$3</f>
        <v>1593.1928691498094</v>
      </c>
      <c r="G137" s="114">
        <f>IF(G$133=$EI$133,[5]Vehi_Fluids!$B$124,IF(G$133=$EJ$133,[5]Vehi_Fluids!$F$124,0))/$AO$3*G$3</f>
        <v>1593.1928691498094</v>
      </c>
      <c r="H137" s="114">
        <f>IF(H$133=$EI$133,[5]Vehi_Fluids!$B$124,IF(H$133=$EJ$133,[5]Vehi_Fluids!$F$124,0))/$AO$3*H$3</f>
        <v>1593.1928691498094</v>
      </c>
      <c r="I137" s="114">
        <f>IF(I$133=$EI$133,[5]Vehi_Fluids!$B$124,IF(I$133=$EJ$133,[5]Vehi_Fluids!$F$124,0))/$AO$3*I$3</f>
        <v>1593.1928691498094</v>
      </c>
      <c r="J137" s="114">
        <f>IF(J$133=$EI$133,[5]Vehi_Fluids!$B$124,IF(J$133=$EJ$133,[5]Vehi_Fluids!$F$124,0))/$AO$3*J$3</f>
        <v>1593.1928691498094</v>
      </c>
      <c r="K137" s="114">
        <f>IF(K$133=$EI$133,[5]Vehi_Fluids!$B$124,IF(K$133=$EJ$133,[5]Vehi_Fluids!$F$124,0))/$AO$3*K$3</f>
        <v>1593.1928691498094</v>
      </c>
      <c r="L137" s="114">
        <f>IF(L$133=$EI$133,[5]Vehi_Fluids!$B$124,IF(L$133=$EJ$133,[5]Vehi_Fluids!$F$124,0))/$AO$3*L$3</f>
        <v>1593.1928691498094</v>
      </c>
      <c r="M137" s="114">
        <f>IF(M$133=$EI$133,[5]Vehi_Fluids!$B$124,IF(M$133=$EJ$133,[5]Vehi_Fluids!$F$124,0))/$AO$3*M$3</f>
        <v>1593.1928691498094</v>
      </c>
      <c r="N137" s="114">
        <f>IF(N$133=$EI$133,[5]Vehi_Fluids!$B$124,IF(N$133=$EJ$133,[5]Vehi_Fluids!$F$124,0))/$AO$3*N$3</f>
        <v>1593.1928691498094</v>
      </c>
      <c r="O137" s="114">
        <f>IF(O$133=$EI$133,[5]Vehi_Fluids!$B$124,IF(O$133=$EJ$133,[5]Vehi_Fluids!$F$124,0))/$AO$3*O$3</f>
        <v>1593.1928691498094</v>
      </c>
      <c r="P137" s="114">
        <f>IF(P$133=$EI$133,[5]Vehi_Fluids!$B$124,IF(P$133=$EJ$133,[5]Vehi_Fluids!$F$124,0))/$AO$3*P$3</f>
        <v>1593.1928691498094</v>
      </c>
      <c r="Q137" s="114">
        <f>IF(Q$133=$EI$133,[5]Vehi_Fluids!$B$124,IF(Q$133=$EJ$133,[5]Vehi_Fluids!$F$124,0))/$AO$3*Q$3</f>
        <v>1593.1928691498094</v>
      </c>
      <c r="R137" s="114">
        <f>IF(R$133=$EI$133,[5]Vehi_Fluids!$B$124,IF(R$133=$EJ$133,[5]Vehi_Fluids!$F$124,0))/$AO$3*R$3</f>
        <v>1593.1928691498094</v>
      </c>
      <c r="S137" s="114">
        <f>IF(S$133=$EI$133,[5]Vehi_Fluids!$B$124,IF(S$133=$EJ$133,[5]Vehi_Fluids!$F$124,0))/$AO$3*S$3</f>
        <v>1991.4910864372616</v>
      </c>
      <c r="T137" s="114">
        <f>IF(T$133=$EI$133,[5]Vehi_Fluids!$B$124,IF(T$133=$EJ$133,[5]Vehi_Fluids!$F$124,0))/$AO$3*T$3</f>
        <v>1593.1928691498094</v>
      </c>
      <c r="U137" s="114">
        <f>IF(U$133=$EI$133,[5]Vehi_Fluids!$B$124,IF(U$133=$EJ$133,[5]Vehi_Fluids!$F$124,0))/$AO$3*U$3</f>
        <v>1593.1928691498094</v>
      </c>
      <c r="V137" s="114">
        <f>IF(V$133=$EI$133,[5]Vehi_Fluids!$B$124,IF(V$133=$EJ$133,[5]Vehi_Fluids!$F$124,0))/$AO$3*V$3</f>
        <v>1593.1928691498094</v>
      </c>
      <c r="W137" s="114">
        <f>IF(W$133=$EI$133,[5]Vehi_Fluids!$B$124,IF(W$133=$EJ$133,[5]Vehi_Fluids!$F$124,0))/$AO$3*W$3</f>
        <v>1593.1928691498094</v>
      </c>
      <c r="X137" s="114">
        <f>IF(X$133=$EI$133,[5]Vehi_Fluids!$B$124,IF(X$133=$EJ$133,[5]Vehi_Fluids!$F$124,0))/$AO$3*X$3</f>
        <v>3607.1348518628806</v>
      </c>
      <c r="Y137" s="114">
        <f>IF(Y$133=$EI$133,[5]Vehi_Fluids!$B$124,IF(Y$133=$EJ$133,[5]Vehi_Fluids!$F$124,0))/$AO$3*Y$3</f>
        <v>3607.1348518628806</v>
      </c>
      <c r="Z137" s="114">
        <f>IF(Z$133=$EI$133,[5]Vehi_Fluids!$B$124,IF(Z$133=$EJ$133,[5]Vehi_Fluids!$F$124,0))/$AO$3*Z$3</f>
        <v>3607.1348518628806</v>
      </c>
      <c r="AA137" s="114">
        <f>IF(AA$133=$EI$133,[5]Vehi_Fluids!$B$124,IF(AA$133=$EJ$133,[5]Vehi_Fluids!$F$124,0))/$AO$3*AA$3</f>
        <v>3607.1348518628806</v>
      </c>
      <c r="AB137" s="114">
        <f>IF(AB$133=$EI$133,[5]Vehi_Fluids!$B$124,IF(AB$133=$EJ$133,[5]Vehi_Fluids!$F$124,0))/$AO$3*AB$3</f>
        <v>3607.1348518628806</v>
      </c>
      <c r="AC137" s="114">
        <f>IF(AC$133=$EI$133,[5]Vehi_Fluids!$B$124,IF(AC$133=$EJ$133,[5]Vehi_Fluids!$F$124,0))/$AO$3*AC$3</f>
        <v>3607.1348518628806</v>
      </c>
      <c r="AD137" s="114">
        <f>IF(AD$133=$EI$133,[5]Vehi_Fluids!$B$124,IF(AD$133=$EJ$133,[5]Vehi_Fluids!$F$124,0))/$AO$3*AD$3</f>
        <v>3607.1348518628806</v>
      </c>
      <c r="AE137" s="114">
        <f>IF(AE$133=$EI$133,[5]Vehi_Fluids!$B$124,IF(AE$133=$EJ$133,[5]Vehi_Fluids!$F$124,0))/$AO$3*AE$3</f>
        <v>3607.1348518628806</v>
      </c>
      <c r="AF137" s="114">
        <f>IF(AF$133=$EI$133,[5]Vehi_Fluids!$B$124,IF(AF$133=$EJ$133,[5]Vehi_Fluids!$F$124,0))/$AO$3*AF$3</f>
        <v>1593.1928691498094</v>
      </c>
      <c r="AG137" s="114">
        <f>IF(AG$133=$EI$133,[5]Vehi_Fluids!$B$124,IF(AG$133=$EJ$133,[5]Vehi_Fluids!$F$124,0))/$AO$3*AG$3</f>
        <v>3022.6723310797615</v>
      </c>
      <c r="AH137" s="114">
        <f>IF(AH$133=$EI$133,[5]Vehi_Fluids!$B$124,IF(AH$133=$EJ$133,[5]Vehi_Fluids!$F$124,0))/$AO$3*AH$3</f>
        <v>3410.8841258289258</v>
      </c>
      <c r="AI137" s="114">
        <f>IF(AI$133=$EI$133,[5]Vehi_Fluids!$B$124,IF(AI$133=$EJ$133,[5]Vehi_Fluids!$F$124,0))/$AO$3*AI$3</f>
        <v>3899.5120222548021</v>
      </c>
      <c r="AJ137" s="114">
        <f>IF(AJ$133=$EI$133,[5]Vehi_Fluids!$B$124,IF(AJ$133=$EJ$133,[5]Vehi_Fluids!$F$124,0))/$AO$3*AJ$3</f>
        <v>4514.4476859829565</v>
      </c>
      <c r="AK137" s="114">
        <f>IF(AK$133=$EI$133,[5]Vehi_Fluids!$B$124,IF(AK$133=$EJ$133,[5]Vehi_Fluids!$F$124,0))/$AO$3*AK$3</f>
        <v>13762.845807249165</v>
      </c>
      <c r="AL137" s="114">
        <f>IF(AL$133=$EI$133,[5]Vehi_Fluids!$B$124,IF(AL$133=$EJ$133,[5]Vehi_Fluids!$F$124,0))/$AO$3*AL$3</f>
        <v>12133.003939360811</v>
      </c>
      <c r="AM137" s="114">
        <f>IF(AM$133=$EI$133,[5]Vehi_Fluids!$B$124,IF(AM$133=$EJ$133,[5]Vehi_Fluids!$F$124,0))/$AO$3*AM$3</f>
        <v>13762.845807249165</v>
      </c>
      <c r="AN137" s="114">
        <f>IF(AN$133=$EI$133,[5]Vehi_Fluids!$B$124,IF(AN$133=$EJ$133,[5]Vehi_Fluids!$F$124,0))/$AO$3*AN$3</f>
        <v>12133.003939360811</v>
      </c>
      <c r="AO137" s="116">
        <f>IF(AO$133=$EI$133,[5]Vehi_Fluids!$B$124,IF(AO$133=$EJ$133,[5]Vehi_Fluids!$F$124,0))/$AO$3*AO$3</f>
        <v>819846.13429472921</v>
      </c>
      <c r="AP137" s="116">
        <f>IF(AP$133=$EI$133,[5]Vehi_Fluids!$B$124,IF(AP$133=$EJ$133,[5]Vehi_Fluids!$F$124,0))/$AO$3*AP$3</f>
        <v>867788.08579318004</v>
      </c>
      <c r="AQ137" s="116">
        <f>IF(AQ$133=$EI$133,[5]Vehi_Fluids!$B$124,IF(AQ$133=$EJ$133,[5]Vehi_Fluids!$F$124,0))/$AO$3*AQ$3</f>
        <v>911685.7592461051</v>
      </c>
      <c r="AR137" s="116">
        <f>IF(AR$133=$EI$133,[5]Vehi_Fluids!$B$124,IF(AR$133=$EJ$133,[5]Vehi_Fluids!$F$124,0))/$AO$3*AR$3</f>
        <v>203896.00033987989</v>
      </c>
      <c r="AS137" s="116">
        <f>IF(AS$133=$EI$133,[5]Vehi_Fluids!$B$124,IF(AS$133=$EJ$133,[5]Vehi_Fluids!$F$124,0))/$AO$3*AS$3</f>
        <v>203896.00033987989</v>
      </c>
      <c r="AT137" s="116">
        <f>IF(AT$133=$EI$133,[5]Vehi_Fluids!$B$124,IF(AT$133=$EJ$133,[5]Vehi_Fluids!$F$124,0))/$AO$3*AT$3</f>
        <v>203896.00033987989</v>
      </c>
      <c r="AU137" s="116">
        <f>IF(AU$133=$EI$133,[5]Vehi_Fluids!$B$124,IF(AU$133=$EJ$133,[5]Vehi_Fluids!$F$124,0))/$AO$3*AU$3</f>
        <v>203896.00033987989</v>
      </c>
      <c r="AV137" s="116">
        <f>IF(AV$133=$EI$133,[5]Vehi_Fluids!$B$124,IF(AV$133=$EJ$133,[5]Vehi_Fluids!$F$124,0))/$AO$3*AV$3</f>
        <v>203896.00033987989</v>
      </c>
      <c r="AW137" s="116">
        <f>IF(AW$133=$EI$133,[5]Vehi_Fluids!$B$124,IF(AW$133=$EJ$133,[5]Vehi_Fluids!$F$124,0))/$AO$3*AW$3</f>
        <v>203896.00033987989</v>
      </c>
      <c r="AX137" s="116">
        <f>IF(AX$133=$EI$133,[5]Vehi_Fluids!$B$124,IF(AX$133=$EJ$133,[5]Vehi_Fluids!$F$124,0))/$AO$3*AX$3</f>
        <v>203896.00033987989</v>
      </c>
      <c r="AY137" s="325">
        <f>IF(AY$133=$EI$133,[5]Vehi_Fluids!$B$124,IF(AY$133=$EJ$133,[5]Vehi_Fluids!$F$124,0))/$AO$3*AY$3</f>
        <v>245770.106818625</v>
      </c>
      <c r="AZ137" s="325">
        <f>IF(AZ$133=$EI$133,[5]Vehi_Fluids!$B$124,IF(AZ$133=$EJ$133,[5]Vehi_Fluids!$F$124,0))/$AO$3*AZ$3</f>
        <v>245770.106818625</v>
      </c>
      <c r="BA137" s="325">
        <f>IF(BA$133=$EI$133,[5]Vehi_Fluids!$B$124,IF(BA$133=$EJ$133,[5]Vehi_Fluids!$F$124,0))/$AO$3*BA$3</f>
        <v>245770.106818625</v>
      </c>
      <c r="BB137" s="325">
        <f>IF(BB$133=$EI$133,[5]Vehi_Fluids!$B$124,IF(BB$133=$EJ$133,[5]Vehi_Fluids!$F$124,0))/$AO$3*BB$3</f>
        <v>245770.106818625</v>
      </c>
      <c r="BC137" s="279">
        <f t="shared" ref="BC137:BK137" si="627">BC136*BC132</f>
        <v>1533683.4378486499</v>
      </c>
      <c r="BD137" s="279">
        <f t="shared" si="627"/>
        <v>1533683.4378486499</v>
      </c>
      <c r="BE137" s="279">
        <f t="shared" si="627"/>
        <v>1533683.4378486499</v>
      </c>
      <c r="BF137" s="279">
        <f t="shared" si="627"/>
        <v>1533683.4378486499</v>
      </c>
      <c r="BG137" s="279">
        <f t="shared" si="627"/>
        <v>1533683.4378486499</v>
      </c>
      <c r="BH137" s="279">
        <f t="shared" si="627"/>
        <v>1533683.4378486499</v>
      </c>
      <c r="BI137" s="279">
        <f t="shared" si="627"/>
        <v>1533683.4378486499</v>
      </c>
      <c r="BJ137" s="279">
        <f t="shared" si="627"/>
        <v>1623368.2871338995</v>
      </c>
      <c r="BK137" s="279">
        <f t="shared" si="627"/>
        <v>1705487.5189245767</v>
      </c>
      <c r="BL137" s="279">
        <f t="shared" ref="BL137:BS137" si="628">BL136*BL132</f>
        <v>381427.56998405105</v>
      </c>
      <c r="BM137" s="279">
        <f t="shared" si="628"/>
        <v>381427.56998405105</v>
      </c>
      <c r="BN137" s="279">
        <f t="shared" si="628"/>
        <v>381427.56998405105</v>
      </c>
      <c r="BO137" s="279">
        <f t="shared" si="628"/>
        <v>381427.56998405105</v>
      </c>
      <c r="BP137" s="279">
        <f t="shared" si="628"/>
        <v>381427.56998405105</v>
      </c>
      <c r="BQ137" s="279">
        <f t="shared" si="628"/>
        <v>381427.56998405105</v>
      </c>
      <c r="BR137" s="279">
        <f t="shared" si="628"/>
        <v>381427.56998405105</v>
      </c>
      <c r="BS137" s="279">
        <f t="shared" si="628"/>
        <v>381427.56998405105</v>
      </c>
      <c r="BT137" s="279">
        <f t="shared" ref="BT137:CC137" si="629">BT136*BT132</f>
        <v>381427.56998405105</v>
      </c>
      <c r="BU137" s="279">
        <f t="shared" si="629"/>
        <v>1533683.4378486499</v>
      </c>
      <c r="BV137" s="279">
        <f t="shared" si="629"/>
        <v>1533683.4378486499</v>
      </c>
      <c r="BW137" s="279">
        <f t="shared" si="629"/>
        <v>1533683.4378486499</v>
      </c>
      <c r="BX137" s="279">
        <f t="shared" si="629"/>
        <v>1533683.4378486499</v>
      </c>
      <c r="BY137" s="279">
        <f t="shared" si="629"/>
        <v>1533683.4378486499</v>
      </c>
      <c r="BZ137" s="279">
        <f t="shared" si="629"/>
        <v>1533683.4378486499</v>
      </c>
      <c r="CA137" s="279">
        <f t="shared" si="629"/>
        <v>1533683.4378486499</v>
      </c>
      <c r="CB137" s="279">
        <f t="shared" si="629"/>
        <v>1533683.4378486499</v>
      </c>
      <c r="CC137" s="279">
        <f t="shared" si="629"/>
        <v>1533683.4378486499</v>
      </c>
      <c r="CD137" s="325">
        <f>IF(CD$133=$EI$133,[5]Vehi_Fluids!$B$124,IF(CD$133=$EJ$133,[5]Vehi_Fluids!$F$124,0))/$AO$3*CD$3</f>
        <v>245770.106818625</v>
      </c>
      <c r="CE137" s="325">
        <f>IF(CE$133=$EI$133,[5]Vehi_Fluids!$B$124,IF(CE$133=$EJ$133,[5]Vehi_Fluids!$F$124,0))/$AO$3*CE$3</f>
        <v>245770.106818625</v>
      </c>
      <c r="CF137" s="325">
        <f>IF(CF$133=$EI$133,[5]Vehi_Fluids!$B$124,IF(CF$133=$EJ$133,[5]Vehi_Fluids!$F$124,0))/$AO$3*CF$3</f>
        <v>245770.106818625</v>
      </c>
      <c r="CG137" s="325">
        <f>CG136*CG132</f>
        <v>459761.32176347333</v>
      </c>
      <c r="CH137" s="279">
        <f t="shared" ref="CH137:CL137" si="630">CH136*CH132</f>
        <v>1533683.4378486499</v>
      </c>
      <c r="CI137" s="279">
        <f t="shared" si="630"/>
        <v>1419678.6323832187</v>
      </c>
      <c r="CJ137" s="279">
        <f t="shared" si="630"/>
        <v>1419678.6323832187</v>
      </c>
      <c r="CK137" s="279">
        <f t="shared" si="630"/>
        <v>459761.32176347333</v>
      </c>
      <c r="CL137" s="279">
        <f t="shared" si="630"/>
        <v>459761.32176347333</v>
      </c>
      <c r="CM137" s="325">
        <f>CM136*CM132</f>
        <v>459761.32176347333</v>
      </c>
      <c r="CN137" s="116">
        <f>IF(CN$133=$EI$133,[5]Vehi_Fluids!$B$124,IF(CN$133=$EJ$133,[5]Vehi_Fluids!$F$124,0))/$AO$3*CN$3</f>
        <v>1041588.5519979888</v>
      </c>
      <c r="CO137" s="116">
        <f>IF(CO$133=$EI$133,[5]Vehi_Fluids!$B$124,IF(CO$133=$EJ$133,[5]Vehi_Fluids!$F$124,0))/$AO$3*CO$3</f>
        <v>1098730.9379719475</v>
      </c>
      <c r="CP137" s="116">
        <f>IF(CP$133=$EI$133,[5]Vehi_Fluids!$B$124,IF(CP$133=$EJ$133,[5]Vehi_Fluids!$F$124,0))/$AO$3*CP$3</f>
        <v>1150859.4251972963</v>
      </c>
      <c r="CQ137" s="116">
        <f>IF(CQ$133=$EI$133,[5]Vehi_Fluids!$B$124,IF(CQ$133=$EJ$133,[5]Vehi_Fluids!$F$124,0))/$AO$3*CQ$3</f>
        <v>260237.49018959439</v>
      </c>
      <c r="CR137" s="325">
        <f>IF(CR$133=$EI$133,[5]Vehi_Fluids!$B$124,IF(CR$133=$EJ$133,[5]Vehi_Fluids!$F$124,0))/$AO$3*CR$3</f>
        <v>313092.56864703126</v>
      </c>
      <c r="CS137" s="279">
        <f t="shared" ref="CS137:DF137" si="631">CS136*CS132</f>
        <v>1948496.2414640042</v>
      </c>
      <c r="CT137" s="279">
        <f t="shared" si="631"/>
        <v>2055392.3129357635</v>
      </c>
      <c r="CU137" s="279">
        <f t="shared" si="631"/>
        <v>2152908.900687193</v>
      </c>
      <c r="CV137" s="279">
        <f t="shared" si="631"/>
        <v>486825.40773876448</v>
      </c>
      <c r="CW137" s="279">
        <f t="shared" si="631"/>
        <v>585701.22729251056</v>
      </c>
      <c r="CX137" s="325">
        <f t="shared" si="631"/>
        <v>585701.22729251056</v>
      </c>
      <c r="CY137" s="279">
        <f t="shared" si="631"/>
        <v>2126818.0548827793</v>
      </c>
      <c r="CZ137" s="279">
        <f t="shared" si="631"/>
        <v>2152908.900687193</v>
      </c>
      <c r="DA137" s="279">
        <f t="shared" si="631"/>
        <v>1268411.9366535202</v>
      </c>
      <c r="DB137" s="279">
        <f t="shared" si="631"/>
        <v>585701.22729251056</v>
      </c>
      <c r="DC137" s="279">
        <f t="shared" si="631"/>
        <v>585701.22729251056</v>
      </c>
      <c r="DD137" s="325">
        <f t="shared" si="631"/>
        <v>585701.22729251056</v>
      </c>
      <c r="DE137" s="279">
        <f t="shared" si="631"/>
        <v>2227723.3848166387</v>
      </c>
      <c r="DF137" s="279">
        <f t="shared" si="631"/>
        <v>1268411.9366535202</v>
      </c>
      <c r="DG137" s="279"/>
      <c r="DH137" s="279">
        <f>DH136*DH132</f>
        <v>585701.22729251056</v>
      </c>
      <c r="DI137" s="279">
        <f>DI136*DI132</f>
        <v>585701.22729251056</v>
      </c>
      <c r="DJ137" s="325">
        <f>DJ136*DJ132</f>
        <v>585701.22729251056</v>
      </c>
      <c r="DK137" s="279">
        <f t="shared" ref="DK137:DP137" si="632">DK136*DK132</f>
        <v>2060032.7314532786</v>
      </c>
      <c r="DL137" s="279">
        <f t="shared" si="632"/>
        <v>3433387.8857554644</v>
      </c>
      <c r="DM137" s="279">
        <f>DM136*DM132</f>
        <v>2746710.3086043713</v>
      </c>
      <c r="DN137" s="279">
        <f t="shared" si="632"/>
        <v>2746710.3086043713</v>
      </c>
      <c r="DO137" s="279">
        <f t="shared" si="632"/>
        <v>2746710.3086043713</v>
      </c>
      <c r="DP137" s="279">
        <f t="shared" si="632"/>
        <v>2746710.3086043713</v>
      </c>
      <c r="DQ137" s="279">
        <f t="shared" ref="DQ137:DW137" si="633">DQ136*DQ132</f>
        <v>2272556.840722885</v>
      </c>
      <c r="DR137" s="279">
        <f t="shared" si="633"/>
        <v>2397231.13739334</v>
      </c>
      <c r="DS137" s="279">
        <f t="shared" si="633"/>
        <v>567790.88768638775</v>
      </c>
      <c r="DT137" s="279">
        <f t="shared" si="633"/>
        <v>567790.88768638775</v>
      </c>
      <c r="DU137" s="279">
        <f t="shared" si="633"/>
        <v>567790.88768638775</v>
      </c>
      <c r="DV137" s="325">
        <f t="shared" si="633"/>
        <v>567790.88768638775</v>
      </c>
      <c r="DW137" s="325">
        <f t="shared" si="633"/>
        <v>683111.0588662501</v>
      </c>
      <c r="DX137" s="95">
        <f t="shared" ref="DX137:EC137" si="634">DX132*DX136</f>
        <v>1084189.0761891042</v>
      </c>
      <c r="DY137" s="95">
        <f t="shared" si="634"/>
        <v>1084189.0761891042</v>
      </c>
      <c r="DZ137" s="95">
        <f t="shared" si="634"/>
        <v>1084189.0761891042</v>
      </c>
      <c r="EA137" s="95">
        <f t="shared" si="634"/>
        <v>1084189.0761891042</v>
      </c>
      <c r="EB137" s="95">
        <f t="shared" si="634"/>
        <v>1084189.0761891042</v>
      </c>
      <c r="EC137" s="95">
        <f t="shared" si="634"/>
        <v>1084189.0761891042</v>
      </c>
      <c r="ED137" s="95">
        <f>ED132*ED136</f>
        <v>1084189.0761891042</v>
      </c>
      <c r="EF137" s="74" t="s">
        <v>830</v>
      </c>
    </row>
    <row r="138" spans="1:154" x14ac:dyDescent="0.3">
      <c r="A138" s="115"/>
      <c r="B138" s="115"/>
      <c r="AO138" s="276"/>
      <c r="CM138" s="74"/>
      <c r="CX138" s="74"/>
      <c r="DD138" s="74"/>
      <c r="DJ138" s="74"/>
    </row>
    <row r="140" spans="1:154" x14ac:dyDescent="0.3">
      <c r="A140" s="21" t="s">
        <v>832</v>
      </c>
      <c r="B140" s="21" t="s">
        <v>169</v>
      </c>
      <c r="D140" s="21">
        <f t="shared" ref="D140:P140" ca="1" si="635">D135+D82</f>
        <v>1888.1334352018316</v>
      </c>
      <c r="E140" s="21">
        <f t="shared" ca="1" si="635"/>
        <v>2255.2040479847296</v>
      </c>
      <c r="F140" s="21">
        <f t="shared" ca="1" si="635"/>
        <v>1485.4920470891227</v>
      </c>
      <c r="G140" s="21">
        <f t="shared" ca="1" si="635"/>
        <v>1888.1334352018316</v>
      </c>
      <c r="H140" s="21">
        <f t="shared" ca="1" si="635"/>
        <v>1888.1334352018316</v>
      </c>
      <c r="I140" s="21">
        <f t="shared" ref="I140" ca="1" si="636">I135+I82</f>
        <v>1888.1334352018316</v>
      </c>
      <c r="J140" s="21">
        <f t="shared" ca="1" si="635"/>
        <v>1888.1334352018316</v>
      </c>
      <c r="K140" s="21">
        <f t="shared" ca="1" si="635"/>
        <v>1888.1334352018316</v>
      </c>
      <c r="L140" s="21">
        <f t="shared" ca="1" si="635"/>
        <v>1888.1334352018316</v>
      </c>
      <c r="M140" s="21">
        <f t="shared" ca="1" si="635"/>
        <v>1888.1334352018316</v>
      </c>
      <c r="N140" s="21">
        <f t="shared" ca="1" si="635"/>
        <v>1888.1334352018316</v>
      </c>
      <c r="O140" s="21">
        <f t="shared" ca="1" si="635"/>
        <v>1888.1334352018316</v>
      </c>
      <c r="P140" s="21">
        <f t="shared" ca="1" si="635"/>
        <v>1888.1334352018316</v>
      </c>
      <c r="Q140" s="21">
        <f t="shared" ref="Q140:V140" ca="1" si="637">Q135+Q82</f>
        <v>1783.1706891842714</v>
      </c>
      <c r="R140" s="21">
        <f t="shared" ca="1" si="637"/>
        <v>1993.0961812193912</v>
      </c>
      <c r="S140" s="21">
        <f t="shared" ca="1" si="637"/>
        <v>2255.2040479847296</v>
      </c>
      <c r="T140" s="21">
        <f ca="1">T135+T82</f>
        <v>1485.4920470891227</v>
      </c>
      <c r="U140" s="21">
        <f t="shared" ca="1" si="637"/>
        <v>1888.1334352018316</v>
      </c>
      <c r="V140" s="21">
        <f t="shared" ca="1" si="637"/>
        <v>1888.1334352018316</v>
      </c>
      <c r="W140" s="21">
        <f t="shared" ref="W140:BT140" ca="1" si="638">W135+W82</f>
        <v>1888.1334352018316</v>
      </c>
      <c r="X140" s="21">
        <f t="shared" ref="X140:Y140" ca="1" si="639">X135+X82</f>
        <v>3334.8014033758272</v>
      </c>
      <c r="Y140" s="21">
        <f t="shared" ca="1" si="639"/>
        <v>4145.8943305908206</v>
      </c>
      <c r="Z140" s="21">
        <f t="shared" ca="1" si="638"/>
        <v>4145.8943305908206</v>
      </c>
      <c r="AA140" s="21">
        <f t="shared" ref="AA140" ca="1" si="640">AA135+AA82</f>
        <v>4145.8943305908206</v>
      </c>
      <c r="AB140" s="21">
        <f t="shared" ref="AB140:AC140" ca="1" si="641">AB135+AB82</f>
        <v>3334.8014033758272</v>
      </c>
      <c r="AC140" s="21">
        <f t="shared" ca="1" si="641"/>
        <v>4145.8943305908206</v>
      </c>
      <c r="AD140" s="21">
        <f t="shared" ref="AD140" ca="1" si="642">AD135+AD82</f>
        <v>4145.8943305908206</v>
      </c>
      <c r="AE140" s="21">
        <f t="shared" ref="AE140" ca="1" si="643">AE135+AE82</f>
        <v>4145.8943305908206</v>
      </c>
      <c r="AF140" s="21">
        <f t="shared" ca="1" si="638"/>
        <v>1888.1334352018316</v>
      </c>
      <c r="AG140" s="21">
        <f t="shared" ca="1" si="638"/>
        <v>1158.9945145147417</v>
      </c>
      <c r="AH140" s="21">
        <f t="shared" ca="1" si="638"/>
        <v>2027.9045195762285</v>
      </c>
      <c r="AI140" s="21">
        <f t="shared" ca="1" si="638"/>
        <v>1484.0318877692569</v>
      </c>
      <c r="AJ140" s="21">
        <f t="shared" ca="1" si="638"/>
        <v>2463.736757113064</v>
      </c>
      <c r="AK140" s="21">
        <f t="shared" ca="1" si="638"/>
        <v>4570.9133853004696</v>
      </c>
      <c r="AL140" s="21">
        <f t="shared" ca="1" si="638"/>
        <v>5907.3571192408135</v>
      </c>
      <c r="AM140" s="21">
        <f t="shared" ca="1" si="638"/>
        <v>4570.9133853004696</v>
      </c>
      <c r="AN140" s="21">
        <f t="shared" ca="1" si="638"/>
        <v>8553.6905945926283</v>
      </c>
      <c r="AO140" s="21">
        <f t="shared" ca="1" si="638"/>
        <v>78370.702063878387</v>
      </c>
      <c r="AP140" s="21">
        <f t="shared" ca="1" si="638"/>
        <v>84405.752404487153</v>
      </c>
      <c r="AQ140" s="21">
        <f t="shared" ca="1" si="638"/>
        <v>104900.08330325004</v>
      </c>
      <c r="AR140" s="21">
        <f t="shared" ca="1" si="638"/>
        <v>150673.66015199843</v>
      </c>
      <c r="AS140" s="21">
        <f t="shared" ca="1" si="638"/>
        <v>150673.66015199843</v>
      </c>
      <c r="AT140" s="21">
        <f t="shared" ca="1" si="638"/>
        <v>150673.66015199843</v>
      </c>
      <c r="AU140" s="21">
        <f t="shared" ca="1" si="638"/>
        <v>141831.73204872818</v>
      </c>
      <c r="AV140" s="21">
        <f t="shared" ca="1" si="638"/>
        <v>131589.52451244206</v>
      </c>
      <c r="AW140" s="21">
        <f t="shared" ca="1" si="638"/>
        <v>169757.79579155476</v>
      </c>
      <c r="AX140" s="21">
        <f t="shared" ca="1" si="638"/>
        <v>150673.66015199843</v>
      </c>
      <c r="AY140" s="21">
        <f t="shared" ca="1" si="638"/>
        <v>139979.5966306036</v>
      </c>
      <c r="AZ140" s="21">
        <f t="shared" ca="1" si="638"/>
        <v>139979.5966306036</v>
      </c>
      <c r="BA140" s="21">
        <f t="shared" ca="1" si="638"/>
        <v>139979.5966306036</v>
      </c>
      <c r="BB140" s="21">
        <f t="shared" ca="1" si="638"/>
        <v>139979.5966306036</v>
      </c>
      <c r="BC140" s="21">
        <f t="shared" ca="1" si="638"/>
        <v>78381.654952603858</v>
      </c>
      <c r="BD140" s="21">
        <f t="shared" ca="1" si="638"/>
        <v>78381.654952603858</v>
      </c>
      <c r="BE140" s="21">
        <f t="shared" ca="1" si="638"/>
        <v>78381.654952603858</v>
      </c>
      <c r="BF140" s="21">
        <f t="shared" ca="1" si="638"/>
        <v>78381.654952603858</v>
      </c>
      <c r="BG140" s="21">
        <f t="shared" ca="1" si="638"/>
        <v>78381.654952603858</v>
      </c>
      <c r="BH140" s="21">
        <f t="shared" ca="1" si="638"/>
        <v>78381.654952603858</v>
      </c>
      <c r="BI140" s="21">
        <f t="shared" ca="1" si="638"/>
        <v>78381.654952603858</v>
      </c>
      <c r="BJ140" s="21">
        <f t="shared" ca="1" si="638"/>
        <v>84417.345782736302</v>
      </c>
      <c r="BK140" s="21">
        <f t="shared" ca="1" si="638"/>
        <v>104912.26314072919</v>
      </c>
      <c r="BL140" s="21">
        <f t="shared" ca="1" si="638"/>
        <v>163398.75872757452</v>
      </c>
      <c r="BM140" s="21">
        <f t="shared" ca="1" si="638"/>
        <v>163398.75872757452</v>
      </c>
      <c r="BN140" s="21">
        <f t="shared" ca="1" si="638"/>
        <v>163398.75872757452</v>
      </c>
      <c r="BO140" s="21">
        <f t="shared" ca="1" si="638"/>
        <v>163398.75872757452</v>
      </c>
      <c r="BP140" s="21">
        <f t="shared" ca="1" si="638"/>
        <v>163398.75872757452</v>
      </c>
      <c r="BQ140" s="21">
        <f t="shared" ca="1" si="638"/>
        <v>153373.36391052607</v>
      </c>
      <c r="BR140" s="21">
        <f t="shared" ca="1" si="638"/>
        <v>141133.93381475884</v>
      </c>
      <c r="BS140" s="21">
        <f t="shared" ca="1" si="638"/>
        <v>185663.58364039025</v>
      </c>
      <c r="BT140" s="21">
        <f t="shared" ca="1" si="638"/>
        <v>163398.75872757452</v>
      </c>
      <c r="BU140" s="21">
        <f t="shared" ref="BU140:CC140" ca="1" si="644">BU135+BU82</f>
        <v>252476.56003317758</v>
      </c>
      <c r="BV140" s="21">
        <f t="shared" ca="1" si="644"/>
        <v>252476.56003317758</v>
      </c>
      <c r="BW140" s="21">
        <f t="shared" ca="1" si="644"/>
        <v>252476.56003317758</v>
      </c>
      <c r="BX140" s="21">
        <f t="shared" ca="1" si="644"/>
        <v>252476.56003317758</v>
      </c>
      <c r="BY140" s="21">
        <f t="shared" ca="1" si="644"/>
        <v>252476.56003317758</v>
      </c>
      <c r="BZ140" s="21">
        <f t="shared" ca="1" si="644"/>
        <v>234166.89821968146</v>
      </c>
      <c r="CA140" s="21">
        <f t="shared" ca="1" si="644"/>
        <v>207946.91020754611</v>
      </c>
      <c r="CB140" s="21">
        <f t="shared" ca="1" si="644"/>
        <v>297006.20985880902</v>
      </c>
      <c r="CC140" s="21">
        <f t="shared" ca="1" si="644"/>
        <v>252476.56003317758</v>
      </c>
      <c r="CD140" s="21">
        <f ca="1">CD135+CD82</f>
        <v>139979.5966306036</v>
      </c>
      <c r="CE140" s="21">
        <f ca="1">CE135+CE82</f>
        <v>139979.5966306036</v>
      </c>
      <c r="CF140" s="21">
        <f ca="1">CF135+CF82</f>
        <v>139979.5966306036</v>
      </c>
      <c r="CG140" s="21">
        <f ca="1">CG135+CG82</f>
        <v>139982.41898323761</v>
      </c>
      <c r="CH140" s="21">
        <f t="shared" ref="CH140:CL140" ca="1" si="645">CH135+CH82</f>
        <v>78381.654952603858</v>
      </c>
      <c r="CI140" s="21">
        <f ca="1">CI135+CI82</f>
        <v>84411.161635502402</v>
      </c>
      <c r="CJ140" s="21">
        <f t="shared" ca="1" si="645"/>
        <v>104904.81898256065</v>
      </c>
      <c r="CK140" s="21">
        <f t="shared" ca="1" si="645"/>
        <v>163399.79187966316</v>
      </c>
      <c r="CL140" s="21">
        <f t="shared" ca="1" si="645"/>
        <v>252459.09153092612</v>
      </c>
      <c r="CM140" s="21">
        <f t="shared" ref="CM140:DF140" ca="1" si="646">CM135+CM82</f>
        <v>139982.41898323761</v>
      </c>
      <c r="CN140" s="21">
        <f t="shared" ca="1" si="646"/>
        <v>97109.717115378895</v>
      </c>
      <c r="CO140" s="21">
        <f t="shared" ca="1" si="646"/>
        <v>105099.12985133615</v>
      </c>
      <c r="CP140" s="21">
        <f t="shared" ca="1" si="646"/>
        <v>123635.39540233073</v>
      </c>
      <c r="CQ140" s="21">
        <f t="shared" ca="1" si="646"/>
        <v>168740.33071127516</v>
      </c>
      <c r="CR140" s="21">
        <f t="shared" ca="1" si="646"/>
        <v>175128.08443913324</v>
      </c>
      <c r="CS140" s="21">
        <f t="shared" ca="1" si="646"/>
        <v>97123.6324136654</v>
      </c>
      <c r="CT140" s="21">
        <f t="shared" ca="1" si="646"/>
        <v>105113.80855408224</v>
      </c>
      <c r="CU140" s="21">
        <f t="shared" ca="1" si="646"/>
        <v>123650.77052541244</v>
      </c>
      <c r="CV140" s="21">
        <f t="shared" ca="1" si="646"/>
        <v>181466.07629618183</v>
      </c>
      <c r="CW140" s="21">
        <f t="shared" ca="1" si="646"/>
        <v>270526.68003102508</v>
      </c>
      <c r="CX140" s="21">
        <f t="shared" ca="1" si="646"/>
        <v>175131.67990339553</v>
      </c>
      <c r="CY140" s="21">
        <f t="shared" ca="1" si="646"/>
        <v>97123.6324136654</v>
      </c>
      <c r="CZ140" s="21">
        <f t="shared" ca="1" si="646"/>
        <v>105113.80855408224</v>
      </c>
      <c r="DA140" s="21">
        <f t="shared" ca="1" si="646"/>
        <v>123650.77052541244</v>
      </c>
      <c r="DB140" s="21">
        <f t="shared" ca="1" si="646"/>
        <v>181466.07629618183</v>
      </c>
      <c r="DC140" s="21">
        <f t="shared" ca="1" si="646"/>
        <v>270526.68003102508</v>
      </c>
      <c r="DD140" s="21">
        <f t="shared" ca="1" si="646"/>
        <v>175131.67990339553</v>
      </c>
      <c r="DE140" s="21">
        <f t="shared" ca="1" si="646"/>
        <v>189740.947029431</v>
      </c>
      <c r="DF140" s="21">
        <f t="shared" ca="1" si="646"/>
        <v>198204.55486714173</v>
      </c>
      <c r="DH140" s="21">
        <f ca="1">DH135+DH82</f>
        <v>397898.32417917572</v>
      </c>
      <c r="DI140" s="21">
        <f ca="1">DI135+DI82</f>
        <v>588740.98465831939</v>
      </c>
      <c r="DJ140" s="21">
        <f ca="1">DJ135+DJ82</f>
        <v>329436.17098927719</v>
      </c>
      <c r="DK140" s="21">
        <f t="shared" ref="DK140:DP140" ca="1" si="647">DK135+DK82</f>
        <v>650726.04227033013</v>
      </c>
      <c r="DL140" s="21">
        <f t="shared" ca="1" si="647"/>
        <v>650743.47695893131</v>
      </c>
      <c r="DM140" s="21">
        <f ca="1">DM135+DM82</f>
        <v>650734.75961463072</v>
      </c>
      <c r="DN140" s="21">
        <f t="shared" ca="1" si="647"/>
        <v>650734.75961463072</v>
      </c>
      <c r="DO140" s="21">
        <f t="shared" ca="1" si="647"/>
        <v>650734.75961463072</v>
      </c>
      <c r="DP140" s="21">
        <f t="shared" ca="1" si="647"/>
        <v>650734.75961463072</v>
      </c>
      <c r="DQ140" s="21">
        <f t="shared" ref="DQ140:DW140" ca="1" si="648">DQ135+DQ82</f>
        <v>650734.75961463072</v>
      </c>
      <c r="DR140" s="21">
        <f t="shared" ca="1" si="648"/>
        <v>647044.77586833923</v>
      </c>
      <c r="DS140" s="21">
        <f t="shared" ca="1" si="648"/>
        <v>1439499.1879822551</v>
      </c>
      <c r="DT140" s="21">
        <f t="shared" ca="1" si="648"/>
        <v>1439499.1879822551</v>
      </c>
      <c r="DU140" s="21">
        <f t="shared" ca="1" si="648"/>
        <v>1143253.7653265151</v>
      </c>
      <c r="DV140" s="21">
        <f t="shared" ca="1" si="648"/>
        <v>902292.0930321943</v>
      </c>
      <c r="DW140" s="21">
        <f t="shared" ca="1" si="648"/>
        <v>900897.76978048554</v>
      </c>
      <c r="DX140" s="21">
        <f t="shared" ref="DX140:EC140" ca="1" si="649">DX135+DX82</f>
        <v>12431908.443914177</v>
      </c>
      <c r="DY140" s="21">
        <f t="shared" ca="1" si="649"/>
        <v>12431908.443914177</v>
      </c>
      <c r="DZ140" s="21">
        <f t="shared" ca="1" si="649"/>
        <v>12431908.443914177</v>
      </c>
      <c r="EA140" s="21">
        <f t="shared" ca="1" si="649"/>
        <v>12431908.443914177</v>
      </c>
      <c r="EB140" s="21">
        <f t="shared" ca="1" si="649"/>
        <v>12431908.443914177</v>
      </c>
      <c r="EC140" s="21">
        <f t="shared" ca="1" si="649"/>
        <v>12431908.443914177</v>
      </c>
      <c r="ED140" s="21">
        <f ca="1">ED135+ED82</f>
        <v>12431908.443914177</v>
      </c>
    </row>
    <row r="142" spans="1:154" x14ac:dyDescent="0.3">
      <c r="A142" s="21" t="s">
        <v>833</v>
      </c>
      <c r="B142" s="21" t="str">
        <f>B137</f>
        <v>[g CO2 eq/vehicle]</v>
      </c>
      <c r="D142" s="45">
        <f ca="1">D130+D137</f>
        <v>163256.22384037051</v>
      </c>
      <c r="E142" s="45">
        <f t="shared" ref="E142:R142" ca="1" si="650">E130+E137</f>
        <v>196393.96415527308</v>
      </c>
      <c r="F142" s="45">
        <f t="shared" ca="1" si="650"/>
        <v>96718.812446304757</v>
      </c>
      <c r="G142" s="45">
        <f t="shared" ca="1" si="650"/>
        <v>163256.22384037051</v>
      </c>
      <c r="H142" s="45">
        <f t="shared" ca="1" si="650"/>
        <v>163256.22384037051</v>
      </c>
      <c r="I142" s="45">
        <f t="shared" ref="I142" ca="1" si="651">I130+I137</f>
        <v>163256.22384037051</v>
      </c>
      <c r="J142" s="45">
        <f t="shared" ca="1" si="650"/>
        <v>163256.22384037051</v>
      </c>
      <c r="K142" s="45">
        <f t="shared" ca="1" si="650"/>
        <v>163256.22384037051</v>
      </c>
      <c r="L142" s="45">
        <f t="shared" ca="1" si="650"/>
        <v>163256.22384037051</v>
      </c>
      <c r="M142" s="45">
        <f t="shared" ca="1" si="650"/>
        <v>163256.22384037051</v>
      </c>
      <c r="N142" s="45">
        <f t="shared" ca="1" si="650"/>
        <v>163256.22384037051</v>
      </c>
      <c r="O142" s="45">
        <f t="shared" ca="1" si="650"/>
        <v>163256.22384037051</v>
      </c>
      <c r="P142" s="45">
        <f t="shared" ca="1" si="650"/>
        <v>163256.22384037051</v>
      </c>
      <c r="Q142" s="45">
        <f ca="1">Q130+Q137</f>
        <v>155579.90819518047</v>
      </c>
      <c r="R142" s="45">
        <f t="shared" ca="1" si="650"/>
        <v>170932.53948556053</v>
      </c>
      <c r="S142" s="45">
        <f t="shared" ref="S142:AX142" ca="1" si="652">S130+S137</f>
        <v>196393.96415527308</v>
      </c>
      <c r="T142" s="45">
        <f t="shared" ca="1" si="652"/>
        <v>96718.812446304757</v>
      </c>
      <c r="U142" s="45">
        <f t="shared" ca="1" si="652"/>
        <v>163256.22384037051</v>
      </c>
      <c r="V142" s="45">
        <f t="shared" ca="1" si="652"/>
        <v>163256.22384037051</v>
      </c>
      <c r="W142" s="45">
        <f t="shared" ca="1" si="652"/>
        <v>163256.22384037051</v>
      </c>
      <c r="X142" s="45">
        <f t="shared" ref="X142:Y142" ca="1" si="653">X130+X137</f>
        <v>217391.71915038512</v>
      </c>
      <c r="Y142" s="45">
        <f t="shared" ca="1" si="653"/>
        <v>355806.59130980022</v>
      </c>
      <c r="Z142" s="45">
        <f t="shared" ca="1" si="652"/>
        <v>355806.59130980022</v>
      </c>
      <c r="AA142" s="45">
        <f t="shared" ref="AA142" ca="1" si="654">AA130+AA137</f>
        <v>355806.59130980022</v>
      </c>
      <c r="AB142" s="45">
        <f t="shared" ref="AB142:AC142" ca="1" si="655">AB130+AB137</f>
        <v>217391.71915038512</v>
      </c>
      <c r="AC142" s="45">
        <f t="shared" ca="1" si="655"/>
        <v>355806.59130980022</v>
      </c>
      <c r="AD142" s="45">
        <f t="shared" ref="AD142" ca="1" si="656">AD130+AD137</f>
        <v>355806.59130980022</v>
      </c>
      <c r="AE142" s="45">
        <f t="shared" ref="AE142" ca="1" si="657">AE130+AE137</f>
        <v>355806.59130980022</v>
      </c>
      <c r="AF142" s="45">
        <f t="shared" ca="1" si="652"/>
        <v>163256.22384037051</v>
      </c>
      <c r="AG142" s="45">
        <f t="shared" ca="1" si="652"/>
        <v>89889.101509083455</v>
      </c>
      <c r="AH142" s="45">
        <f t="shared" ca="1" si="652"/>
        <v>154448.42515801446</v>
      </c>
      <c r="AI142" s="45">
        <f t="shared" ca="1" si="652"/>
        <v>114392.86220454889</v>
      </c>
      <c r="AJ142" s="45">
        <f t="shared" ca="1" si="652"/>
        <v>187975.7437384825</v>
      </c>
      <c r="AK142" s="45">
        <f t="shared" ca="1" si="652"/>
        <v>349113.78511884331</v>
      </c>
      <c r="AL142" s="45">
        <f t="shared" ca="1" si="652"/>
        <v>438890.97314650269</v>
      </c>
      <c r="AM142" s="45">
        <f t="shared" ca="1" si="652"/>
        <v>349113.78511884331</v>
      </c>
      <c r="AN142" s="45">
        <f ca="1">AN130+AN137</f>
        <v>632427.17365553591</v>
      </c>
      <c r="AO142" s="45">
        <f t="shared" ca="1" si="652"/>
        <v>6357213.322665086</v>
      </c>
      <c r="AP142" s="45">
        <f t="shared" ca="1" si="652"/>
        <v>6923267.6453085067</v>
      </c>
      <c r="AQ142" s="45">
        <f t="shared" ca="1" si="652"/>
        <v>8481513.564122295</v>
      </c>
      <c r="AR142" s="45">
        <f t="shared" ca="1" si="652"/>
        <v>11169577.152688658</v>
      </c>
      <c r="AS142" s="45">
        <f t="shared" ca="1" si="652"/>
        <v>11169577.152688658</v>
      </c>
      <c r="AT142" s="45">
        <f t="shared" ca="1" si="652"/>
        <v>11169577.152688658</v>
      </c>
      <c r="AU142" s="45">
        <f t="shared" ca="1" si="652"/>
        <v>9695533.3761453982</v>
      </c>
      <c r="AV142" s="45">
        <f t="shared" ca="1" si="652"/>
        <v>9773883.3990177475</v>
      </c>
      <c r="AW142" s="45">
        <f t="shared" ca="1" si="652"/>
        <v>12565270.906359572</v>
      </c>
      <c r="AX142" s="45">
        <f t="shared" ca="1" si="652"/>
        <v>11169577.152688658</v>
      </c>
      <c r="AY142" s="45">
        <f t="shared" ref="AY142:BH142" ca="1" si="658">AY130+AY137</f>
        <v>10117797.896224903</v>
      </c>
      <c r="AZ142" s="45">
        <f t="shared" ca="1" si="658"/>
        <v>10117797.896224903</v>
      </c>
      <c r="BA142" s="45">
        <f t="shared" ca="1" si="658"/>
        <v>10117797.896224903</v>
      </c>
      <c r="BB142" s="45">
        <f t="shared" ca="1" si="658"/>
        <v>10117797.896224903</v>
      </c>
      <c r="BC142" s="45">
        <f t="shared" ca="1" si="658"/>
        <v>7071050.6262190072</v>
      </c>
      <c r="BD142" s="45">
        <f t="shared" ca="1" si="658"/>
        <v>7071050.6262190072</v>
      </c>
      <c r="BE142" s="45">
        <f t="shared" ca="1" si="658"/>
        <v>7071050.6262190072</v>
      </c>
      <c r="BF142" s="45">
        <f t="shared" ca="1" si="658"/>
        <v>7071050.6262190072</v>
      </c>
      <c r="BG142" s="45">
        <f t="shared" ca="1" si="658"/>
        <v>7071050.6262190072</v>
      </c>
      <c r="BH142" s="45">
        <f t="shared" ca="1" si="658"/>
        <v>7071050.6262190072</v>
      </c>
      <c r="BI142" s="45">
        <f t="shared" ref="BI142:CG142" ca="1" si="659">BI130+BI137</f>
        <v>7071050.6262190072</v>
      </c>
      <c r="BJ142" s="45">
        <f t="shared" ca="1" si="659"/>
        <v>7678847.8466492258</v>
      </c>
      <c r="BK142" s="45">
        <f t="shared" ca="1" si="659"/>
        <v>9275315.3238007668</v>
      </c>
      <c r="BL142" s="45">
        <f t="shared" ca="1" si="659"/>
        <v>12277571.224780103</v>
      </c>
      <c r="BM142" s="45">
        <f t="shared" ca="1" si="659"/>
        <v>12277571.224780103</v>
      </c>
      <c r="BN142" s="45">
        <f t="shared" ca="1" si="659"/>
        <v>12277571.224780103</v>
      </c>
      <c r="BO142" s="45">
        <f t="shared" ca="1" si="659"/>
        <v>12277571.224780103</v>
      </c>
      <c r="BP142" s="45">
        <f t="shared" ca="1" si="659"/>
        <v>12277571.224780103</v>
      </c>
      <c r="BQ142" s="45">
        <f t="shared" ca="1" si="659"/>
        <v>10621108.860415278</v>
      </c>
      <c r="BR142" s="45">
        <f t="shared" ca="1" si="659"/>
        <v>10649261.845497372</v>
      </c>
      <c r="BS142" s="45">
        <f t="shared" ca="1" si="659"/>
        <v>13905880.604062835</v>
      </c>
      <c r="BT142" s="45">
        <f t="shared" ca="1" si="659"/>
        <v>12277571.224780103</v>
      </c>
      <c r="BU142" s="45">
        <f t="shared" ca="1" si="659"/>
        <v>19943064.609775629</v>
      </c>
      <c r="BV142" s="45">
        <f t="shared" ca="1" si="659"/>
        <v>19943064.609775629</v>
      </c>
      <c r="BW142" s="45">
        <f t="shared" ca="1" si="659"/>
        <v>19943064.609775629</v>
      </c>
      <c r="BX142" s="45">
        <f t="shared" ca="1" si="659"/>
        <v>19943064.609775629</v>
      </c>
      <c r="BY142" s="45">
        <f t="shared" ca="1" si="659"/>
        <v>19943064.609775629</v>
      </c>
      <c r="BZ142" s="45">
        <f t="shared" ca="1" si="659"/>
        <v>17009672.130659848</v>
      </c>
      <c r="CA142" s="45">
        <f t="shared" ca="1" si="659"/>
        <v>16686445.851210164</v>
      </c>
      <c r="CB142" s="45">
        <f t="shared" ca="1" si="659"/>
        <v>23199683.368341088</v>
      </c>
      <c r="CC142" s="45">
        <f t="shared" ca="1" si="659"/>
        <v>19943064.609775629</v>
      </c>
      <c r="CD142" s="45">
        <f t="shared" ca="1" si="659"/>
        <v>10117797.896224903</v>
      </c>
      <c r="CE142" s="45">
        <f t="shared" ca="1" si="659"/>
        <v>10117797.896224903</v>
      </c>
      <c r="CF142" s="45">
        <f t="shared" ca="1" si="659"/>
        <v>10117797.896224903</v>
      </c>
      <c r="CG142" s="45">
        <f t="shared" ca="1" si="659"/>
        <v>10331789.11116975</v>
      </c>
      <c r="CH142" s="45">
        <f t="shared" ref="CH142:CK142" ca="1" si="660">CH130+CH137</f>
        <v>7071050.6262190072</v>
      </c>
      <c r="CI142" s="45">
        <f t="shared" ca="1" si="660"/>
        <v>7475158.1918985453</v>
      </c>
      <c r="CJ142" s="45">
        <f t="shared" ca="1" si="660"/>
        <v>8989506.4372594096</v>
      </c>
      <c r="CK142" s="45">
        <f t="shared" ca="1" si="660"/>
        <v>12355904.976559525</v>
      </c>
      <c r="CL142" s="45">
        <f t="shared" ref="CL142:DF142" ca="1" si="661">CL130+CL137</f>
        <v>18869142.493690453</v>
      </c>
      <c r="CM142" s="45">
        <f t="shared" ca="1" si="661"/>
        <v>10331789.11116975</v>
      </c>
      <c r="CN142" s="45">
        <f t="shared" ca="1" si="661"/>
        <v>7947375.6259564003</v>
      </c>
      <c r="CO142" s="45">
        <f t="shared" ca="1" si="661"/>
        <v>8685248.6089339238</v>
      </c>
      <c r="CP142" s="45">
        <f t="shared" ca="1" si="661"/>
        <v>10185761.082077665</v>
      </c>
      <c r="CQ142" s="45">
        <f t="shared" ca="1" si="661"/>
        <v>12578733.269123247</v>
      </c>
      <c r="CR142" s="45">
        <f t="shared" ca="1" si="661"/>
        <v>12734413.82234459</v>
      </c>
      <c r="CS142" s="45">
        <f t="shared" ca="1" si="661"/>
        <v>8854283.3154224157</v>
      </c>
      <c r="CT142" s="45">
        <f t="shared" ca="1" si="661"/>
        <v>9641909.98389774</v>
      </c>
      <c r="CU142" s="45">
        <f t="shared" ca="1" si="661"/>
        <v>11187810.557567563</v>
      </c>
      <c r="CV142" s="45">
        <f t="shared" ca="1" si="661"/>
        <v>13735783.689119691</v>
      </c>
      <c r="CW142" s="45">
        <f t="shared" ca="1" si="661"/>
        <v>20347897.025804363</v>
      </c>
      <c r="CX142" s="45">
        <f t="shared" ca="1" si="661"/>
        <v>13007022.480990069</v>
      </c>
      <c r="CY142" s="45">
        <f t="shared" ca="1" si="661"/>
        <v>9032605.1288411915</v>
      </c>
      <c r="CZ142" s="45">
        <f t="shared" ca="1" si="661"/>
        <v>9739426.5716491695</v>
      </c>
      <c r="DA142" s="45">
        <f t="shared" ca="1" si="661"/>
        <v>10303313.59353389</v>
      </c>
      <c r="DB142" s="45">
        <f t="shared" ca="1" si="661"/>
        <v>13834659.508673437</v>
      </c>
      <c r="DC142" s="45">
        <f t="shared" ca="1" si="661"/>
        <v>20347897.025804363</v>
      </c>
      <c r="DD142" s="45">
        <f t="shared" ca="1" si="661"/>
        <v>13007022.480990069</v>
      </c>
      <c r="DE142" s="45">
        <f t="shared" ca="1" si="661"/>
        <v>16015468.242508112</v>
      </c>
      <c r="DF142" s="45">
        <f t="shared" ca="1" si="661"/>
        <v>15830920.410328723</v>
      </c>
      <c r="DG142" s="45"/>
      <c r="DH142" s="45">
        <f ca="1">DH130+DH137</f>
        <v>30045814.64014091</v>
      </c>
      <c r="DI142" s="45">
        <f ca="1">DI130+DI137</f>
        <v>44002752.176850028</v>
      </c>
      <c r="DJ142" s="45">
        <f ca="1">DJ130+DJ137</f>
        <v>24509571.416598633</v>
      </c>
      <c r="DK142" s="45">
        <f t="shared" ref="DK142:DP142" ca="1" si="662">DK130+DK137</f>
        <v>52764198.931320675</v>
      </c>
      <c r="DL142" s="45">
        <f t="shared" ca="1" si="662"/>
        <v>54137554.085622862</v>
      </c>
      <c r="DM142" s="45">
        <f ca="1">DM130+DM137</f>
        <v>53450876.508471772</v>
      </c>
      <c r="DN142" s="45">
        <f t="shared" ca="1" si="662"/>
        <v>53450876.508471772</v>
      </c>
      <c r="DO142" s="45">
        <f t="shared" ca="1" si="662"/>
        <v>53450876.508471772</v>
      </c>
      <c r="DP142" s="45">
        <f t="shared" ca="1" si="662"/>
        <v>53450876.508471772</v>
      </c>
      <c r="DQ142" s="45">
        <f t="shared" ref="DQ142:DW142" ca="1" si="663">DQ130+DQ137</f>
        <v>52976723.040590286</v>
      </c>
      <c r="DR142" s="45">
        <f t="shared" ca="1" si="663"/>
        <v>52836917.590268105</v>
      </c>
      <c r="DS142" s="45">
        <f t="shared" ca="1" si="663"/>
        <v>113245997.98375572</v>
      </c>
      <c r="DT142" s="45">
        <f t="shared" ca="1" si="663"/>
        <v>113245997.98375572</v>
      </c>
      <c r="DU142" s="45">
        <f t="shared" ca="1" si="663"/>
        <v>91084672.054584071</v>
      </c>
      <c r="DV142" s="45">
        <f t="shared" ca="1" si="663"/>
        <v>73277431.47998637</v>
      </c>
      <c r="DW142" s="45">
        <f t="shared" ca="1" si="663"/>
        <v>73073535.419575289</v>
      </c>
      <c r="DX142" s="45">
        <f t="shared" ref="DX142:EC142" ca="1" si="664">DX130+DX137</f>
        <v>1003085191.5948452</v>
      </c>
      <c r="DY142" s="45">
        <f t="shared" ca="1" si="664"/>
        <v>1003085191.5948452</v>
      </c>
      <c r="DZ142" s="45">
        <f t="shared" ca="1" si="664"/>
        <v>1003085191.5948452</v>
      </c>
      <c r="EA142" s="45">
        <f t="shared" ca="1" si="664"/>
        <v>1003085191.5948452</v>
      </c>
      <c r="EB142" s="45">
        <f t="shared" ca="1" si="664"/>
        <v>1003085191.5948452</v>
      </c>
      <c r="EC142" s="45">
        <f t="shared" ca="1" si="664"/>
        <v>1003085191.5948452</v>
      </c>
      <c r="ED142" s="45">
        <f ca="1">ED130+ED137</f>
        <v>1003085191.5948452</v>
      </c>
    </row>
  </sheetData>
  <dataValidations count="1">
    <dataValidation type="list" allowBlank="1" showInputMessage="1" showErrorMessage="1" sqref="D133:ED133" xr:uid="{00000000-0002-0000-0200-000000000000}">
      <formula1>$EI$133:$EJ$133</formula1>
    </dataValidation>
  </dataValidations>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7BC143"/>
  </sheetPr>
  <dimension ref="A1:AN135"/>
  <sheetViews>
    <sheetView topLeftCell="H1" zoomScale="80" zoomScaleNormal="80" zoomScalePageLayoutView="200" workbookViewId="0">
      <selection activeCell="C54" sqref="C54"/>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Figure_3_MJ_per_pkm_General!C12</f>
        <v>Energy consumption per pkm [MJ/pkm]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Private car - ICE (central estimate)</v>
      </c>
      <c r="I44" s="358" t="str">
        <f>C59</f>
        <v>Private car - HEV (central estimate)</v>
      </c>
      <c r="J44" s="433" t="str">
        <f>C60</f>
        <v>Private car - BEV (central estimate)</v>
      </c>
      <c r="K44" s="433" t="str">
        <f>C61</f>
        <v>Private car - FCEV (central estimate)</v>
      </c>
      <c r="N44" s="430"/>
      <c r="O44" s="441"/>
      <c r="P44" s="442"/>
      <c r="Q44" s="442"/>
      <c r="R44" s="442"/>
      <c r="S44" s="442"/>
      <c r="T44" s="442"/>
      <c r="U44" s="442"/>
      <c r="V44" s="442"/>
      <c r="X44" s="441"/>
      <c r="Y44" s="442"/>
      <c r="Z44" s="442"/>
      <c r="AA44" s="442"/>
      <c r="AB44" s="442"/>
      <c r="AC44" s="442"/>
      <c r="AD44" s="442"/>
      <c r="AE44" s="442"/>
      <c r="AF44" s="442"/>
      <c r="AG44" s="442"/>
      <c r="AH44" s="442"/>
      <c r="AI44" s="442"/>
      <c r="AK44" s="431"/>
      <c r="AN44" s="430"/>
    </row>
    <row r="45" spans="1:40" x14ac:dyDescent="0.3">
      <c r="A45" s="430" t="str">
        <f>'0_Total'!AT2</f>
        <v>Private car - BEV (low carbon intensity of electricity in use phase)</v>
      </c>
      <c r="B45" s="470" t="s">
        <v>1157</v>
      </c>
      <c r="C45" s="358" t="s">
        <v>1171</v>
      </c>
      <c r="D45" s="473">
        <f ca="1">HLOOKUP($A45,'0_Total'!$D$2:$ED$117,ROW('0_Total'!$A$77)-ROW('0_Total'!$A$2)+1,FALSE)+
HLOOKUP($A45,'0_Total'!$D$2:$ED$117,ROW('0_Total'!$A$78)-ROW('0_Total'!$A$2)+1,FALSE)</f>
        <v>0.55886181030656912</v>
      </c>
      <c r="E45" s="473">
        <f>HLOOKUP($A45,'0_Total'!$D$2:$ED$117,ROW('0_Total'!$A$79)-ROW('0_Total'!$A$2)+1,FALSE)</f>
        <v>0.48036907916478899</v>
      </c>
      <c r="F45" s="473">
        <f>HLOOKUP($A45,'0_Total'!$D$2:$ED$117,ROW('0_Total'!$A$81)-ROW('0_Total'!$A$2)+1,FALSE)</f>
        <v>3.5690207721515231E-2</v>
      </c>
      <c r="G45" s="473">
        <f>HLOOKUP($A45,'0_Total'!$D$2:$ED$117,ROW('0_Total'!$A$80)-ROW('0_Total'!$A$2)+1,FALSE)</f>
        <v>0</v>
      </c>
      <c r="H45" s="452">
        <f t="shared" ref="H45:H55" ca="1" si="0">H$58</f>
        <v>2.1835613123627797</v>
      </c>
      <c r="I45" s="452"/>
      <c r="J45" s="452">
        <f t="shared" ref="J45:J50" ca="1" si="1">J$60</f>
        <v>1.7796559851656371</v>
      </c>
      <c r="K45" s="452"/>
      <c r="N45" s="430"/>
      <c r="O45" s="454"/>
      <c r="P45" s="442"/>
      <c r="Q45" s="442"/>
      <c r="R45" s="442"/>
      <c r="S45" s="442"/>
      <c r="T45" s="442"/>
      <c r="U45" s="442"/>
      <c r="V45" s="442"/>
      <c r="X45" s="441"/>
      <c r="Y45" s="442"/>
      <c r="Z45" s="442"/>
      <c r="AA45" s="442"/>
      <c r="AB45" s="442"/>
      <c r="AC45" s="442"/>
      <c r="AD45" s="442"/>
      <c r="AE45" s="442"/>
      <c r="AF45" s="442"/>
      <c r="AG45" s="442"/>
      <c r="AH45" s="442"/>
      <c r="AI45" s="442"/>
      <c r="AK45" s="431"/>
      <c r="AN45" s="430"/>
    </row>
    <row r="46" spans="1:40" x14ac:dyDescent="0.3">
      <c r="A46" s="430" t="str">
        <f>'0_Total'!AV2</f>
        <v>Private car - BEV (25% smaller battery)</v>
      </c>
      <c r="B46" s="470"/>
      <c r="C46" s="358" t="s">
        <v>1160</v>
      </c>
      <c r="D46" s="473">
        <f ca="1">HLOOKUP($A46,'0_Total'!$D$2:$ED$117,ROW('0_Total'!$A$77)-ROW('0_Total'!$A$2)+1,FALSE)+
HLOOKUP($A46,'0_Total'!$D$2:$ED$117,ROW('0_Total'!$A$78)-ROW('0_Total'!$A$2)+1,FALSE)</f>
        <v>0.48844942555041271</v>
      </c>
      <c r="E46" s="473">
        <f>HLOOKUP($A46,'0_Total'!$D$2:$ED$117,ROW('0_Total'!$A$79)-ROW('0_Total'!$A$2)+1,FALSE)</f>
        <v>1.1851039671375527</v>
      </c>
      <c r="F46" s="473">
        <f>HLOOKUP($A46,'0_Total'!$D$2:$ED$117,ROW('0_Total'!$A$81)-ROW('0_Total'!$A$2)+1,FALSE)</f>
        <v>3.5690207721515231E-2</v>
      </c>
      <c r="G46" s="473">
        <f>HLOOKUP($A46,'0_Total'!$D$2:$ED$117,ROW('0_Total'!$A$80)-ROW('0_Total'!$A$2)+1,FALSE)</f>
        <v>0</v>
      </c>
      <c r="H46" s="452">
        <f t="shared" ca="1" si="0"/>
        <v>2.1835613123627797</v>
      </c>
      <c r="I46" s="452"/>
      <c r="J46" s="452">
        <f t="shared" ca="1" si="1"/>
        <v>1.7796559851656371</v>
      </c>
      <c r="K46" s="452"/>
      <c r="N46" s="430"/>
      <c r="O46" s="454"/>
      <c r="P46" s="442"/>
      <c r="Q46" s="442"/>
      <c r="R46" s="442"/>
      <c r="S46" s="442"/>
      <c r="T46" s="442"/>
      <c r="U46" s="442"/>
      <c r="V46" s="442"/>
      <c r="X46" s="441"/>
      <c r="Y46" s="442"/>
      <c r="Z46" s="442"/>
      <c r="AA46" s="442"/>
      <c r="AB46" s="442"/>
      <c r="AC46" s="442"/>
      <c r="AD46" s="442"/>
      <c r="AE46" s="442"/>
      <c r="AF46" s="442"/>
      <c r="AG46" s="442"/>
      <c r="AH46" s="442"/>
      <c r="AI46" s="442"/>
      <c r="AK46" s="431"/>
      <c r="AN46" s="430"/>
    </row>
    <row r="47" spans="1:40" x14ac:dyDescent="0.3">
      <c r="A47" s="430" t="str">
        <f>'0_Total'!AU2</f>
        <v>Private car - BEV (Lower carbon intensity of battery manufacturing)</v>
      </c>
      <c r="B47" s="470"/>
      <c r="C47" s="358" t="s">
        <v>1161</v>
      </c>
      <c r="D47" s="473">
        <f ca="1">HLOOKUP($A47,'0_Total'!$D$2:$ED$117,ROW('0_Total'!$A$77)-ROW('0_Total'!$A$2)+1,FALSE)+
HLOOKUP($A47,'0_Total'!$D$2:$ED$117,ROW('0_Total'!$A$78)-ROW('0_Total'!$A$2)+1,FALSE)</f>
        <v>0.5263845720943735</v>
      </c>
      <c r="E47" s="473">
        <f>HLOOKUP($A47,'0_Total'!$D$2:$ED$117,ROW('0_Total'!$A$79)-ROW('0_Total'!$A$2)+1,FALSE)</f>
        <v>1.1851039671375527</v>
      </c>
      <c r="F47" s="473">
        <f>HLOOKUP($A47,'0_Total'!$D$2:$ED$117,ROW('0_Total'!$A$81)-ROW('0_Total'!$A$2)+1,FALSE)</f>
        <v>3.5690207721515231E-2</v>
      </c>
      <c r="G47" s="473">
        <f>HLOOKUP($A47,'0_Total'!$D$2:$ED$117,ROW('0_Total'!$A$80)-ROW('0_Total'!$A$2)+1,FALSE)</f>
        <v>0</v>
      </c>
      <c r="H47" s="452">
        <f t="shared" ca="1" si="0"/>
        <v>2.1835613123627797</v>
      </c>
      <c r="I47" s="452"/>
      <c r="J47" s="452">
        <f t="shared" ca="1" si="1"/>
        <v>1.7796559851656371</v>
      </c>
      <c r="K47" s="452"/>
      <c r="N47" s="430"/>
      <c r="O47" s="454"/>
      <c r="P47" s="442"/>
      <c r="Q47" s="442"/>
      <c r="R47" s="442"/>
      <c r="S47" s="442"/>
      <c r="T47" s="442"/>
      <c r="U47" s="442"/>
      <c r="V47" s="442"/>
      <c r="X47" s="441"/>
      <c r="Y47" s="442"/>
      <c r="Z47" s="442"/>
      <c r="AA47" s="442"/>
      <c r="AB47" s="442"/>
      <c r="AC47" s="442"/>
      <c r="AD47" s="442"/>
      <c r="AE47" s="442"/>
      <c r="AF47" s="442"/>
      <c r="AG47" s="442"/>
      <c r="AH47" s="442"/>
      <c r="AI47" s="442"/>
      <c r="AK47" s="431"/>
      <c r="AN47" s="430"/>
    </row>
    <row r="48" spans="1:40" x14ac:dyDescent="0.3">
      <c r="A48" s="430" t="str">
        <f>'0_Total'!AW2</f>
        <v>Private car - BEV (25% larger battery)</v>
      </c>
      <c r="B48" s="470"/>
      <c r="C48" s="358" t="s">
        <v>1162</v>
      </c>
      <c r="D48" s="473">
        <f ca="1">HLOOKUP($A48,'0_Total'!$D$2:$ED$117,ROW('0_Total'!$A$77)-ROW('0_Total'!$A$2)+1,FALSE)+
HLOOKUP($A48,'0_Total'!$D$2:$ED$117,ROW('0_Total'!$A$78)-ROW('0_Total'!$A$2)+1,FALSE)</f>
        <v>0.62927419506272542</v>
      </c>
      <c r="E48" s="473">
        <f>HLOOKUP($A48,'0_Total'!$D$2:$ED$117,ROW('0_Total'!$A$79)-ROW('0_Total'!$A$2)+1,FALSE)</f>
        <v>1.1851039671375527</v>
      </c>
      <c r="F48" s="473">
        <f>HLOOKUP($A48,'0_Total'!$D$2:$ED$117,ROW('0_Total'!$A$81)-ROW('0_Total'!$A$2)+1,FALSE)</f>
        <v>3.5690207721515231E-2</v>
      </c>
      <c r="G48" s="473">
        <f>HLOOKUP($A48,'0_Total'!$D$2:$ED$117,ROW('0_Total'!$A$80)-ROW('0_Total'!$A$2)+1,FALSE)</f>
        <v>0</v>
      </c>
      <c r="H48" s="452">
        <f t="shared" ca="1" si="0"/>
        <v>2.1835613123627797</v>
      </c>
      <c r="I48" s="452"/>
      <c r="J48" s="452">
        <f t="shared" ca="1" si="1"/>
        <v>1.7796559851656371</v>
      </c>
      <c r="K48" s="452"/>
      <c r="N48" s="430"/>
      <c r="O48" s="454"/>
      <c r="P48" s="442"/>
      <c r="Q48" s="442"/>
      <c r="R48" s="442"/>
      <c r="S48" s="442"/>
      <c r="T48" s="442"/>
      <c r="U48" s="442"/>
      <c r="V48" s="442"/>
      <c r="X48" s="441"/>
      <c r="Y48" s="442"/>
      <c r="Z48" s="442"/>
      <c r="AA48" s="442"/>
      <c r="AB48" s="442"/>
      <c r="AC48" s="442"/>
      <c r="AD48" s="442"/>
      <c r="AE48" s="442"/>
      <c r="AF48" s="442"/>
      <c r="AG48" s="442"/>
      <c r="AH48" s="442"/>
      <c r="AI48" s="442"/>
      <c r="AK48" s="431"/>
      <c r="AN48" s="430"/>
    </row>
    <row r="49" spans="1:40" x14ac:dyDescent="0.3">
      <c r="A49" s="430" t="str">
        <f>'0_Total'!CQ2</f>
        <v>Large Private car - BEV</v>
      </c>
      <c r="B49" s="470"/>
      <c r="C49" s="466" t="s">
        <v>1163</v>
      </c>
      <c r="D49" s="473">
        <f ca="1">HLOOKUP($A49,'0_Total'!$D$2:$ED$117,ROW('0_Total'!$A$77)-ROW('0_Total'!$A$2)+1,FALSE)+
HLOOKUP($A49,'0_Total'!$D$2:$ED$117,ROW('0_Total'!$A$78)-ROW('0_Total'!$A$2)+1,FALSE)</f>
        <v>0.62637329424401489</v>
      </c>
      <c r="E49" s="473">
        <f>HLOOKUP($A49,'0_Total'!$D$2:$ED$117,ROW('0_Total'!$A$79)-ROW('0_Total'!$A$2)+1,FALSE)</f>
        <v>1.2458202016555977</v>
      </c>
      <c r="F49" s="473">
        <f>HLOOKUP($A49,'0_Total'!$D$2:$ED$117,ROW('0_Total'!$A$81)-ROW('0_Total'!$A$2)+1,FALSE)</f>
        <v>3.878880422140623E-2</v>
      </c>
      <c r="G49" s="473">
        <f>HLOOKUP($A49,'0_Total'!$D$2:$ED$117,ROW('0_Total'!$A$80)-ROW('0_Total'!$A$2)+1,FALSE)</f>
        <v>0</v>
      </c>
      <c r="H49" s="452">
        <f t="shared" ca="1" si="0"/>
        <v>2.1835613123627797</v>
      </c>
      <c r="I49" s="452"/>
      <c r="J49" s="452">
        <f t="shared" ca="1" si="1"/>
        <v>1.7796559851656371</v>
      </c>
      <c r="K49" s="452"/>
      <c r="N49" s="430"/>
      <c r="O49" s="454"/>
      <c r="P49" s="442"/>
      <c r="Q49" s="442"/>
      <c r="R49" s="442"/>
      <c r="S49" s="442"/>
      <c r="T49" s="442"/>
      <c r="U49" s="442"/>
      <c r="V49" s="442"/>
      <c r="X49" s="441"/>
      <c r="Y49" s="442"/>
      <c r="Z49" s="442"/>
      <c r="AA49" s="442"/>
      <c r="AB49" s="442"/>
      <c r="AC49" s="442"/>
      <c r="AD49" s="442"/>
      <c r="AE49" s="442"/>
      <c r="AF49" s="442"/>
      <c r="AG49" s="442"/>
      <c r="AH49" s="442"/>
      <c r="AI49" s="442"/>
      <c r="AK49" s="431"/>
      <c r="AN49" s="430"/>
    </row>
    <row r="50" spans="1:40" x14ac:dyDescent="0.3">
      <c r="A50" s="430" t="str">
        <f>'0_Total'!AS2</f>
        <v>Private car - BEV (high carbon intensity of electricity in use phase)</v>
      </c>
      <c r="B50" s="470"/>
      <c r="C50" s="358" t="s">
        <v>1166</v>
      </c>
      <c r="D50" s="473">
        <f ca="1">HLOOKUP($A50,'0_Total'!$D$2:$ED$117,ROW('0_Total'!$A$77)-ROW('0_Total'!$A$2)+1,FALSE)+
HLOOKUP($A50,'0_Total'!$D$2:$ED$117,ROW('0_Total'!$A$78)-ROW('0_Total'!$A$2)+1,FALSE)</f>
        <v>0.55886181030656912</v>
      </c>
      <c r="E50" s="473">
        <f>HLOOKUP($A50,'0_Total'!$D$2:$ED$117,ROW('0_Total'!$A$79)-ROW('0_Total'!$A$2)+1,FALSE)</f>
        <v>1.3623350714080582</v>
      </c>
      <c r="F50" s="473">
        <f>HLOOKUP($A50,'0_Total'!$D$2:$ED$117,ROW('0_Total'!$A$81)-ROW('0_Total'!$A$2)+1,FALSE)</f>
        <v>3.5690207721515231E-2</v>
      </c>
      <c r="G50" s="473">
        <f>HLOOKUP($A50,'0_Total'!$D$2:$ED$117,ROW('0_Total'!$A$80)-ROW('0_Total'!$A$2)+1,FALSE)</f>
        <v>0</v>
      </c>
      <c r="H50" s="452">
        <f t="shared" ca="1" si="0"/>
        <v>2.1835613123627797</v>
      </c>
      <c r="I50" s="452"/>
      <c r="J50" s="452">
        <f t="shared" ca="1" si="1"/>
        <v>1.7796559851656371</v>
      </c>
      <c r="K50" s="452"/>
      <c r="N50" s="430"/>
      <c r="O50" s="454"/>
      <c r="P50" s="442"/>
      <c r="Q50" s="442"/>
      <c r="R50" s="442"/>
      <c r="S50" s="442"/>
      <c r="T50" s="442"/>
      <c r="U50" s="442"/>
      <c r="V50" s="442"/>
      <c r="X50" s="441"/>
      <c r="Y50" s="442"/>
      <c r="Z50" s="442"/>
      <c r="AA50" s="442"/>
      <c r="AB50" s="442"/>
      <c r="AC50" s="442"/>
      <c r="AD50" s="442"/>
      <c r="AE50" s="442"/>
      <c r="AF50" s="442"/>
      <c r="AG50" s="442"/>
      <c r="AH50" s="442"/>
      <c r="AI50" s="442"/>
      <c r="AK50" s="431"/>
      <c r="AN50" s="430"/>
    </row>
    <row r="51" spans="1:40" x14ac:dyDescent="0.3">
      <c r="A51" s="430" t="str">
        <f>'0_Total'!AZ2</f>
        <v>Private car - FCEV (hydrogen from electrolysis, 100% renewable electricity)</v>
      </c>
      <c r="B51" s="470" t="s">
        <v>1158</v>
      </c>
      <c r="C51" s="469" t="s">
        <v>1170</v>
      </c>
      <c r="D51" s="473">
        <f ca="1">HLOOKUP($A51,'0_Total'!$D$2:$ED$117,ROW('0_Total'!$A$77)-ROW('0_Total'!$A$2)+1,FALSE)+
HLOOKUP($A51,'0_Total'!$D$2:$ED$117,ROW('0_Total'!$A$78)-ROW('0_Total'!$A$2)+1,FALSE)</f>
        <v>0.51922357166367639</v>
      </c>
      <c r="E51" s="473">
        <f>HLOOKUP($A51,'0_Total'!$D$2:$ED$117,ROW('0_Total'!$A$79)-ROW('0_Total'!$A$2)+1,FALSE)</f>
        <v>1.93796515673786</v>
      </c>
      <c r="F51" s="473">
        <f>HLOOKUP($A51,'0_Total'!$D$2:$ED$117,ROW('0_Total'!$A$81)-ROW('0_Total'!$A$2)+1,FALSE)</f>
        <v>3.7993145753810804E-2</v>
      </c>
      <c r="G51" s="473">
        <f>HLOOKUP($A51,'0_Total'!$D$2:$ED$117,ROW('0_Total'!$A$80)-ROW('0_Total'!$A$2)+1,FALSE)</f>
        <v>0</v>
      </c>
      <c r="H51" s="452">
        <f t="shared" ca="1" si="0"/>
        <v>2.1835613123627797</v>
      </c>
      <c r="I51" s="452"/>
      <c r="J51" s="452"/>
      <c r="K51" s="452">
        <f ca="1">K$61</f>
        <v>1.8534671165307863</v>
      </c>
      <c r="N51" s="430"/>
      <c r="O51" s="454"/>
      <c r="P51" s="442"/>
      <c r="Q51" s="442"/>
      <c r="R51" s="442"/>
      <c r="S51" s="442"/>
      <c r="T51" s="442"/>
      <c r="U51" s="442"/>
      <c r="V51" s="442"/>
      <c r="X51" s="441"/>
      <c r="Y51" s="442"/>
      <c r="Z51" s="442"/>
      <c r="AA51" s="442"/>
      <c r="AB51" s="442"/>
      <c r="AC51" s="442"/>
      <c r="AD51" s="442"/>
      <c r="AE51" s="442"/>
      <c r="AF51" s="442"/>
      <c r="AG51" s="442"/>
      <c r="AH51" s="442"/>
      <c r="AI51" s="442"/>
      <c r="AK51" s="431"/>
      <c r="AN51" s="430"/>
    </row>
    <row r="52" spans="1:40" x14ac:dyDescent="0.3">
      <c r="A52" s="430" t="str">
        <f>'0_Total'!CR2</f>
        <v>Large Private car - FCEV</v>
      </c>
      <c r="B52" s="470"/>
      <c r="C52" s="466" t="s">
        <v>1169</v>
      </c>
      <c r="D52" s="473">
        <f ca="1">HLOOKUP($A52,'0_Total'!$D$2:$ED$117,ROW('0_Total'!$A$77)-ROW('0_Total'!$A$2)+1,FALSE)+
HLOOKUP($A52,'0_Total'!$D$2:$ED$117,ROW('0_Total'!$A$78)-ROW('0_Total'!$A$2)+1,FALSE)</f>
        <v>0.64972078777883668</v>
      </c>
      <c r="E52" s="473">
        <f>HLOOKUP($A52,'0_Total'!$D$2:$ED$117,ROW('0_Total'!$A$79)-ROW('0_Total'!$A$2)+1,FALSE)</f>
        <v>1.4812852438776514</v>
      </c>
      <c r="F52" s="473">
        <f>HLOOKUP($A52,'0_Total'!$D$2:$ED$117,ROW('0_Total'!$A$81)-ROW('0_Total'!$A$2)+1,FALSE)</f>
        <v>4.1695659569863243E-2</v>
      </c>
      <c r="G52" s="473">
        <f>HLOOKUP($A52,'0_Total'!$D$2:$ED$117,ROW('0_Total'!$A$80)-ROW('0_Total'!$A$2)+1,FALSE)</f>
        <v>0</v>
      </c>
      <c r="H52" s="452">
        <f t="shared" ca="1" si="0"/>
        <v>2.1835613123627797</v>
      </c>
      <c r="I52" s="452"/>
      <c r="J52" s="452"/>
      <c r="K52" s="452">
        <f ca="1">K$61</f>
        <v>1.8534671165307863</v>
      </c>
      <c r="N52" s="430"/>
      <c r="O52" s="454"/>
      <c r="P52" s="442"/>
      <c r="Q52" s="442"/>
      <c r="R52" s="442"/>
      <c r="S52" s="442"/>
      <c r="T52" s="442"/>
      <c r="U52" s="442"/>
      <c r="V52" s="442"/>
      <c r="X52" s="441"/>
      <c r="Y52" s="442"/>
      <c r="Z52" s="442"/>
      <c r="AA52" s="442"/>
      <c r="AB52" s="442"/>
      <c r="AC52" s="442"/>
      <c r="AD52" s="442"/>
      <c r="AE52" s="442"/>
      <c r="AF52" s="442"/>
      <c r="AG52" s="442"/>
      <c r="AH52" s="442"/>
      <c r="AI52" s="442"/>
      <c r="AK52" s="431"/>
      <c r="AN52" s="430"/>
    </row>
    <row r="53" spans="1:40" x14ac:dyDescent="0.3">
      <c r="A53" s="430" t="str">
        <f>'0_Total'!AY2</f>
        <v>Private car - FCEV (hydrogen from electrolysis, 100% natural gas electricity)</v>
      </c>
      <c r="B53" s="470"/>
      <c r="C53" s="469" t="s">
        <v>1167</v>
      </c>
      <c r="D53" s="473">
        <f ca="1">HLOOKUP($A53,'0_Total'!$D$2:$ED$117,ROW('0_Total'!$A$77)-ROW('0_Total'!$A$2)+1,FALSE)+
HLOOKUP($A53,'0_Total'!$D$2:$ED$117,ROW('0_Total'!$A$78)-ROW('0_Total'!$A$2)+1,FALSE)</f>
        <v>0.51922357166367639</v>
      </c>
      <c r="E53" s="473">
        <f>HLOOKUP($A53,'0_Total'!$D$2:$ED$117,ROW('0_Total'!$A$79)-ROW('0_Total'!$A$2)+1,FALSE)</f>
        <v>3.3594723210029813</v>
      </c>
      <c r="F53" s="473">
        <f>HLOOKUP($A53,'0_Total'!$D$2:$ED$117,ROW('0_Total'!$A$81)-ROW('0_Total'!$A$2)+1,FALSE)</f>
        <v>3.7993145753810804E-2</v>
      </c>
      <c r="G53" s="473">
        <f>HLOOKUP($A53,'0_Total'!$D$2:$ED$117,ROW('0_Total'!$A$80)-ROW('0_Total'!$A$2)+1,FALSE)</f>
        <v>0</v>
      </c>
      <c r="H53" s="452">
        <f t="shared" ca="1" si="0"/>
        <v>2.1835613123627797</v>
      </c>
      <c r="I53" s="452"/>
      <c r="J53" s="452"/>
      <c r="K53" s="452">
        <f ca="1">K$61</f>
        <v>1.8534671165307863</v>
      </c>
      <c r="N53" s="430"/>
      <c r="O53" s="454"/>
      <c r="P53" s="442"/>
      <c r="Q53" s="442"/>
      <c r="R53" s="442"/>
      <c r="S53" s="442"/>
      <c r="T53" s="442"/>
      <c r="U53" s="442"/>
      <c r="V53" s="442"/>
      <c r="X53" s="441"/>
      <c r="Y53" s="442"/>
      <c r="Z53" s="442"/>
      <c r="AA53" s="442"/>
      <c r="AB53" s="442"/>
      <c r="AC53" s="442"/>
      <c r="AD53" s="442"/>
      <c r="AE53" s="442"/>
      <c r="AF53" s="442"/>
      <c r="AG53" s="442"/>
      <c r="AH53" s="442"/>
      <c r="AI53" s="442"/>
      <c r="AK53" s="431"/>
      <c r="AN53" s="430"/>
    </row>
    <row r="54" spans="1:40" x14ac:dyDescent="0.3">
      <c r="A54" s="430" t="str">
        <f>'0_Total'!BA2</f>
        <v>Private car - FCEV (hydrogen from electrolysis, global grid mix)</v>
      </c>
      <c r="B54" s="470"/>
      <c r="C54" s="469" t="s">
        <v>1168</v>
      </c>
      <c r="D54" s="473">
        <f ca="1">HLOOKUP($A54,'0_Total'!$D$2:$ED$117,ROW('0_Total'!$A$77)-ROW('0_Total'!$A$2)+1,FALSE)+
HLOOKUP($A54,'0_Total'!$D$2:$ED$117,ROW('0_Total'!$A$78)-ROW('0_Total'!$A$2)+1,FALSE)</f>
        <v>0.51922357166367639</v>
      </c>
      <c r="E54" s="473">
        <f>HLOOKUP($A54,'0_Total'!$D$2:$ED$117,ROW('0_Total'!$A$79)-ROW('0_Total'!$A$2)+1,FALSE)</f>
        <v>3.7208551911816041</v>
      </c>
      <c r="F54" s="473">
        <f>HLOOKUP($A54,'0_Total'!$D$2:$ED$117,ROW('0_Total'!$A$81)-ROW('0_Total'!$A$2)+1,FALSE)</f>
        <v>3.7993145753810804E-2</v>
      </c>
      <c r="G54" s="473">
        <f>HLOOKUP($A54,'0_Total'!$D$2:$ED$117,ROW('0_Total'!$A$80)-ROW('0_Total'!$A$2)+1,FALSE)</f>
        <v>0</v>
      </c>
      <c r="H54" s="452">
        <f t="shared" ca="1" si="0"/>
        <v>2.1835613123627797</v>
      </c>
      <c r="I54" s="452"/>
      <c r="J54" s="452"/>
      <c r="K54" s="452">
        <f ca="1">K$61</f>
        <v>1.8534671165307863</v>
      </c>
      <c r="N54" s="430"/>
      <c r="O54" s="454"/>
      <c r="P54" s="442"/>
      <c r="Q54" s="442"/>
      <c r="R54" s="442"/>
      <c r="S54" s="442"/>
      <c r="T54" s="442"/>
      <c r="U54" s="442"/>
      <c r="V54" s="442"/>
      <c r="X54" s="441"/>
      <c r="Y54" s="442"/>
      <c r="Z54" s="442"/>
      <c r="AA54" s="442"/>
      <c r="AB54" s="442"/>
      <c r="AC54" s="442"/>
      <c r="AD54" s="442"/>
      <c r="AE54" s="442"/>
      <c r="AF54" s="442"/>
      <c r="AG54" s="442"/>
      <c r="AH54" s="442"/>
      <c r="AI54" s="442"/>
      <c r="AK54" s="431"/>
      <c r="AN54" s="430"/>
    </row>
    <row r="55" spans="1:40" x14ac:dyDescent="0.3">
      <c r="A55" s="430" t="str">
        <f>'0_Total'!CO2</f>
        <v>Large Private car - HEV</v>
      </c>
      <c r="B55" s="470" t="s">
        <v>1159</v>
      </c>
      <c r="C55" s="467" t="s">
        <v>1164</v>
      </c>
      <c r="D55" s="473">
        <f ca="1">HLOOKUP($A55,'0_Total'!$D$2:$ED$117,ROW('0_Total'!$A$77)-ROW('0_Total'!$A$2)+1,FALSE)+
HLOOKUP($A55,'0_Total'!$D$2:$ED$117,ROW('0_Total'!$A$78)-ROW('0_Total'!$A$2)+1,FALSE)</f>
        <v>0.39209085110569047</v>
      </c>
      <c r="E55" s="473">
        <f>HLOOKUP($A55,'0_Total'!$D$2:$ED$117,ROW('0_Total'!$A$79)-ROW('0_Total'!$A$2)+1,FALSE)</f>
        <v>1.7769482892448947</v>
      </c>
      <c r="F55" s="473">
        <f>HLOOKUP($A55,'0_Total'!$D$2:$ED$117,ROW('0_Total'!$A$81)-ROW('0_Total'!$A$2)+1,FALSE)</f>
        <v>4.0599977551164235E-2</v>
      </c>
      <c r="G55" s="473">
        <f>HLOOKUP($A55,'0_Total'!$D$2:$ED$117,ROW('0_Total'!$A$80)-ROW('0_Total'!$A$2)+1,FALSE)</f>
        <v>0</v>
      </c>
      <c r="H55" s="452">
        <f t="shared" ca="1" si="0"/>
        <v>2.1835613123627797</v>
      </c>
      <c r="I55" s="452">
        <f ca="1">I$59</f>
        <v>1.7335949156685733</v>
      </c>
      <c r="J55" s="452"/>
      <c r="K55" s="452"/>
      <c r="N55" s="430"/>
      <c r="O55" s="454"/>
      <c r="P55" s="442"/>
      <c r="Q55" s="442"/>
      <c r="R55" s="442"/>
      <c r="S55" s="442"/>
      <c r="T55" s="442"/>
      <c r="U55" s="442"/>
      <c r="V55" s="442"/>
      <c r="X55" s="441"/>
      <c r="Y55" s="442"/>
      <c r="Z55" s="442"/>
      <c r="AA55" s="442"/>
      <c r="AB55" s="442"/>
      <c r="AC55" s="442"/>
      <c r="AD55" s="442"/>
      <c r="AE55" s="442"/>
      <c r="AF55" s="442"/>
      <c r="AG55" s="442"/>
      <c r="AH55" s="442"/>
      <c r="AI55" s="442"/>
      <c r="AK55" s="431"/>
      <c r="AN55" s="430"/>
    </row>
    <row r="56" spans="1:40" x14ac:dyDescent="0.3">
      <c r="A56" s="430" t="str">
        <f>'0_Total'!CN2</f>
        <v>Large Private car - ICE</v>
      </c>
      <c r="B56" s="470"/>
      <c r="C56" s="468" t="s">
        <v>1165</v>
      </c>
      <c r="D56" s="473">
        <f ca="1">HLOOKUP($A56,'0_Total'!$D$2:$ED$117,ROW('0_Total'!$A$77)-ROW('0_Total'!$A$2)+1,FALSE)+
HLOOKUP($A56,'0_Total'!$D$2:$ED$117,ROW('0_Total'!$A$78)-ROW('0_Total'!$A$2)+1,FALSE)</f>
        <v>0.36237033760664</v>
      </c>
      <c r="E56" s="473">
        <f>HLOOKUP($A56,'0_Total'!$D$2:$ED$117,ROW('0_Total'!$A$79)-ROW('0_Total'!$A$2)+1,FALSE)</f>
        <v>2.4138665013537572</v>
      </c>
      <c r="F56" s="473">
        <f>HLOOKUP($A56,'0_Total'!$D$2:$ED$117,ROW('0_Total'!$A$81)-ROW('0_Total'!$A$2)+1,FALSE)</f>
        <v>3.9761438924714593E-2</v>
      </c>
      <c r="G56" s="473">
        <f>HLOOKUP($A56,'0_Total'!$D$2:$ED$117,ROW('0_Total'!$A$80)-ROW('0_Total'!$A$2)+1,FALSE)</f>
        <v>0</v>
      </c>
      <c r="H56" s="452">
        <f ca="1">H$58</f>
        <v>2.1835613123627797</v>
      </c>
      <c r="I56" s="452"/>
      <c r="J56" s="452"/>
      <c r="K56" s="452"/>
      <c r="N56" s="430"/>
      <c r="O56" s="454"/>
      <c r="P56" s="442"/>
      <c r="Q56" s="442"/>
      <c r="R56" s="442"/>
      <c r="S56" s="442"/>
      <c r="T56" s="442"/>
      <c r="U56" s="442"/>
      <c r="V56" s="442"/>
      <c r="X56" s="441"/>
      <c r="Y56" s="442"/>
      <c r="Z56" s="442"/>
      <c r="AA56" s="442"/>
      <c r="AB56" s="442"/>
      <c r="AC56" s="442"/>
      <c r="AD56" s="442"/>
      <c r="AE56" s="442"/>
      <c r="AF56" s="442"/>
      <c r="AG56" s="442"/>
      <c r="AH56" s="442"/>
      <c r="AI56" s="442"/>
      <c r="AK56" s="431"/>
      <c r="AN56" s="430"/>
    </row>
    <row r="57" spans="1:40" x14ac:dyDescent="0.3">
      <c r="C57" s="358"/>
      <c r="D57" s="450"/>
      <c r="E57" s="450"/>
      <c r="F57" s="450"/>
      <c r="G57" s="450"/>
      <c r="H57" s="452"/>
      <c r="I57" s="453"/>
      <c r="J57" s="453"/>
      <c r="K57" s="465"/>
      <c r="N57" s="430"/>
      <c r="O57" s="454"/>
      <c r="P57" s="442"/>
      <c r="Q57" s="442"/>
      <c r="R57" s="442"/>
      <c r="S57" s="442"/>
      <c r="T57" s="442"/>
      <c r="U57" s="442"/>
      <c r="V57" s="442"/>
      <c r="X57" s="441"/>
      <c r="Y57" s="442"/>
      <c r="Z57" s="442"/>
      <c r="AA57" s="442"/>
      <c r="AB57" s="442"/>
      <c r="AC57" s="442"/>
      <c r="AD57" s="442"/>
      <c r="AE57" s="442"/>
      <c r="AF57" s="442"/>
      <c r="AG57" s="442"/>
      <c r="AH57" s="442"/>
      <c r="AI57" s="442"/>
      <c r="AK57" s="431"/>
      <c r="AN57" s="430"/>
    </row>
    <row r="58" spans="1:40" x14ac:dyDescent="0.3">
      <c r="A58" s="430" t="str">
        <f>'0_Total'!AO2</f>
        <v>Private car - ICE</v>
      </c>
      <c r="C58" s="358" t="str">
        <f>A58&amp;" (central estimate)"</f>
        <v>Private car - ICE (central estimate)</v>
      </c>
      <c r="D58" s="450"/>
      <c r="E58" s="450"/>
      <c r="F58" s="450"/>
      <c r="G58" s="450"/>
      <c r="H58" s="451">
        <f ca="1">HLOOKUP($A58,'0_Total'!$D$2:$ED$117,ROW('0_Total'!$A$76)-ROW('0_Total'!$A$2)+1,FALSE)</f>
        <v>2.1835613123627797</v>
      </c>
      <c r="I58" s="465"/>
      <c r="J58" s="451"/>
      <c r="K58" s="451"/>
      <c r="N58" s="430"/>
      <c r="P58" s="442"/>
      <c r="Q58" s="442"/>
      <c r="R58" s="442"/>
      <c r="S58" s="442"/>
      <c r="T58" s="442"/>
      <c r="U58" s="442"/>
      <c r="V58" s="442"/>
      <c r="X58" s="441"/>
      <c r="Y58" s="442"/>
      <c r="Z58" s="442"/>
      <c r="AA58" s="442"/>
      <c r="AB58" s="442"/>
      <c r="AC58" s="442"/>
      <c r="AD58" s="442"/>
      <c r="AE58" s="442"/>
      <c r="AF58" s="442"/>
      <c r="AG58" s="442"/>
      <c r="AH58" s="442"/>
      <c r="AI58" s="442"/>
      <c r="AK58" s="431"/>
      <c r="AN58" s="430"/>
    </row>
    <row r="59" spans="1:40" ht="14.25" customHeight="1" x14ac:dyDescent="0.3">
      <c r="A59" s="430" t="str">
        <f>'0_Total'!AP2</f>
        <v>Private car - HEV</v>
      </c>
      <c r="C59" s="358" t="str">
        <f>A59&amp;" (central estimate)"</f>
        <v>Private car - HEV (central estimate)</v>
      </c>
      <c r="D59" s="450"/>
      <c r="E59" s="450"/>
      <c r="F59" s="450"/>
      <c r="G59" s="450"/>
      <c r="H59" s="450"/>
      <c r="I59" s="451">
        <f ca="1">HLOOKUP($A59,'0_Total'!$D$2:$ED$117,ROW('0_Total'!$A$76)-ROW('0_Total'!$A$2)+1,FALSE)</f>
        <v>1.7335949156685733</v>
      </c>
      <c r="J59" s="451"/>
      <c r="K59" s="465"/>
      <c r="N59" s="430"/>
      <c r="O59" s="454"/>
      <c r="P59" s="442"/>
      <c r="Q59" s="442"/>
      <c r="R59" s="442"/>
      <c r="S59" s="442"/>
      <c r="T59" s="442"/>
      <c r="U59" s="442"/>
      <c r="V59" s="442"/>
      <c r="X59" s="441"/>
      <c r="Y59" s="442"/>
      <c r="Z59" s="442"/>
      <c r="AA59" s="442"/>
      <c r="AB59" s="442"/>
      <c r="AC59" s="442"/>
      <c r="AD59" s="442"/>
      <c r="AE59" s="442"/>
      <c r="AF59" s="442"/>
      <c r="AG59" s="442"/>
      <c r="AH59" s="442"/>
      <c r="AI59" s="442"/>
      <c r="AK59" s="431"/>
      <c r="AN59" s="430"/>
    </row>
    <row r="60" spans="1:40" x14ac:dyDescent="0.3">
      <c r="A60" s="430" t="str">
        <f>'0_Total'!AX2</f>
        <v>Private car - BEV</v>
      </c>
      <c r="C60" s="358" t="str">
        <f>A60&amp;" (central estimate)"</f>
        <v>Private car - BEV (central estimate)</v>
      </c>
      <c r="D60" s="450"/>
      <c r="E60" s="450"/>
      <c r="F60" s="450"/>
      <c r="G60" s="450"/>
      <c r="H60" s="465"/>
      <c r="I60" s="451"/>
      <c r="J60" s="450">
        <f ca="1">HLOOKUP($A60,'0_Total'!$D$2:$ED$117,ROW('0_Total'!$A$76)-ROW('0_Total'!$A$2)+1,FALSE)</f>
        <v>1.7796559851656371</v>
      </c>
      <c r="K60" s="465"/>
      <c r="N60" s="430"/>
      <c r="P60" s="442"/>
      <c r="Q60" s="442"/>
      <c r="R60" s="442"/>
      <c r="S60" s="442"/>
      <c r="T60" s="442"/>
      <c r="U60" s="442"/>
      <c r="V60" s="442"/>
      <c r="X60" s="441"/>
      <c r="Y60" s="442"/>
      <c r="Z60" s="442"/>
      <c r="AA60" s="442"/>
      <c r="AB60" s="442"/>
      <c r="AC60" s="442"/>
      <c r="AD60" s="442"/>
      <c r="AE60" s="442"/>
      <c r="AF60" s="442"/>
      <c r="AG60" s="442"/>
      <c r="AH60" s="442"/>
      <c r="AI60" s="442"/>
      <c r="AK60" s="431"/>
      <c r="AN60" s="430"/>
    </row>
    <row r="61" spans="1:40" x14ac:dyDescent="0.3">
      <c r="A61" s="430" t="str">
        <f>'0_Total'!BB2</f>
        <v>Private car - FCEV</v>
      </c>
      <c r="C61" s="358" t="str">
        <f>A61&amp;" (central estimate)"</f>
        <v>Private car - FCEV (central estimate)</v>
      </c>
      <c r="D61" s="450"/>
      <c r="E61" s="450"/>
      <c r="F61" s="450"/>
      <c r="G61" s="450"/>
      <c r="H61" s="450"/>
      <c r="I61" s="451"/>
      <c r="J61" s="465"/>
      <c r="K61" s="451">
        <f ca="1">HLOOKUP($A61,'0_Total'!$D$2:$ED$117,ROW('0_Total'!$A$76)-ROW('0_Total'!$A$2)+1,FALSE)</f>
        <v>1.8534671165307863</v>
      </c>
      <c r="N61" s="430"/>
      <c r="O61" s="454"/>
      <c r="P61" s="442"/>
      <c r="Q61" s="442"/>
      <c r="R61" s="442"/>
      <c r="S61" s="442"/>
      <c r="T61" s="442"/>
      <c r="U61" s="442"/>
      <c r="V61" s="442"/>
      <c r="X61" s="441"/>
      <c r="Y61" s="442"/>
      <c r="Z61" s="442"/>
      <c r="AA61" s="442"/>
      <c r="AB61" s="442"/>
      <c r="AC61" s="442"/>
      <c r="AD61" s="442"/>
      <c r="AE61" s="442"/>
      <c r="AF61" s="442"/>
      <c r="AG61" s="442"/>
      <c r="AH61" s="442"/>
      <c r="AI61" s="442"/>
      <c r="AK61" s="431"/>
      <c r="AN61" s="430"/>
    </row>
    <row r="62" spans="1:40" x14ac:dyDescent="0.3">
      <c r="B62" s="358"/>
      <c r="C62" s="357"/>
      <c r="D62" s="357"/>
      <c r="E62" s="357"/>
      <c r="F62" s="357"/>
      <c r="G62" s="448"/>
      <c r="H62" s="449"/>
      <c r="I62" s="449"/>
      <c r="K62" s="454"/>
      <c r="L62" s="454"/>
      <c r="M62" s="442"/>
      <c r="N62" s="442"/>
      <c r="O62" s="442"/>
      <c r="P62" s="442"/>
      <c r="Q62" s="442"/>
      <c r="R62" s="442"/>
      <c r="S62" s="442"/>
      <c r="T62" s="442"/>
      <c r="U62" s="442"/>
      <c r="V62" s="442"/>
      <c r="X62" s="441"/>
      <c r="Y62" s="442"/>
      <c r="Z62" s="442"/>
      <c r="AA62" s="442"/>
      <c r="AB62" s="442"/>
      <c r="AC62" s="442"/>
      <c r="AD62" s="442"/>
      <c r="AE62" s="442"/>
      <c r="AF62" s="442"/>
      <c r="AG62" s="442"/>
      <c r="AH62" s="442"/>
      <c r="AI62" s="442"/>
      <c r="AK62" s="431"/>
      <c r="AN62" s="430"/>
    </row>
    <row r="63" spans="1:40" x14ac:dyDescent="0.3">
      <c r="B63" s="358"/>
      <c r="C63" s="357"/>
      <c r="D63" s="357"/>
      <c r="E63" s="357"/>
      <c r="F63" s="357"/>
      <c r="G63" s="448"/>
      <c r="H63" s="449"/>
      <c r="I63" s="449"/>
      <c r="K63" s="454"/>
      <c r="L63" s="454"/>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448"/>
      <c r="H64" s="449"/>
      <c r="I64" s="449"/>
      <c r="K64" s="454"/>
      <c r="L64" s="454"/>
      <c r="M64" s="442"/>
      <c r="N64" s="442"/>
      <c r="O64" s="442"/>
      <c r="P64" s="442"/>
      <c r="Q64" s="442"/>
      <c r="R64" s="442"/>
      <c r="S64" s="442"/>
      <c r="T64" s="442"/>
      <c r="U64" s="442"/>
      <c r="V64" s="442"/>
      <c r="X64" s="441"/>
      <c r="Y64" s="442"/>
      <c r="Z64" s="442"/>
      <c r="AA64" s="442"/>
      <c r="AB64" s="442"/>
      <c r="AC64" s="442"/>
      <c r="AD64" s="442"/>
      <c r="AE64" s="442"/>
      <c r="AF64" s="442"/>
      <c r="AG64" s="442"/>
      <c r="AH64" s="442"/>
      <c r="AI64" s="442"/>
      <c r="AK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445"/>
      <c r="K66" s="441"/>
      <c r="L66" s="442"/>
      <c r="M66" s="442"/>
      <c r="N66" s="442"/>
      <c r="O66" s="442"/>
      <c r="P66" s="442"/>
      <c r="Q66" s="442"/>
      <c r="R66" s="442"/>
      <c r="S66" s="442"/>
      <c r="T66" s="442"/>
      <c r="U66" s="442"/>
      <c r="V66" s="442"/>
      <c r="X66" s="441"/>
      <c r="Y66" s="442"/>
      <c r="Z66" s="442"/>
      <c r="AA66" s="442"/>
      <c r="AB66" s="442"/>
      <c r="AC66" s="442"/>
      <c r="AD66" s="442"/>
      <c r="AE66" s="442"/>
      <c r="AF66" s="442"/>
      <c r="AG66" s="442"/>
      <c r="AH66" s="442"/>
      <c r="AI66" s="442"/>
      <c r="AK66" s="431"/>
      <c r="AN66" s="430"/>
    </row>
    <row r="67" spans="2:40" x14ac:dyDescent="0.3">
      <c r="B67" s="358"/>
      <c r="C67" s="357"/>
      <c r="D67" s="357"/>
      <c r="E67" s="357"/>
      <c r="F67" s="357"/>
      <c r="G67" s="357"/>
      <c r="H67" s="357"/>
      <c r="I67" s="357"/>
      <c r="J67" s="357"/>
      <c r="K67" s="445"/>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B68" s="349"/>
      <c r="C68" s="349"/>
      <c r="D68" s="349"/>
      <c r="E68" s="349"/>
      <c r="F68" s="349"/>
      <c r="G68" s="349"/>
      <c r="H68" s="349"/>
      <c r="I68" s="349"/>
      <c r="J68" s="349"/>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O72" s="431"/>
      <c r="P72" s="431"/>
    </row>
    <row r="73" spans="2:40" x14ac:dyDescent="0.3">
      <c r="B73" s="446"/>
      <c r="C73" s="435"/>
      <c r="D73" s="435"/>
      <c r="E73" s="435"/>
      <c r="F73" s="435"/>
      <c r="G73" s="435"/>
      <c r="H73" s="435"/>
      <c r="I73" s="435"/>
      <c r="J73" s="435"/>
      <c r="K73" s="435"/>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sheetData>
  <mergeCells count="1">
    <mergeCell ref="B19:H33"/>
  </mergeCells>
  <pageMargins left="0" right="0" top="0" bottom="0" header="0" footer="0"/>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BC143"/>
  </sheetPr>
  <dimension ref="A1:AN135"/>
  <sheetViews>
    <sheetView topLeftCell="D4" zoomScale="73" zoomScaleNormal="60" zoomScalePageLayoutView="200" workbookViewId="0">
      <selection activeCell="K29" sqref="K29"/>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511" t="s">
        <v>1130</v>
      </c>
      <c r="F44" s="358" t="s">
        <v>1131</v>
      </c>
      <c r="G44" s="511" t="s">
        <v>850</v>
      </c>
      <c r="H44" s="358" t="str">
        <f>C58</f>
        <v>Ridesourcing - car - ICE (central estimate)</v>
      </c>
      <c r="I44" s="358" t="str">
        <f>C59</f>
        <v>Ridesourcing - car - HEV (central estimate)</v>
      </c>
      <c r="J44" s="433" t="str">
        <f>C60</f>
        <v>Ridesourcing - car - BEV (two packs) (central estimate)</v>
      </c>
      <c r="K44" s="433" t="str">
        <f>C61</f>
        <v>Ridesourcing - car - FCEV (central estimate)</v>
      </c>
      <c r="L44" s="430" t="str">
        <f>C62</f>
        <v>Private car - ICE (central estimate)</v>
      </c>
      <c r="N44" s="430"/>
      <c r="O44" s="441"/>
      <c r="P44" s="442"/>
      <c r="Q44" s="442"/>
      <c r="R44" s="358" t="s">
        <v>1130</v>
      </c>
      <c r="S44" s="358" t="s">
        <v>850</v>
      </c>
      <c r="T44" s="442"/>
      <c r="U44" s="509" t="str">
        <f>Figure_2_GHG_per_pkm_General!B60</f>
        <v>Deadheading, % of total vkm (excluding commute)</v>
      </c>
      <c r="V44" s="442"/>
      <c r="X44" s="441"/>
      <c r="Y44" s="442"/>
      <c r="Z44" s="442"/>
      <c r="AA44" s="442"/>
      <c r="AB44" s="442"/>
      <c r="AC44" s="442"/>
      <c r="AD44" s="442"/>
      <c r="AE44" s="442"/>
      <c r="AF44" s="442"/>
      <c r="AG44" s="442"/>
      <c r="AH44" s="442"/>
      <c r="AI44" s="442"/>
      <c r="AK44" s="431"/>
      <c r="AN44" s="430"/>
    </row>
    <row r="45" spans="1:40" x14ac:dyDescent="0.3">
      <c r="A45" s="430" t="str">
        <f>'0_Total'!BY2</f>
        <v>Ridesourcing - car - BEV (two packs) (low carbon intensity of electricity in use phase)</v>
      </c>
      <c r="B45" s="470" t="s">
        <v>1173</v>
      </c>
      <c r="C45" s="358" t="s">
        <v>1171</v>
      </c>
      <c r="D45" s="357">
        <f ca="1">HLOOKUP($A45,'0_Total'!$D$2:$ED$117,ROW('0_Total'!$A$99)-ROW('0_Total'!$A$2)+1,FALSE)+
HLOOKUP($A45,'0_Total'!$D$2:$ED$117,ROW('0_Total'!$A$100)-ROW('0_Total'!$A$2)+1,FALSE)</f>
        <v>62.392606772849085</v>
      </c>
      <c r="E45" s="508">
        <f>R45*(1-U45)</f>
        <v>0</v>
      </c>
      <c r="F45" s="357">
        <f>HLOOKUP($A45,'0_Total'!$D$2:$ED$117,ROW('0_Total'!$A$103)-ROW('0_Total'!$A$2)+1,FALSE)</f>
        <v>19.94644896507814</v>
      </c>
      <c r="G45" s="508">
        <f>S45+U45*R45</f>
        <v>0</v>
      </c>
      <c r="H45" s="448"/>
      <c r="I45" s="448"/>
      <c r="J45" s="448">
        <f t="shared" ref="J45:J50" ca="1" si="0">J$60</f>
        <v>112.8343779233935</v>
      </c>
      <c r="K45" s="448"/>
      <c r="L45" s="454">
        <f ca="1">L$62</f>
        <v>161.97203672281782</v>
      </c>
      <c r="N45" s="430"/>
      <c r="O45" s="454"/>
      <c r="P45" s="442"/>
      <c r="Q45" s="442"/>
      <c r="R45" s="357">
        <f>HLOOKUP($A45,'0_Total'!$D$2:$ED$117,ROW('0_Total'!$A$101)-ROW('0_Total'!$A$2)+1,FALSE)</f>
        <v>0</v>
      </c>
      <c r="S45" s="357">
        <f>HLOOKUP($A45,'0_Total'!$D$2:$ED$117,ROW('0_Total'!$A$102)-ROW('0_Total'!$A$2)+1,FALSE)</f>
        <v>0</v>
      </c>
      <c r="T45" s="442"/>
      <c r="U45" s="510">
        <f>Tech_Spec_TNC!$P$14</f>
        <v>0.38588235294117645</v>
      </c>
      <c r="V45" s="442"/>
      <c r="X45" s="441"/>
      <c r="Y45" s="442"/>
      <c r="Z45" s="442"/>
      <c r="AA45" s="442"/>
      <c r="AB45" s="442"/>
      <c r="AC45" s="442"/>
      <c r="AD45" s="442"/>
      <c r="AE45" s="442"/>
      <c r="AF45" s="442"/>
      <c r="AG45" s="442"/>
      <c r="AH45" s="442"/>
      <c r="AI45" s="442"/>
      <c r="AK45" s="431"/>
      <c r="AN45" s="430"/>
    </row>
    <row r="46" spans="1:40" x14ac:dyDescent="0.3">
      <c r="A46" s="430" t="str">
        <f>'0_Total'!CA2</f>
        <v>Ridesourcing - car - BEV (two packs) (25% smaller battery)</v>
      </c>
      <c r="B46" s="470"/>
      <c r="C46" s="358" t="s">
        <v>1160</v>
      </c>
      <c r="D46" s="357">
        <f ca="1">HLOOKUP($A46,'0_Total'!$D$2:$ED$117,ROW('0_Total'!$A$99)-ROW('0_Total'!$A$2)+1,FALSE)+
HLOOKUP($A46,'0_Total'!$D$2:$ED$117,ROW('0_Total'!$A$100)-ROW('0_Total'!$A$2)+1,FALSE)</f>
        <v>52.24529688407759</v>
      </c>
      <c r="E46" s="508">
        <f t="shared" ref="E46:E56" si="1">R46*(1-U46)</f>
        <v>15.896620844048607</v>
      </c>
      <c r="F46" s="357">
        <f>HLOOKUP($A46,'0_Total'!$D$2:$ED$117,ROW('0_Total'!$A$103)-ROW('0_Total'!$A$2)+1,FALSE)</f>
        <v>19.94644896507814</v>
      </c>
      <c r="G46" s="508">
        <f t="shared" ref="G46:G56" si="2">S46+U46*R46</f>
        <v>14.598701341417666</v>
      </c>
      <c r="H46" s="448"/>
      <c r="I46" s="448"/>
      <c r="J46" s="448">
        <f t="shared" ca="1" si="0"/>
        <v>112.8343779233935</v>
      </c>
      <c r="K46" s="448"/>
      <c r="L46" s="454">
        <f t="shared" ref="L46:L56" ca="1" si="3">L$62</f>
        <v>161.97203672281782</v>
      </c>
      <c r="N46" s="430"/>
      <c r="O46" s="454"/>
      <c r="P46" s="442"/>
      <c r="Q46" s="442"/>
      <c r="R46" s="357">
        <f>HLOOKUP($A46,'0_Total'!$D$2:$ED$117,ROW('0_Total'!$A$101)-ROW('0_Total'!$A$2)+1,FALSE)</f>
        <v>25.885302140692175</v>
      </c>
      <c r="S46" s="357">
        <f>HLOOKUP($A46,'0_Total'!$D$2:$ED$117,ROW('0_Total'!$A$102)-ROW('0_Total'!$A$2)+1,FALSE)</f>
        <v>4.6100200447740969</v>
      </c>
      <c r="T46" s="442"/>
      <c r="U46" s="509">
        <f t="shared" ref="U46:U56" si="4">U45</f>
        <v>0.38588235294117645</v>
      </c>
      <c r="V46" s="442"/>
      <c r="X46" s="441"/>
      <c r="Y46" s="442"/>
      <c r="Z46" s="442"/>
      <c r="AA46" s="442"/>
      <c r="AB46" s="442"/>
      <c r="AC46" s="442"/>
      <c r="AD46" s="442"/>
      <c r="AE46" s="442"/>
      <c r="AF46" s="442"/>
      <c r="AG46" s="442"/>
      <c r="AH46" s="442"/>
      <c r="AI46" s="442"/>
      <c r="AK46" s="431"/>
      <c r="AN46" s="430"/>
    </row>
    <row r="47" spans="1:40" x14ac:dyDescent="0.3">
      <c r="A47" s="430" t="str">
        <f>'0_Total'!BZ2</f>
        <v>Ridesourcing - car - BEV (two packs) (Lower carbon intensity of battery manufacturing)</v>
      </c>
      <c r="B47" s="470"/>
      <c r="C47" s="358" t="s">
        <v>1161</v>
      </c>
      <c r="D47" s="357">
        <f ca="1">HLOOKUP($A47,'0_Total'!$D$2:$ED$117,ROW('0_Total'!$A$99)-ROW('0_Total'!$A$2)+1,FALSE)+
HLOOKUP($A47,'0_Total'!$D$2:$ED$117,ROW('0_Total'!$A$100)-ROW('0_Total'!$A$2)+1,FALSE)</f>
        <v>53.316347470114685</v>
      </c>
      <c r="E47" s="508">
        <f t="shared" si="1"/>
        <v>15.896620844048607</v>
      </c>
      <c r="F47" s="357">
        <f>HLOOKUP($A47,'0_Total'!$D$2:$ED$117,ROW('0_Total'!$A$103)-ROW('0_Total'!$A$2)+1,FALSE)</f>
        <v>19.94644896507814</v>
      </c>
      <c r="G47" s="508">
        <f t="shared" si="2"/>
        <v>14.598701341417666</v>
      </c>
      <c r="H47" s="448"/>
      <c r="I47" s="448"/>
      <c r="J47" s="448">
        <f t="shared" ca="1" si="0"/>
        <v>112.8343779233935</v>
      </c>
      <c r="K47" s="448"/>
      <c r="L47" s="454">
        <f t="shared" ca="1" si="3"/>
        <v>161.97203672281782</v>
      </c>
      <c r="N47" s="430"/>
      <c r="O47" s="454"/>
      <c r="P47" s="442"/>
      <c r="Q47" s="442"/>
      <c r="R47" s="357">
        <f>HLOOKUP($A47,'0_Total'!$D$2:$ED$117,ROW('0_Total'!$A$101)-ROW('0_Total'!$A$2)+1,FALSE)</f>
        <v>25.885302140692175</v>
      </c>
      <c r="S47" s="357">
        <f>HLOOKUP($A47,'0_Total'!$D$2:$ED$117,ROW('0_Total'!$A$102)-ROW('0_Total'!$A$2)+1,FALSE)</f>
        <v>4.6100200447740969</v>
      </c>
      <c r="T47" s="442"/>
      <c r="U47" s="509">
        <f t="shared" si="4"/>
        <v>0.38588235294117645</v>
      </c>
      <c r="V47" s="442"/>
      <c r="X47" s="441"/>
      <c r="Y47" s="442"/>
      <c r="Z47" s="442"/>
      <c r="AA47" s="442"/>
      <c r="AB47" s="442"/>
      <c r="AC47" s="442"/>
      <c r="AD47" s="442"/>
      <c r="AE47" s="442"/>
      <c r="AF47" s="442"/>
      <c r="AG47" s="442"/>
      <c r="AH47" s="442"/>
      <c r="AI47" s="442"/>
      <c r="AK47" s="431"/>
      <c r="AN47" s="430"/>
    </row>
    <row r="48" spans="1:40" x14ac:dyDescent="0.3">
      <c r="A48" s="430" t="str">
        <f>'0_Total'!CB2</f>
        <v>Ridesourcing - car - BEV (two packs) (25% larger battery)</v>
      </c>
      <c r="B48" s="470"/>
      <c r="C48" s="358" t="s">
        <v>1162</v>
      </c>
      <c r="D48" s="357">
        <f ca="1">HLOOKUP($A48,'0_Total'!$D$2:$ED$117,ROW('0_Total'!$A$99)-ROW('0_Total'!$A$2)+1,FALSE)+
HLOOKUP($A48,'0_Total'!$D$2:$ED$117,ROW('0_Total'!$A$100)-ROW('0_Total'!$A$2)+1,FALSE)</f>
        <v>72.539916661620552</v>
      </c>
      <c r="E48" s="508">
        <f t="shared" si="1"/>
        <v>15.896620844048607</v>
      </c>
      <c r="F48" s="357">
        <f>HLOOKUP($A48,'0_Total'!$D$2:$ED$117,ROW('0_Total'!$A$103)-ROW('0_Total'!$A$2)+1,FALSE)</f>
        <v>19.94644896507814</v>
      </c>
      <c r="G48" s="508">
        <f t="shared" si="2"/>
        <v>14.598701341417666</v>
      </c>
      <c r="H48" s="448"/>
      <c r="I48" s="448"/>
      <c r="J48" s="448">
        <f t="shared" ca="1" si="0"/>
        <v>112.8343779233935</v>
      </c>
      <c r="K48" s="448"/>
      <c r="L48" s="454">
        <f t="shared" ca="1" si="3"/>
        <v>161.97203672281782</v>
      </c>
      <c r="N48" s="430"/>
      <c r="O48" s="454"/>
      <c r="P48" s="442"/>
      <c r="Q48" s="442"/>
      <c r="R48" s="357">
        <f>HLOOKUP($A48,'0_Total'!$D$2:$ED$117,ROW('0_Total'!$A$101)-ROW('0_Total'!$A$2)+1,FALSE)</f>
        <v>25.885302140692175</v>
      </c>
      <c r="S48" s="357">
        <f>HLOOKUP($A48,'0_Total'!$D$2:$ED$117,ROW('0_Total'!$A$102)-ROW('0_Total'!$A$2)+1,FALSE)</f>
        <v>4.6100200447740969</v>
      </c>
      <c r="T48" s="442"/>
      <c r="U48" s="509">
        <f t="shared" si="4"/>
        <v>0.38588235294117645</v>
      </c>
      <c r="V48" s="442"/>
      <c r="X48" s="441"/>
      <c r="Y48" s="442"/>
      <c r="Z48" s="442"/>
      <c r="AA48" s="442"/>
      <c r="AB48" s="442"/>
      <c r="AC48" s="442"/>
      <c r="AD48" s="442"/>
      <c r="AE48" s="442"/>
      <c r="AF48" s="442"/>
      <c r="AG48" s="442"/>
      <c r="AH48" s="442"/>
      <c r="AI48" s="442"/>
      <c r="AK48" s="431"/>
      <c r="AN48" s="430"/>
    </row>
    <row r="49" spans="1:40" x14ac:dyDescent="0.3">
      <c r="A49" s="430" t="str">
        <f>'0_Total'!CW2</f>
        <v>Ridesourcing - Large car - BEV (two packs)</v>
      </c>
      <c r="B49" s="470"/>
      <c r="C49" s="466" t="s">
        <v>1163</v>
      </c>
      <c r="D49" s="357">
        <f ca="1">HLOOKUP($A49,'0_Total'!$D$2:$ED$117,ROW('0_Total'!$A$99)-ROW('0_Total'!$A$2)+1,FALSE)+
HLOOKUP($A49,'0_Total'!$D$2:$ED$117,ROW('0_Total'!$A$100)-ROW('0_Total'!$A$2)+1,FALSE)</f>
        <v>63.756462298653886</v>
      </c>
      <c r="E49" s="508">
        <f t="shared" si="1"/>
        <v>16.711049776847602</v>
      </c>
      <c r="F49" s="357">
        <f>HLOOKUP($A49,'0_Total'!$D$2:$ED$117,ROW('0_Total'!$A$103)-ROW('0_Total'!$A$2)+1,FALSE)</f>
        <v>21.678184387598165</v>
      </c>
      <c r="G49" s="508">
        <f t="shared" si="2"/>
        <v>15.346634180124912</v>
      </c>
      <c r="H49" s="448"/>
      <c r="I49" s="448"/>
      <c r="J49" s="448">
        <f t="shared" ca="1" si="0"/>
        <v>112.8343779233935</v>
      </c>
      <c r="K49" s="448"/>
      <c r="L49" s="454">
        <f t="shared" ca="1" si="3"/>
        <v>161.97203672281782</v>
      </c>
      <c r="N49" s="430"/>
      <c r="O49" s="454"/>
      <c r="P49" s="442"/>
      <c r="Q49" s="442"/>
      <c r="R49" s="357">
        <f>HLOOKUP($A49,'0_Total'!$D$2:$ED$117,ROW('0_Total'!$A$101)-ROW('0_Total'!$A$2)+1,FALSE)</f>
        <v>27.211479521686709</v>
      </c>
      <c r="S49" s="357">
        <f>HLOOKUP($A49,'0_Total'!$D$2:$ED$117,ROW('0_Total'!$A$102)-ROW('0_Total'!$A$2)+1,FALSE)</f>
        <v>4.8462044352858049</v>
      </c>
      <c r="T49" s="442"/>
      <c r="U49" s="509">
        <f t="shared" si="4"/>
        <v>0.38588235294117645</v>
      </c>
      <c r="V49" s="442"/>
      <c r="X49" s="441"/>
      <c r="Y49" s="442"/>
      <c r="Z49" s="442"/>
      <c r="AA49" s="442"/>
      <c r="AB49" s="442"/>
      <c r="AC49" s="442"/>
      <c r="AD49" s="442"/>
      <c r="AE49" s="442"/>
      <c r="AF49" s="442"/>
      <c r="AG49" s="442"/>
      <c r="AH49" s="442"/>
      <c r="AI49" s="442"/>
      <c r="AK49" s="431"/>
      <c r="AN49" s="430"/>
    </row>
    <row r="50" spans="1:40" x14ac:dyDescent="0.3">
      <c r="A50" s="430" t="str">
        <f>'0_Total'!BX2</f>
        <v>Ridesourcing - car - BEV (two packs) (high carbon intensity of electricity in use phase)</v>
      </c>
      <c r="B50" s="470"/>
      <c r="C50" s="358" t="s">
        <v>1166</v>
      </c>
      <c r="D50" s="357">
        <f ca="1">HLOOKUP($A50,'0_Total'!$D$2:$ED$117,ROW('0_Total'!$A$99)-ROW('0_Total'!$A$2)+1,FALSE)+
HLOOKUP($A50,'0_Total'!$D$2:$ED$117,ROW('0_Total'!$A$100)-ROW('0_Total'!$A$2)+1,FALSE)</f>
        <v>62.392606772849085</v>
      </c>
      <c r="E50" s="508">
        <f t="shared" si="1"/>
        <v>130.39286532780841</v>
      </c>
      <c r="F50" s="357">
        <f>HLOOKUP($A50,'0_Total'!$D$2:$ED$117,ROW('0_Total'!$A$103)-ROW('0_Total'!$A$2)+1,FALSE)</f>
        <v>19.94644896507814</v>
      </c>
      <c r="G50" s="508">
        <f t="shared" si="2"/>
        <v>119.74661260698235</v>
      </c>
      <c r="H50" s="448"/>
      <c r="I50" s="448"/>
      <c r="J50" s="448">
        <f t="shared" ca="1" si="0"/>
        <v>112.8343779233935</v>
      </c>
      <c r="K50" s="448"/>
      <c r="L50" s="454">
        <f t="shared" ca="1" si="3"/>
        <v>161.97203672281782</v>
      </c>
      <c r="N50" s="430"/>
      <c r="O50" s="454"/>
      <c r="P50" s="442"/>
      <c r="Q50" s="442"/>
      <c r="R50" s="357">
        <f>HLOOKUP($A50,'0_Total'!$D$2:$ED$117,ROW('0_Total'!$A$101)-ROW('0_Total'!$A$2)+1,FALSE)</f>
        <v>212.32554698972632</v>
      </c>
      <c r="S50" s="357">
        <f>HLOOKUP($A50,'0_Total'!$D$2:$ED$117,ROW('0_Total'!$A$102)-ROW('0_Total'!$A$2)+1,FALSE)</f>
        <v>37.813930945064442</v>
      </c>
      <c r="T50" s="442"/>
      <c r="U50" s="509">
        <f t="shared" si="4"/>
        <v>0.38588235294117645</v>
      </c>
      <c r="V50" s="442"/>
      <c r="X50" s="441"/>
      <c r="Y50" s="442"/>
      <c r="Z50" s="442"/>
      <c r="AA50" s="442"/>
      <c r="AB50" s="442"/>
      <c r="AC50" s="442"/>
      <c r="AD50" s="442"/>
      <c r="AE50" s="442"/>
      <c r="AF50" s="442"/>
      <c r="AG50" s="442"/>
      <c r="AH50" s="442"/>
      <c r="AI50" s="442"/>
      <c r="AK50" s="431"/>
      <c r="AN50" s="430"/>
    </row>
    <row r="51" spans="1:40" x14ac:dyDescent="0.3">
      <c r="A51" s="430" t="str">
        <f>'0_Total'!CE2</f>
        <v>Ridesourcing car - FCEV (hydrogen from electrolysis, 100% renewable electricity)</v>
      </c>
      <c r="B51" s="470" t="s">
        <v>1158</v>
      </c>
      <c r="C51" s="469" t="s">
        <v>1170</v>
      </c>
      <c r="D51" s="357">
        <f ca="1">HLOOKUP($A51,'0_Total'!$D$2:$ED$117,ROW('0_Total'!$A$99)-ROW('0_Total'!$A$2)+1,FALSE)+
HLOOKUP($A51,'0_Total'!$D$2:$ED$117,ROW('0_Total'!$A$100)-ROW('0_Total'!$A$2)+1,FALSE)</f>
        <v>31.795308597258526</v>
      </c>
      <c r="E51" s="508">
        <f t="shared" si="1"/>
        <v>0.80973044388663618</v>
      </c>
      <c r="F51" s="357">
        <f>HLOOKUP($A51,'0_Total'!$D$2:$ED$117,ROW('0_Total'!$A$103)-ROW('0_Total'!$A$2)+1,FALSE)</f>
        <v>18.023609971415254</v>
      </c>
      <c r="G51" s="508">
        <f t="shared" si="2"/>
        <v>0.74361796971336314</v>
      </c>
      <c r="H51" s="448"/>
      <c r="I51" s="448"/>
      <c r="J51" s="448"/>
      <c r="K51" s="448">
        <f ca="1">K$61</f>
        <v>207.18333604239646</v>
      </c>
      <c r="L51" s="454">
        <f t="shared" ca="1" si="3"/>
        <v>161.97203672281782</v>
      </c>
      <c r="N51" s="430"/>
      <c r="O51" s="454"/>
      <c r="P51" s="442"/>
      <c r="Q51" s="442"/>
      <c r="R51" s="357">
        <f>HLOOKUP($A51,'0_Total'!$D$2:$ED$117,ROW('0_Total'!$A$101)-ROW('0_Total'!$A$2)+1,FALSE)</f>
        <v>1.3185265848728749</v>
      </c>
      <c r="S51" s="357">
        <f>HLOOKUP($A51,'0_Total'!$D$2:$ED$117,ROW('0_Total'!$A$102)-ROW('0_Total'!$A$2)+1,FALSE)</f>
        <v>0.23482182872712448</v>
      </c>
      <c r="T51" s="442"/>
      <c r="U51" s="509">
        <f t="shared" si="4"/>
        <v>0.38588235294117645</v>
      </c>
      <c r="V51" s="442"/>
      <c r="X51" s="441"/>
      <c r="Y51" s="442"/>
      <c r="Z51" s="442"/>
      <c r="AA51" s="442"/>
      <c r="AB51" s="442"/>
      <c r="AC51" s="442"/>
      <c r="AD51" s="442"/>
      <c r="AE51" s="442"/>
      <c r="AF51" s="442"/>
      <c r="AG51" s="442"/>
      <c r="AH51" s="442"/>
      <c r="AI51" s="442"/>
      <c r="AK51" s="431"/>
      <c r="AN51" s="430"/>
    </row>
    <row r="52" spans="1:40" x14ac:dyDescent="0.3">
      <c r="A52" s="430" t="str">
        <f>'0_Total'!CX2</f>
        <v>Ridesourcing - Large car - FCEV</v>
      </c>
      <c r="B52" s="470"/>
      <c r="C52" s="466" t="s">
        <v>1169</v>
      </c>
      <c r="D52" s="357">
        <f ca="1">HLOOKUP($A52,'0_Total'!$D$2:$ED$117,ROW('0_Total'!$A$99)-ROW('0_Total'!$A$2)+1,FALSE)+
HLOOKUP($A52,'0_Total'!$D$2:$ED$117,ROW('0_Total'!$A$100)-ROW('0_Total'!$A$2)+1,FALSE)</f>
        <v>40.869616231624043</v>
      </c>
      <c r="E52" s="508">
        <f t="shared" si="1"/>
        <v>91.434116609107221</v>
      </c>
      <c r="F52" s="357">
        <f>HLOOKUP($A52,'0_Total'!$D$2:$ED$117,ROW('0_Total'!$A$103)-ROW('0_Total'!$A$2)+1,FALSE)</f>
        <v>23.30276002216106</v>
      </c>
      <c r="G52" s="508">
        <f t="shared" si="2"/>
        <v>83.968748697459418</v>
      </c>
      <c r="H52" s="448"/>
      <c r="I52" s="448"/>
      <c r="J52" s="448"/>
      <c r="K52" s="448">
        <f ca="1">K$61</f>
        <v>207.18333604239646</v>
      </c>
      <c r="L52" s="454">
        <f t="shared" ca="1" si="3"/>
        <v>161.97203672281782</v>
      </c>
      <c r="N52" s="430"/>
      <c r="O52" s="454"/>
      <c r="P52" s="442"/>
      <c r="Q52" s="442"/>
      <c r="R52" s="357">
        <f>HLOOKUP($A52,'0_Total'!$D$2:$ED$117,ROW('0_Total'!$A$101)-ROW('0_Total'!$A$2)+1,FALSE)</f>
        <v>148.88697148992554</v>
      </c>
      <c r="S52" s="357">
        <f>HLOOKUP($A52,'0_Total'!$D$2:$ED$117,ROW('0_Total'!$A$102)-ROW('0_Total'!$A$2)+1,FALSE)</f>
        <v>26.5158938166411</v>
      </c>
      <c r="T52" s="442"/>
      <c r="U52" s="509">
        <f t="shared" si="4"/>
        <v>0.38588235294117645</v>
      </c>
      <c r="V52" s="442"/>
      <c r="X52" s="441"/>
      <c r="Y52" s="442"/>
      <c r="Z52" s="442"/>
      <c r="AA52" s="442"/>
      <c r="AB52" s="442"/>
      <c r="AC52" s="442"/>
      <c r="AD52" s="442"/>
      <c r="AE52" s="442"/>
      <c r="AF52" s="442"/>
      <c r="AG52" s="442"/>
      <c r="AH52" s="442"/>
      <c r="AI52" s="442"/>
      <c r="AK52" s="431"/>
      <c r="AN52" s="430"/>
    </row>
    <row r="53" spans="1:40" x14ac:dyDescent="0.3">
      <c r="A53" s="430" t="str">
        <f>'0_Total'!CD2</f>
        <v>Ridesourcing car - FCEV (hydrogen from electrolysis, 100% natural gas electricity)</v>
      </c>
      <c r="B53" s="470"/>
      <c r="C53" s="469" t="s">
        <v>1167</v>
      </c>
      <c r="D53" s="357">
        <f ca="1">HLOOKUP($A53,'0_Total'!$D$2:$ED$117,ROW('0_Total'!$A$99)-ROW('0_Total'!$A$2)+1,FALSE)+
HLOOKUP($A53,'0_Total'!$D$2:$ED$117,ROW('0_Total'!$A$100)-ROW('0_Total'!$A$2)+1,FALSE)</f>
        <v>31.795308597258526</v>
      </c>
      <c r="E53" s="508">
        <f t="shared" si="1"/>
        <v>157.53994996958002</v>
      </c>
      <c r="F53" s="357">
        <f>HLOOKUP($A53,'0_Total'!$D$2:$ED$117,ROW('0_Total'!$A$103)-ROW('0_Total'!$A$2)+1,FALSE)</f>
        <v>18.023609971415254</v>
      </c>
      <c r="G53" s="508">
        <f t="shared" si="2"/>
        <v>144.67720539543538</v>
      </c>
      <c r="H53" s="448"/>
      <c r="I53" s="448"/>
      <c r="J53" s="448"/>
      <c r="K53" s="448">
        <f ca="1">K$61</f>
        <v>207.18333604239646</v>
      </c>
      <c r="L53" s="454">
        <f t="shared" ca="1" si="3"/>
        <v>161.97203672281782</v>
      </c>
      <c r="N53" s="430"/>
      <c r="O53" s="454"/>
      <c r="P53" s="442"/>
      <c r="Q53" s="442"/>
      <c r="R53" s="357">
        <f>HLOOKUP($A53,'0_Total'!$D$2:$ED$117,ROW('0_Total'!$A$101)-ROW('0_Total'!$A$2)+1,FALSE)</f>
        <v>256.53056987383718</v>
      </c>
      <c r="S53" s="357">
        <f>HLOOKUP($A53,'0_Total'!$D$2:$ED$117,ROW('0_Total'!$A$102)-ROW('0_Total'!$A$2)+1,FALSE)</f>
        <v>45.686585491178214</v>
      </c>
      <c r="T53" s="442"/>
      <c r="U53" s="509">
        <f t="shared" si="4"/>
        <v>0.38588235294117645</v>
      </c>
      <c r="V53" s="442"/>
      <c r="X53" s="441"/>
      <c r="Y53" s="442"/>
      <c r="Z53" s="442"/>
      <c r="AA53" s="442"/>
      <c r="AB53" s="442"/>
      <c r="AC53" s="442"/>
      <c r="AD53" s="442"/>
      <c r="AE53" s="442"/>
      <c r="AF53" s="442"/>
      <c r="AG53" s="442"/>
      <c r="AH53" s="442"/>
      <c r="AI53" s="442"/>
      <c r="AK53" s="431"/>
      <c r="AN53" s="430"/>
    </row>
    <row r="54" spans="1:40" x14ac:dyDescent="0.3">
      <c r="A54" s="430" t="str">
        <f>'0_Total'!CF2</f>
        <v>Ridesourcing car - FCEV (hydrogen from electrolysis, global grid mix)</v>
      </c>
      <c r="B54" s="470"/>
      <c r="C54" s="469" t="s">
        <v>1168</v>
      </c>
      <c r="D54" s="357">
        <f ca="1">HLOOKUP($A54,'0_Total'!$D$2:$ED$117,ROW('0_Total'!$A$99)-ROW('0_Total'!$A$2)+1,FALSE)+
HLOOKUP($A54,'0_Total'!$D$2:$ED$117,ROW('0_Total'!$A$100)-ROW('0_Total'!$A$2)+1,FALSE)</f>
        <v>31.795308597258526</v>
      </c>
      <c r="E54" s="508">
        <f t="shared" si="1"/>
        <v>40.510467838209131</v>
      </c>
      <c r="F54" s="357">
        <f>HLOOKUP($A54,'0_Total'!$D$2:$ED$117,ROW('0_Total'!$A$103)-ROW('0_Total'!$A$2)+1,FALSE)</f>
        <v>18.023609971415254</v>
      </c>
      <c r="G54" s="508">
        <f t="shared" si="2"/>
        <v>37.202889027357649</v>
      </c>
      <c r="H54" s="448"/>
      <c r="I54" s="448"/>
      <c r="J54" s="448"/>
      <c r="K54" s="448">
        <f ca="1">K$61</f>
        <v>207.18333604239646</v>
      </c>
      <c r="L54" s="454">
        <f t="shared" ca="1" si="3"/>
        <v>161.97203672281782</v>
      </c>
      <c r="N54" s="430"/>
      <c r="O54" s="454"/>
      <c r="P54" s="442"/>
      <c r="Q54" s="442"/>
      <c r="R54" s="357">
        <f>HLOOKUP($A54,'0_Total'!$D$2:$ED$117,ROW('0_Total'!$A$101)-ROW('0_Total'!$A$2)+1,FALSE)</f>
        <v>65.96532119248613</v>
      </c>
      <c r="S54" s="357">
        <f>HLOOKUP($A54,'0_Total'!$D$2:$ED$117,ROW('0_Total'!$A$102)-ROW('0_Total'!$A$2)+1,FALSE)</f>
        <v>11.748035673080649</v>
      </c>
      <c r="T54" s="442"/>
      <c r="U54" s="509">
        <f t="shared" si="4"/>
        <v>0.38588235294117645</v>
      </c>
      <c r="V54" s="442"/>
      <c r="X54" s="441"/>
      <c r="Y54" s="442"/>
      <c r="Z54" s="442"/>
      <c r="AA54" s="442"/>
      <c r="AB54" s="442"/>
      <c r="AC54" s="442"/>
      <c r="AD54" s="442"/>
      <c r="AE54" s="442"/>
      <c r="AF54" s="442"/>
      <c r="AG54" s="442"/>
      <c r="AH54" s="442"/>
      <c r="AI54" s="442"/>
      <c r="AK54" s="431"/>
      <c r="AN54" s="430"/>
    </row>
    <row r="55" spans="1:40" x14ac:dyDescent="0.3">
      <c r="A55" s="430" t="str">
        <f>'0_Total'!CT2</f>
        <v>Ridesourcing - Large car - HEV</v>
      </c>
      <c r="B55" s="470" t="s">
        <v>1159</v>
      </c>
      <c r="C55" s="467" t="s">
        <v>1164</v>
      </c>
      <c r="D55" s="357">
        <f ca="1">HLOOKUP($A55,'0_Total'!$D$2:$ED$117,ROW('0_Total'!$A$99)-ROW('0_Total'!$A$2)+1,FALSE)+
HLOOKUP($A55,'0_Total'!$D$2:$ED$117,ROW('0_Total'!$A$100)-ROW('0_Total'!$A$2)+1,FALSE)</f>
        <v>30.418223691342909</v>
      </c>
      <c r="E55" s="508">
        <f t="shared" si="1"/>
        <v>116.48129047055288</v>
      </c>
      <c r="F55" s="357">
        <f>HLOOKUP($A55,'0_Total'!$D$2:$ED$117,ROW('0_Total'!$A$103)-ROW('0_Total'!$A$2)+1,FALSE)</f>
        <v>22.690408151349207</v>
      </c>
      <c r="G55" s="508">
        <f t="shared" si="2"/>
        <v>106.97088319113723</v>
      </c>
      <c r="H55" s="448"/>
      <c r="I55" s="448">
        <f ca="1">I$59</f>
        <v>218.75147129098434</v>
      </c>
      <c r="J55" s="448"/>
      <c r="K55" s="448"/>
      <c r="L55" s="454">
        <f t="shared" ca="1" si="3"/>
        <v>161.97203672281782</v>
      </c>
      <c r="N55" s="430"/>
      <c r="O55" s="454"/>
      <c r="P55" s="442"/>
      <c r="Q55" s="442"/>
      <c r="R55" s="357">
        <f>HLOOKUP($A55,'0_Total'!$D$2:$ED$117,ROW('0_Total'!$A$101)-ROW('0_Total'!$A$2)+1,FALSE)</f>
        <v>189.67259942522978</v>
      </c>
      <c r="S55" s="357">
        <f>HLOOKUP($A55,'0_Total'!$D$2:$ED$117,ROW('0_Total'!$A$102)-ROW('0_Total'!$A$2)+1,FALSE)</f>
        <v>33.779574236460334</v>
      </c>
      <c r="T55" s="442"/>
      <c r="U55" s="509">
        <f t="shared" si="4"/>
        <v>0.38588235294117645</v>
      </c>
      <c r="V55" s="442"/>
      <c r="X55" s="441"/>
      <c r="Y55" s="442"/>
      <c r="Z55" s="442"/>
      <c r="AA55" s="442"/>
      <c r="AB55" s="442"/>
      <c r="AC55" s="442"/>
      <c r="AD55" s="442"/>
      <c r="AE55" s="442"/>
      <c r="AF55" s="442"/>
      <c r="AG55" s="442"/>
      <c r="AH55" s="442"/>
      <c r="AI55" s="442"/>
      <c r="AK55" s="431"/>
      <c r="AN55" s="430"/>
    </row>
    <row r="56" spans="1:40" x14ac:dyDescent="0.3">
      <c r="A56" s="430" t="str">
        <f>'0_Total'!CS2</f>
        <v>Ridesourcing - Large car - ICE</v>
      </c>
      <c r="B56" s="470"/>
      <c r="C56" s="468" t="s">
        <v>1165</v>
      </c>
      <c r="D56" s="357">
        <f ca="1">HLOOKUP($A56,'0_Total'!$D$2:$ED$117,ROW('0_Total'!$A$99)-ROW('0_Total'!$A$2)+1,FALSE)+
HLOOKUP($A56,'0_Total'!$D$2:$ED$117,ROW('0_Total'!$A$100)-ROW('0_Total'!$A$2)+1,FALSE)</f>
        <v>27.944997850049749</v>
      </c>
      <c r="E56" s="508">
        <f t="shared" si="1"/>
        <v>158.23211446451609</v>
      </c>
      <c r="F56" s="357">
        <f>HLOOKUP($A56,'0_Total'!$D$2:$ED$117,ROW('0_Total'!$A$103)-ROW('0_Total'!$A$2)+1,FALSE)</f>
        <v>22.221767899988556</v>
      </c>
      <c r="G56" s="508">
        <f t="shared" si="2"/>
        <v>145.31285638314125</v>
      </c>
      <c r="H56" s="448">
        <f ca="1">H$58</f>
        <v>275.94612396656066</v>
      </c>
      <c r="I56" s="448"/>
      <c r="J56" s="448"/>
      <c r="K56" s="448"/>
      <c r="L56" s="454">
        <f t="shared" ca="1" si="3"/>
        <v>161.97203672281782</v>
      </c>
      <c r="N56" s="430"/>
      <c r="O56" s="454"/>
      <c r="P56" s="442"/>
      <c r="Q56" s="442"/>
      <c r="R56" s="357">
        <f>HLOOKUP($A56,'0_Total'!$D$2:$ED$117,ROW('0_Total'!$A$101)-ROW('0_Total'!$A$2)+1,FALSE)</f>
        <v>257.65765765294765</v>
      </c>
      <c r="S56" s="357">
        <f>HLOOKUP($A56,'0_Total'!$D$2:$ED$117,ROW('0_Total'!$A$102)-ROW('0_Total'!$A$2)+1,FALSE)</f>
        <v>45.887313194709677</v>
      </c>
      <c r="T56" s="442"/>
      <c r="U56" s="509">
        <f t="shared" si="4"/>
        <v>0.38588235294117645</v>
      </c>
      <c r="V56" s="442"/>
      <c r="X56" s="441"/>
      <c r="Y56" s="442"/>
      <c r="Z56" s="442"/>
      <c r="AA56" s="442"/>
      <c r="AB56" s="442"/>
      <c r="AC56" s="442"/>
      <c r="AD56" s="442"/>
      <c r="AE56" s="442"/>
      <c r="AF56" s="442"/>
      <c r="AG56" s="442"/>
      <c r="AH56" s="442"/>
      <c r="AI56" s="442"/>
      <c r="AK56" s="431"/>
      <c r="AN56" s="430"/>
    </row>
    <row r="57" spans="1:40" x14ac:dyDescent="0.3">
      <c r="C57" s="358"/>
      <c r="D57" s="357"/>
      <c r="E57" s="357"/>
      <c r="F57" s="357"/>
      <c r="G57" s="357"/>
      <c r="H57" s="448"/>
      <c r="I57" s="449"/>
      <c r="J57" s="449"/>
      <c r="N57" s="430"/>
      <c r="O57" s="454"/>
      <c r="P57" s="442"/>
      <c r="Q57" s="442"/>
      <c r="R57" s="442"/>
      <c r="S57" s="442"/>
      <c r="T57" s="442"/>
      <c r="U57" s="442"/>
      <c r="V57" s="442"/>
      <c r="X57" s="441"/>
      <c r="Y57" s="442"/>
      <c r="Z57" s="442"/>
      <c r="AA57" s="442"/>
      <c r="AB57" s="442"/>
      <c r="AC57" s="442"/>
      <c r="AD57" s="442"/>
      <c r="AE57" s="442"/>
      <c r="AF57" s="442"/>
      <c r="AG57" s="442"/>
      <c r="AH57" s="442"/>
      <c r="AI57" s="442"/>
      <c r="AK57" s="431"/>
      <c r="AN57" s="430"/>
    </row>
    <row r="58" spans="1:40" x14ac:dyDescent="0.3">
      <c r="A58" s="430" t="str">
        <f>'0_Total'!BI2</f>
        <v>Ridesourcing - car - ICE</v>
      </c>
      <c r="C58" s="358" t="str">
        <f>A58&amp;" (central estimate)"</f>
        <v>Ridesourcing - car - ICE (central estimate)</v>
      </c>
      <c r="D58" s="357"/>
      <c r="E58" s="357"/>
      <c r="F58" s="357"/>
      <c r="G58" s="357"/>
      <c r="H58" s="444">
        <f ca="1">HLOOKUP($A58,'0_Total'!$D$2:$ED$117,ROW('0_Total'!$A$98)-ROW('0_Total'!$A$2)+1,FALSE)</f>
        <v>275.94612396656066</v>
      </c>
      <c r="J58" s="464"/>
      <c r="K58" s="464"/>
      <c r="N58" s="430"/>
      <c r="P58" s="442"/>
      <c r="Q58" s="442"/>
      <c r="R58" s="442"/>
      <c r="S58" s="442"/>
      <c r="T58" s="442"/>
      <c r="U58" s="442"/>
      <c r="V58" s="442"/>
      <c r="X58" s="441"/>
      <c r="Y58" s="442"/>
      <c r="Z58" s="442"/>
      <c r="AA58" s="442"/>
      <c r="AB58" s="442"/>
      <c r="AC58" s="442"/>
      <c r="AD58" s="442"/>
      <c r="AE58" s="442"/>
      <c r="AF58" s="442"/>
      <c r="AG58" s="442"/>
      <c r="AH58" s="442"/>
      <c r="AI58" s="442"/>
      <c r="AK58" s="431"/>
      <c r="AN58" s="430"/>
    </row>
    <row r="59" spans="1:40" ht="14.25" customHeight="1" x14ac:dyDescent="0.3">
      <c r="A59" s="430" t="str">
        <f>'0_Total'!BJ2</f>
        <v>Ridesourcing - car - HEV</v>
      </c>
      <c r="C59" s="358" t="str">
        <f>A59&amp;" (central estimate)"</f>
        <v>Ridesourcing - car - HEV (central estimate)</v>
      </c>
      <c r="D59" s="357"/>
      <c r="E59" s="357"/>
      <c r="F59" s="357"/>
      <c r="G59" s="357"/>
      <c r="H59" s="357"/>
      <c r="I59" s="444">
        <f ca="1">HLOOKUP($A59,'0_Total'!$D$2:$ED$117,ROW('0_Total'!$A$98)-ROW('0_Total'!$A$2)+1,FALSE)</f>
        <v>218.75147129098434</v>
      </c>
      <c r="J59" s="464"/>
      <c r="N59" s="430"/>
      <c r="O59" s="454"/>
      <c r="P59" s="442"/>
      <c r="Q59" s="442"/>
      <c r="R59" s="442"/>
      <c r="S59" s="442"/>
      <c r="T59" s="442"/>
      <c r="U59" s="442"/>
      <c r="V59" s="442"/>
      <c r="X59" s="441"/>
      <c r="Y59" s="442"/>
      <c r="Z59" s="442"/>
      <c r="AA59" s="442"/>
      <c r="AB59" s="442"/>
      <c r="AC59" s="442"/>
      <c r="AD59" s="442"/>
      <c r="AE59" s="442"/>
      <c r="AF59" s="442"/>
      <c r="AG59" s="442"/>
      <c r="AH59" s="442"/>
      <c r="AI59" s="442"/>
      <c r="AK59" s="431"/>
      <c r="AN59" s="430"/>
    </row>
    <row r="60" spans="1:40" x14ac:dyDescent="0.3">
      <c r="A60" s="430" t="str">
        <f>'0_Total'!CC2</f>
        <v>Ridesourcing - car - BEV (two packs)</v>
      </c>
      <c r="C60" s="358" t="str">
        <f>A60&amp;" (central estimate)"</f>
        <v>Ridesourcing - car - BEV (two packs) (central estimate)</v>
      </c>
      <c r="D60" s="357"/>
      <c r="E60" s="357"/>
      <c r="F60" s="357"/>
      <c r="G60" s="357"/>
      <c r="I60" s="444"/>
      <c r="J60" s="357">
        <f ca="1">HLOOKUP($A60,'0_Total'!$D$2:$ED$117,ROW('0_Total'!$A$98)-ROW('0_Total'!$A$2)+1,FALSE)</f>
        <v>112.8343779233935</v>
      </c>
      <c r="N60" s="430"/>
      <c r="P60" s="442"/>
      <c r="Q60" s="442"/>
      <c r="R60" s="442"/>
      <c r="S60" s="442"/>
      <c r="T60" s="442"/>
      <c r="U60" s="442"/>
      <c r="V60" s="442"/>
      <c r="X60" s="441"/>
      <c r="Y60" s="442"/>
      <c r="Z60" s="442"/>
      <c r="AA60" s="442"/>
      <c r="AB60" s="442"/>
      <c r="AC60" s="442"/>
      <c r="AD60" s="442"/>
      <c r="AE60" s="442"/>
      <c r="AF60" s="442"/>
      <c r="AG60" s="442"/>
      <c r="AH60" s="442"/>
      <c r="AI60" s="442"/>
      <c r="AK60" s="431"/>
      <c r="AN60" s="430"/>
    </row>
    <row r="61" spans="1:40" x14ac:dyDescent="0.3">
      <c r="A61" s="430" t="str">
        <f>'0_Total'!CG2</f>
        <v>Ridesourcing - car - FCEV</v>
      </c>
      <c r="C61" s="358" t="str">
        <f>A61&amp;" (central estimate)"</f>
        <v>Ridesourcing - car - FCEV (central estimate)</v>
      </c>
      <c r="D61" s="357"/>
      <c r="E61" s="357"/>
      <c r="F61" s="357"/>
      <c r="G61" s="357"/>
      <c r="H61" s="357"/>
      <c r="I61" s="444"/>
      <c r="K61" s="444">
        <f ca="1">HLOOKUP($A61,'0_Total'!$D$2:$ED$117,ROW('0_Total'!$A$98)-ROW('0_Total'!$A$2)+1,FALSE)</f>
        <v>207.18333604239646</v>
      </c>
      <c r="N61" s="430"/>
      <c r="O61" s="454"/>
      <c r="P61" s="442"/>
      <c r="Q61" s="442"/>
      <c r="R61" s="442"/>
      <c r="S61" s="442"/>
      <c r="T61" s="442"/>
      <c r="U61" s="442"/>
      <c r="V61" s="442"/>
      <c r="X61" s="441"/>
      <c r="Y61" s="442"/>
      <c r="Z61" s="442"/>
      <c r="AA61" s="442"/>
      <c r="AB61" s="442"/>
      <c r="AC61" s="442"/>
      <c r="AD61" s="442"/>
      <c r="AE61" s="442"/>
      <c r="AF61" s="442"/>
      <c r="AG61" s="442"/>
      <c r="AH61" s="442"/>
      <c r="AI61" s="442"/>
      <c r="AK61" s="431"/>
      <c r="AN61" s="430"/>
    </row>
    <row r="62" spans="1:40" x14ac:dyDescent="0.3">
      <c r="A62" s="430" t="str">
        <f>'0_Total'!AO2</f>
        <v>Private car - ICE</v>
      </c>
      <c r="C62" s="358" t="str">
        <f>A62&amp;" (central estimate)"</f>
        <v>Private car - ICE (central estimate)</v>
      </c>
      <c r="D62" s="357"/>
      <c r="E62" s="357"/>
      <c r="F62" s="357"/>
      <c r="G62" s="448"/>
      <c r="H62" s="449"/>
      <c r="I62" s="449"/>
      <c r="K62" s="444"/>
      <c r="L62" s="475">
        <f ca="1">HLOOKUP($A62,'0_Total'!$D$2:$ED$117,ROW('0_Total'!$A$98)-ROW('0_Total'!$A$2)+1,FALSE)</f>
        <v>161.97203672281782</v>
      </c>
      <c r="M62" s="442"/>
      <c r="N62" s="442"/>
      <c r="O62" s="442"/>
      <c r="P62" s="442"/>
      <c r="Q62" s="442"/>
      <c r="R62" s="442"/>
      <c r="S62" s="442"/>
      <c r="T62" s="442"/>
      <c r="U62" s="442"/>
      <c r="V62" s="442"/>
      <c r="X62" s="441"/>
      <c r="Y62" s="442"/>
      <c r="Z62" s="442"/>
      <c r="AA62" s="442"/>
      <c r="AB62" s="442"/>
      <c r="AC62" s="442"/>
      <c r="AD62" s="442"/>
      <c r="AE62" s="442"/>
      <c r="AF62" s="442"/>
      <c r="AG62" s="442"/>
      <c r="AH62" s="442"/>
      <c r="AI62" s="442"/>
      <c r="AK62" s="431"/>
      <c r="AN62" s="430"/>
    </row>
    <row r="63" spans="1:40" x14ac:dyDescent="0.3">
      <c r="B63" s="358"/>
      <c r="C63" s="357"/>
      <c r="D63" s="357"/>
      <c r="E63" s="357"/>
      <c r="F63" s="357"/>
      <c r="G63" s="448"/>
      <c r="H63" s="449"/>
      <c r="I63" s="449"/>
      <c r="K63" s="454"/>
      <c r="L63" s="454"/>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448"/>
      <c r="H64" s="449"/>
      <c r="I64" s="449"/>
      <c r="K64" s="454"/>
      <c r="L64" s="454"/>
      <c r="M64" s="442"/>
      <c r="N64" s="442"/>
      <c r="O64" s="442"/>
      <c r="P64" s="442"/>
      <c r="Q64" s="442"/>
      <c r="R64" s="442"/>
      <c r="S64" s="442"/>
      <c r="T64" s="442"/>
      <c r="U64" s="442"/>
      <c r="V64" s="442"/>
      <c r="X64" s="441"/>
      <c r="Y64" s="442"/>
      <c r="Z64" s="442"/>
      <c r="AA64" s="442"/>
      <c r="AB64" s="442"/>
      <c r="AC64" s="442"/>
      <c r="AD64" s="442"/>
      <c r="AE64" s="442"/>
      <c r="AF64" s="442"/>
      <c r="AG64" s="442"/>
      <c r="AH64" s="442"/>
      <c r="AI64" s="442"/>
      <c r="AK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445"/>
      <c r="K66" s="441"/>
      <c r="L66" s="442"/>
      <c r="M66" s="442"/>
      <c r="N66" s="442"/>
      <c r="O66" s="442"/>
      <c r="P66" s="442"/>
      <c r="Q66" s="442"/>
      <c r="R66" s="442"/>
      <c r="S66" s="442"/>
      <c r="T66" s="442"/>
      <c r="U66" s="442"/>
      <c r="V66" s="442"/>
      <c r="X66" s="441"/>
      <c r="Y66" s="442"/>
      <c r="Z66" s="442"/>
      <c r="AA66" s="442"/>
      <c r="AB66" s="442"/>
      <c r="AC66" s="442"/>
      <c r="AD66" s="442"/>
      <c r="AE66" s="442"/>
      <c r="AF66" s="442"/>
      <c r="AG66" s="442"/>
      <c r="AH66" s="442"/>
      <c r="AI66" s="442"/>
      <c r="AK66" s="431"/>
      <c r="AN66" s="430"/>
    </row>
    <row r="67" spans="2:40" x14ac:dyDescent="0.3">
      <c r="B67" s="358"/>
      <c r="C67" s="357"/>
      <c r="D67" s="357"/>
      <c r="E67" s="357"/>
      <c r="F67" s="357"/>
      <c r="G67" s="357"/>
      <c r="H67" s="357"/>
      <c r="I67" s="357"/>
      <c r="J67" s="357"/>
      <c r="K67" s="445"/>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B68" s="349"/>
      <c r="C68" s="349"/>
      <c r="D68" s="349"/>
      <c r="E68" s="349"/>
      <c r="F68" s="349"/>
      <c r="G68" s="349"/>
      <c r="H68" s="349"/>
      <c r="I68" s="349"/>
      <c r="J68" s="349"/>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O72" s="431"/>
      <c r="P72" s="431"/>
    </row>
    <row r="73" spans="2:40" x14ac:dyDescent="0.3">
      <c r="B73" s="446"/>
      <c r="C73" s="435"/>
      <c r="D73" s="435"/>
      <c r="E73" s="435"/>
      <c r="F73" s="435"/>
      <c r="G73" s="435"/>
      <c r="H73" s="435"/>
      <c r="I73" s="435"/>
      <c r="J73" s="435"/>
      <c r="K73" s="435"/>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sheetData>
  <mergeCells count="1">
    <mergeCell ref="B19:H33"/>
  </mergeCells>
  <pageMargins left="0" right="0" top="0" bottom="0" header="0" footer="0"/>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BC143"/>
  </sheetPr>
  <dimension ref="A1:AN135"/>
  <sheetViews>
    <sheetView topLeftCell="D8" zoomScale="73" zoomScaleNormal="60" zoomScalePageLayoutView="200" workbookViewId="0">
      <selection activeCell="C56" sqref="C56"/>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Figure_3_MJ_per_pkm_General!C12</f>
        <v>Energy consumption per pkm [MJ/pkm]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J38" s="596" t="s">
        <v>1386</v>
      </c>
      <c r="K38" s="597"/>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Ridesourcing - car - ICE (central estimate)</v>
      </c>
      <c r="I44" s="358" t="str">
        <f>C59</f>
        <v>Ridesourcing - car - HEV (central estimate)</v>
      </c>
      <c r="J44" s="433" t="str">
        <f>C60</f>
        <v>Ridesourcing - car - BEV (two packs) (central estimate)</v>
      </c>
      <c r="K44" s="433" t="str">
        <f>C61</f>
        <v>Ridesourcing - car - FCEV (central estimate)</v>
      </c>
      <c r="L44" s="430" t="str">
        <f>C62</f>
        <v>Private car - ICE (central estimate)</v>
      </c>
      <c r="N44" s="430"/>
      <c r="O44" s="441"/>
      <c r="P44" s="442"/>
      <c r="Q44" s="442"/>
      <c r="R44" s="358" t="s">
        <v>1130</v>
      </c>
      <c r="S44" s="358" t="s">
        <v>850</v>
      </c>
      <c r="T44" s="442"/>
      <c r="U44" s="509" t="str">
        <f>Figure_2_GHG_per_pkm_General!B60</f>
        <v>Deadheading, % of total vkm (excluding commute)</v>
      </c>
      <c r="V44" s="442"/>
      <c r="X44" s="441"/>
      <c r="Y44" s="442"/>
      <c r="Z44" s="442"/>
      <c r="AA44" s="442"/>
      <c r="AB44" s="442"/>
      <c r="AC44" s="442"/>
      <c r="AD44" s="442"/>
      <c r="AE44" s="442"/>
      <c r="AF44" s="442"/>
      <c r="AG44" s="442"/>
      <c r="AH44" s="442"/>
      <c r="AI44" s="442"/>
      <c r="AK44" s="431"/>
      <c r="AN44" s="430"/>
    </row>
    <row r="45" spans="1:40" s="465" customFormat="1" x14ac:dyDescent="0.3">
      <c r="A45" s="465" t="str">
        <f>'0_Total'!BY2</f>
        <v>Ridesourcing - car - BEV (two packs) (low carbon intensity of electricity in use phase)</v>
      </c>
      <c r="B45" s="477" t="s">
        <v>1173</v>
      </c>
      <c r="C45" s="358" t="s">
        <v>1171</v>
      </c>
      <c r="D45" s="450">
        <f ca="1">HLOOKUP($A45,'0_Total'!$D$2:$ED$117,ROW('0_Total'!$A$77)-ROW('0_Total'!$A$2)+1,FALSE)+
HLOOKUP($A45,'0_Total'!$D$2:$ED$117,ROW('0_Total'!$A$78)-ROW('0_Total'!$A$2)+1,FALSE)</f>
        <v>0.78717352341747082</v>
      </c>
      <c r="E45" s="512">
        <f>R45*(1-U45)</f>
        <v>0.46487330241753777</v>
      </c>
      <c r="F45" s="450">
        <f>HLOOKUP($A45,'0_Total'!$D$2:$ED$117,ROW('0_Total'!$A$81)-ROW('0_Total'!$A$2)+1,FALSE)</f>
        <v>5.8376242214088679E-2</v>
      </c>
      <c r="G45" s="512">
        <f>S45+U45*R45</f>
        <v>0.42691755500559248</v>
      </c>
      <c r="H45" s="452"/>
      <c r="I45" s="452"/>
      <c r="J45" s="452">
        <f t="shared" ref="J45:J50" ca="1" si="0">J$60</f>
        <v>3.0456599076638224</v>
      </c>
      <c r="K45" s="452"/>
      <c r="L45" s="465">
        <f ca="1">L$62</f>
        <v>2.1835613123627797</v>
      </c>
      <c r="R45" s="450">
        <f>HLOOKUP($A45,'0_Total'!$D$2:$ED$117,ROW('0_Total'!$A$79)-ROW('0_Total'!$A$2)+1,FALSE)</f>
        <v>0.75697759972204426</v>
      </c>
      <c r="S45" s="450">
        <f>HLOOKUP($A45,'0_Total'!$D$2:$ED$117,ROW('0_Total'!$A$80)-ROW('0_Total'!$A$2)+1,FALSE)</f>
        <v>0.13481325770108596</v>
      </c>
      <c r="U45" s="510">
        <f>Tech_Spec_TNC!$P$14</f>
        <v>0.38588235294117645</v>
      </c>
      <c r="X45" s="479"/>
      <c r="AK45" s="479"/>
    </row>
    <row r="46" spans="1:40" s="465" customFormat="1" x14ac:dyDescent="0.3">
      <c r="A46" s="465" t="str">
        <f>'0_Total'!CA2</f>
        <v>Ridesourcing - car - BEV (two packs) (25% smaller battery)</v>
      </c>
      <c r="B46" s="477"/>
      <c r="C46" s="478" t="s">
        <v>1160</v>
      </c>
      <c r="D46" s="450">
        <f ca="1">HLOOKUP($A46,'0_Total'!$D$2:$ED$117,ROW('0_Total'!$A$77)-ROW('0_Total'!$A$2)+1,FALSE)+
HLOOKUP($A46,'0_Total'!$D$2:$ED$117,ROW('0_Total'!$A$78)-ROW('0_Total'!$A$2)+1,FALSE)</f>
        <v>0.64877532146041084</v>
      </c>
      <c r="E46" s="512">
        <f t="shared" ref="E46:E56" si="1">R46*(1-U46)</f>
        <v>1.1468748069073091</v>
      </c>
      <c r="F46" s="450">
        <f>HLOOKUP($A46,'0_Total'!$D$2:$ED$117,ROW('0_Total'!$A$81)-ROW('0_Total'!$A$2)+1,FALSE)</f>
        <v>5.8376242214088679E-2</v>
      </c>
      <c r="G46" s="512">
        <f t="shared" ref="G46:G56" si="2">S46+U46*R46</f>
        <v>1.0532353351249537</v>
      </c>
      <c r="H46" s="452"/>
      <c r="I46" s="452"/>
      <c r="J46" s="452">
        <f t="shared" ca="1" si="0"/>
        <v>3.0456599076638224</v>
      </c>
      <c r="K46" s="452"/>
      <c r="L46" s="465">
        <f t="shared" ref="L46:L56" ca="1" si="3">L$62</f>
        <v>2.1835613123627797</v>
      </c>
      <c r="R46" s="450">
        <f>HLOOKUP($A46,'0_Total'!$D$2:$ED$117,ROW('0_Total'!$A$79)-ROW('0_Total'!$A$2)+1,FALSE)</f>
        <v>1.8675164480291433</v>
      </c>
      <c r="S46" s="450">
        <f>HLOOKUP($A46,'0_Total'!$D$2:$ED$117,ROW('0_Total'!$A$80)-ROW('0_Total'!$A$2)+1,FALSE)</f>
        <v>0.33259369400311972</v>
      </c>
      <c r="U46" s="509">
        <f t="shared" ref="U46:U56" si="4">U45</f>
        <v>0.38588235294117645</v>
      </c>
      <c r="X46" s="479"/>
      <c r="AK46" s="479"/>
    </row>
    <row r="47" spans="1:40" s="465" customFormat="1" x14ac:dyDescent="0.3">
      <c r="A47" s="465" t="str">
        <f>'0_Total'!BZ2</f>
        <v>Ridesourcing - car - BEV (two packs) (Lower carbon intensity of battery manufacturing)</v>
      </c>
      <c r="B47" s="477"/>
      <c r="C47" s="478" t="s">
        <v>1161</v>
      </c>
      <c r="D47" s="450">
        <f ca="1">HLOOKUP($A47,'0_Total'!$D$2:$ED$117,ROW('0_Total'!$A$77)-ROW('0_Total'!$A$2)+1,FALSE)+
HLOOKUP($A47,'0_Total'!$D$2:$ED$117,ROW('0_Total'!$A$78)-ROW('0_Total'!$A$2)+1,FALSE)</f>
        <v>0.73052128900022084</v>
      </c>
      <c r="E47" s="512">
        <f t="shared" si="1"/>
        <v>1.1468748069073091</v>
      </c>
      <c r="F47" s="450">
        <f>HLOOKUP($A47,'0_Total'!$D$2:$ED$117,ROW('0_Total'!$A$81)-ROW('0_Total'!$A$2)+1,FALSE)</f>
        <v>5.8376242214088679E-2</v>
      </c>
      <c r="G47" s="512">
        <f t="shared" si="2"/>
        <v>1.0532353351249537</v>
      </c>
      <c r="H47" s="452"/>
      <c r="I47" s="452"/>
      <c r="J47" s="452">
        <f t="shared" ca="1" si="0"/>
        <v>3.0456599076638224</v>
      </c>
      <c r="K47" s="452"/>
      <c r="L47" s="465">
        <f t="shared" ca="1" si="3"/>
        <v>2.1835613123627797</v>
      </c>
      <c r="R47" s="450">
        <f>HLOOKUP($A47,'0_Total'!$D$2:$ED$117,ROW('0_Total'!$A$79)-ROW('0_Total'!$A$2)+1,FALSE)</f>
        <v>1.8675164480291433</v>
      </c>
      <c r="S47" s="450">
        <f>HLOOKUP($A47,'0_Total'!$D$2:$ED$117,ROW('0_Total'!$A$80)-ROW('0_Total'!$A$2)+1,FALSE)</f>
        <v>0.33259369400311972</v>
      </c>
      <c r="U47" s="509">
        <f t="shared" si="4"/>
        <v>0.38588235294117645</v>
      </c>
      <c r="X47" s="479"/>
      <c r="AK47" s="479"/>
    </row>
    <row r="48" spans="1:40" s="465" customFormat="1" x14ac:dyDescent="0.3">
      <c r="A48" s="465" t="str">
        <f>'0_Total'!CB2</f>
        <v>Ridesourcing - car - BEV (two packs) (25% larger battery)</v>
      </c>
      <c r="B48" s="477"/>
      <c r="C48" s="478" t="s">
        <v>1162</v>
      </c>
      <c r="D48" s="450">
        <f ca="1">HLOOKUP($A48,'0_Total'!$D$2:$ED$117,ROW('0_Total'!$A$77)-ROW('0_Total'!$A$2)+1,FALSE)+
HLOOKUP($A48,'0_Total'!$D$2:$ED$117,ROW('0_Total'!$A$78)-ROW('0_Total'!$A$2)+1,FALSE)</f>
        <v>0.9255717253745307</v>
      </c>
      <c r="E48" s="512">
        <f t="shared" si="1"/>
        <v>1.1468748069073091</v>
      </c>
      <c r="F48" s="450">
        <f>HLOOKUP($A48,'0_Total'!$D$2:$ED$117,ROW('0_Total'!$A$81)-ROW('0_Total'!$A$2)+1,FALSE)</f>
        <v>5.8376242214088679E-2</v>
      </c>
      <c r="G48" s="512">
        <f t="shared" si="2"/>
        <v>1.0532353351249537</v>
      </c>
      <c r="H48" s="452"/>
      <c r="I48" s="452"/>
      <c r="J48" s="452">
        <f t="shared" ca="1" si="0"/>
        <v>3.0456599076638224</v>
      </c>
      <c r="K48" s="452"/>
      <c r="L48" s="465">
        <f t="shared" ca="1" si="3"/>
        <v>2.1835613123627797</v>
      </c>
      <c r="R48" s="450">
        <f>HLOOKUP($A48,'0_Total'!$D$2:$ED$117,ROW('0_Total'!$A$79)-ROW('0_Total'!$A$2)+1,FALSE)</f>
        <v>1.8675164480291433</v>
      </c>
      <c r="S48" s="450">
        <f>HLOOKUP($A48,'0_Total'!$D$2:$ED$117,ROW('0_Total'!$A$80)-ROW('0_Total'!$A$2)+1,FALSE)</f>
        <v>0.33259369400311972</v>
      </c>
      <c r="U48" s="509">
        <f t="shared" si="4"/>
        <v>0.38588235294117645</v>
      </c>
      <c r="X48" s="479"/>
      <c r="AK48" s="479"/>
    </row>
    <row r="49" spans="1:40" s="465" customFormat="1" x14ac:dyDescent="0.3">
      <c r="A49" s="465" t="str">
        <f>'0_Total'!CW2</f>
        <v>Ridesourcing - Large car - BEV (two packs)</v>
      </c>
      <c r="B49" s="477"/>
      <c r="C49" s="481" t="s">
        <v>1163</v>
      </c>
      <c r="D49" s="450">
        <f ca="1">HLOOKUP($A49,'0_Total'!$D$2:$ED$117,ROW('0_Total'!$A$77)-ROW('0_Total'!$A$2)+1,FALSE)+
HLOOKUP($A49,'0_Total'!$D$2:$ED$117,ROW('0_Total'!$A$78)-ROW('0_Total'!$A$2)+1,FALSE)</f>
        <v>0.84399218768282225</v>
      </c>
      <c r="E49" s="512">
        <f t="shared" si="1"/>
        <v>1.2056324532150944</v>
      </c>
      <c r="F49" s="450">
        <f>HLOOKUP($A49,'0_Total'!$D$2:$ED$117,ROW('0_Total'!$A$81)-ROW('0_Total'!$A$2)+1,FALSE)</f>
        <v>6.3444422853797353E-2</v>
      </c>
      <c r="G49" s="512">
        <f t="shared" si="2"/>
        <v>1.1071955659430115</v>
      </c>
      <c r="H49" s="452"/>
      <c r="I49" s="452"/>
      <c r="J49" s="452">
        <f t="shared" ca="1" si="0"/>
        <v>3.0456599076638224</v>
      </c>
      <c r="K49" s="452"/>
      <c r="L49" s="465">
        <f t="shared" ca="1" si="3"/>
        <v>2.1835613123627797</v>
      </c>
      <c r="R49" s="450">
        <f>HLOOKUP($A49,'0_Total'!$D$2:$ED$117,ROW('0_Total'!$A$79)-ROW('0_Total'!$A$2)+1,FALSE)</f>
        <v>1.9631946077257285</v>
      </c>
      <c r="S49" s="450">
        <f>HLOOKUP($A49,'0_Total'!$D$2:$ED$117,ROW('0_Total'!$A$80)-ROW('0_Total'!$A$2)+1,FALSE)</f>
        <v>0.34963341143237747</v>
      </c>
      <c r="U49" s="509">
        <f t="shared" si="4"/>
        <v>0.38588235294117645</v>
      </c>
      <c r="X49" s="479"/>
      <c r="AK49" s="479"/>
    </row>
    <row r="50" spans="1:40" s="465" customFormat="1" x14ac:dyDescent="0.3">
      <c r="A50" s="465" t="str">
        <f>'0_Total'!BX2</f>
        <v>Ridesourcing - car - BEV (two packs) (high carbon intensity of electricity in use phase)</v>
      </c>
      <c r="B50" s="477"/>
      <c r="C50" s="478" t="s">
        <v>1166</v>
      </c>
      <c r="D50" s="450">
        <f ca="1">HLOOKUP($A50,'0_Total'!$D$2:$ED$117,ROW('0_Total'!$A$77)-ROW('0_Total'!$A$2)+1,FALSE)+
HLOOKUP($A50,'0_Total'!$D$2:$ED$117,ROW('0_Total'!$A$78)-ROW('0_Total'!$A$2)+1,FALSE)</f>
        <v>0.78717352341747082</v>
      </c>
      <c r="E50" s="512">
        <f t="shared" si="1"/>
        <v>1.3183887787819919</v>
      </c>
      <c r="F50" s="450">
        <f>HLOOKUP($A50,'0_Total'!$D$2:$ED$117,ROW('0_Total'!$A$81)-ROW('0_Total'!$A$2)+1,FALSE)</f>
        <v>5.8376242214088679E-2</v>
      </c>
      <c r="G50" s="512">
        <f t="shared" si="2"/>
        <v>1.210745618338144</v>
      </c>
      <c r="H50" s="452"/>
      <c r="I50" s="452"/>
      <c r="J50" s="452">
        <f t="shared" ca="1" si="0"/>
        <v>3.0456599076638224</v>
      </c>
      <c r="K50" s="452"/>
      <c r="L50" s="465">
        <f t="shared" ca="1" si="3"/>
        <v>2.1835613123627797</v>
      </c>
      <c r="R50" s="450">
        <f>HLOOKUP($A50,'0_Total'!$D$2:$ED$117,ROW('0_Total'!$A$79)-ROW('0_Total'!$A$2)+1,FALSE)</f>
        <v>2.1468016512733583</v>
      </c>
      <c r="S50" s="450">
        <f>HLOOKUP($A50,'0_Total'!$D$2:$ED$117,ROW('0_Total'!$A$80)-ROW('0_Total'!$A$2)+1,FALSE)</f>
        <v>0.38233274584677768</v>
      </c>
      <c r="U50" s="509">
        <f t="shared" si="4"/>
        <v>0.38588235294117645</v>
      </c>
      <c r="X50" s="479"/>
      <c r="AK50" s="479"/>
    </row>
    <row r="51" spans="1:40" s="465" customFormat="1" x14ac:dyDescent="0.3">
      <c r="A51" s="465" t="str">
        <f>'0_Total'!CE2</f>
        <v>Ridesourcing car - FCEV (hydrogen from electrolysis, 100% renewable electricity)</v>
      </c>
      <c r="B51" s="477" t="s">
        <v>1158</v>
      </c>
      <c r="C51" s="480" t="s">
        <v>1170</v>
      </c>
      <c r="D51" s="450">
        <f ca="1">HLOOKUP($A51,'0_Total'!$D$2:$ED$117,ROW('0_Total'!$A$77)-ROW('0_Total'!$A$2)+1,FALSE)+
HLOOKUP($A51,'0_Total'!$D$2:$ED$117,ROW('0_Total'!$A$78)-ROW('0_Total'!$A$2)+1,FALSE)</f>
        <v>0.43738008984497517</v>
      </c>
      <c r="E51" s="512">
        <f t="shared" si="1"/>
        <v>1.8754501516817998</v>
      </c>
      <c r="F51" s="450">
        <f>HLOOKUP($A51,'0_Total'!$D$2:$ED$117,ROW('0_Total'!$A$81)-ROW('0_Total'!$A$2)+1,FALSE)</f>
        <v>5.2748768620704663E-2</v>
      </c>
      <c r="G51" s="512">
        <f t="shared" si="2"/>
        <v>1.7223243174582783</v>
      </c>
      <c r="H51" s="452"/>
      <c r="I51" s="452"/>
      <c r="J51" s="452"/>
      <c r="K51" s="452">
        <f ca="1">K$61</f>
        <v>2.9059820120580349</v>
      </c>
      <c r="L51" s="465">
        <f t="shared" ca="1" si="3"/>
        <v>2.1835613123627797</v>
      </c>
      <c r="R51" s="450">
        <f>HLOOKUP($A51,'0_Total'!$D$2:$ED$117,ROW('0_Total'!$A$79)-ROW('0_Total'!$A$2)+1,FALSE)</f>
        <v>3.053893925152356</v>
      </c>
      <c r="S51" s="450">
        <f>HLOOKUP($A51,'0_Total'!$D$2:$ED$117,ROW('0_Total'!$A$80)-ROW('0_Total'!$A$2)+1,FALSE)</f>
        <v>0.54388054398772201</v>
      </c>
      <c r="U51" s="509">
        <f t="shared" si="4"/>
        <v>0.38588235294117645</v>
      </c>
      <c r="X51" s="479"/>
      <c r="AK51" s="479"/>
    </row>
    <row r="52" spans="1:40" s="465" customFormat="1" x14ac:dyDescent="0.3">
      <c r="A52" s="465" t="str">
        <f>'0_Total'!CX2</f>
        <v>Ridesourcing - Large car - FCEV</v>
      </c>
      <c r="B52" s="477"/>
      <c r="C52" s="481" t="s">
        <v>1169</v>
      </c>
      <c r="D52" s="450">
        <f ca="1">HLOOKUP($A52,'0_Total'!$D$2:$ED$117,ROW('0_Total'!$A$77)-ROW('0_Total'!$A$2)+1,FALSE)+
HLOOKUP($A52,'0_Total'!$D$2:$ED$117,ROW('0_Total'!$A$78)-ROW('0_Total'!$A$2)+1,FALSE)</f>
        <v>0.54731858931950228</v>
      </c>
      <c r="E52" s="512">
        <f t="shared" si="1"/>
        <v>1.4335018489138562</v>
      </c>
      <c r="F52" s="450">
        <f>HLOOKUP($A52,'0_Total'!$D$2:$ED$117,ROW('0_Total'!$A$81)-ROW('0_Total'!$A$2)+1,FALSE)</f>
        <v>6.8198984475486932E-2</v>
      </c>
      <c r="G52" s="512">
        <f t="shared" si="2"/>
        <v>1.3164599929738015</v>
      </c>
      <c r="H52" s="452"/>
      <c r="I52" s="452"/>
      <c r="J52" s="452"/>
      <c r="K52" s="452">
        <f ca="1">K$61</f>
        <v>2.9059820120580349</v>
      </c>
      <c r="L52" s="465">
        <f t="shared" ca="1" si="3"/>
        <v>2.1835613123627797</v>
      </c>
      <c r="R52" s="450">
        <f>HLOOKUP($A52,'0_Total'!$D$2:$ED$117,ROW('0_Total'!$A$79)-ROW('0_Total'!$A$2)+1,FALSE)</f>
        <v>2.3342463057026395</v>
      </c>
      <c r="S52" s="450">
        <f>HLOOKUP($A52,'0_Total'!$D$2:$ED$117,ROW('0_Total'!$A$80)-ROW('0_Total'!$A$2)+1,FALSE)</f>
        <v>0.41571553618501833</v>
      </c>
      <c r="U52" s="509">
        <f t="shared" si="4"/>
        <v>0.38588235294117645</v>
      </c>
      <c r="X52" s="479"/>
      <c r="AK52" s="479"/>
    </row>
    <row r="53" spans="1:40" s="465" customFormat="1" x14ac:dyDescent="0.3">
      <c r="A53" s="465" t="str">
        <f>'0_Total'!CD2</f>
        <v>Ridesourcing car - FCEV (hydrogen from electrolysis, 100% natural gas electricity)</v>
      </c>
      <c r="B53" s="477"/>
      <c r="C53" s="598" t="s">
        <v>1167</v>
      </c>
      <c r="D53" s="450">
        <f ca="1">HLOOKUP($A53,'0_Total'!$D$2:$ED$117,ROW('0_Total'!$A$77)-ROW('0_Total'!$A$2)+1,FALSE)+
HLOOKUP($A53,'0_Total'!$D$2:$ED$117,ROW('0_Total'!$A$78)-ROW('0_Total'!$A$2)+1,FALSE)</f>
        <v>0.43738008984497517</v>
      </c>
      <c r="E53" s="512">
        <f t="shared" si="1"/>
        <v>3.2511022461319175</v>
      </c>
      <c r="F53" s="450">
        <f>HLOOKUP($A53,'0_Total'!$D$2:$ED$117,ROW('0_Total'!$A$81)-ROW('0_Total'!$A$2)+1,FALSE)</f>
        <v>5.2748768620704663E-2</v>
      </c>
      <c r="G53" s="512">
        <f t="shared" si="2"/>
        <v>2.9856578443500355</v>
      </c>
      <c r="H53" s="452"/>
      <c r="I53" s="452"/>
      <c r="J53" s="452"/>
      <c r="K53" s="452">
        <f ca="1">K$61</f>
        <v>2.9059820120580349</v>
      </c>
      <c r="L53" s="465">
        <f t="shared" ca="1" si="3"/>
        <v>2.1835613123627797</v>
      </c>
      <c r="R53" s="450">
        <f>HLOOKUP($A53,'0_Total'!$D$2:$ED$117,ROW('0_Total'!$A$79)-ROW('0_Total'!$A$2)+1,FALSE)</f>
        <v>5.2939404391036966</v>
      </c>
      <c r="S53" s="450">
        <f>HLOOKUP($A53,'0_Total'!$D$2:$ED$117,ROW('0_Total'!$A$80)-ROW('0_Total'!$A$2)+1,FALSE)</f>
        <v>0.94281965137825618</v>
      </c>
      <c r="U53" s="509">
        <f t="shared" si="4"/>
        <v>0.38588235294117645</v>
      </c>
      <c r="X53" s="479"/>
      <c r="AK53" s="479"/>
    </row>
    <row r="54" spans="1:40" s="465" customFormat="1" x14ac:dyDescent="0.3">
      <c r="A54" s="465" t="str">
        <f>'0_Total'!CF2</f>
        <v>Ridesourcing car - FCEV (hydrogen from electrolysis, global grid mix)</v>
      </c>
      <c r="B54" s="477"/>
      <c r="C54" s="480" t="s">
        <v>1168</v>
      </c>
      <c r="D54" s="450">
        <f ca="1">HLOOKUP($A54,'0_Total'!$D$2:$ED$117,ROW('0_Total'!$A$77)-ROW('0_Total'!$A$2)+1,FALSE)+
HLOOKUP($A54,'0_Total'!$D$2:$ED$117,ROW('0_Total'!$A$78)-ROW('0_Total'!$A$2)+1,FALSE)</f>
        <v>0.43738008984497517</v>
      </c>
      <c r="E54" s="512">
        <f t="shared" si="1"/>
        <v>3.6008276043692944</v>
      </c>
      <c r="F54" s="450">
        <f>HLOOKUP($A54,'0_Total'!$D$2:$ED$117,ROW('0_Total'!$A$81)-ROW('0_Total'!$A$2)+1,FALSE)</f>
        <v>5.2748768620704663E-2</v>
      </c>
      <c r="G54" s="512">
        <f t="shared" si="2"/>
        <v>3.3068289980508663</v>
      </c>
      <c r="H54" s="452"/>
      <c r="I54" s="452"/>
      <c r="J54" s="452"/>
      <c r="K54" s="452">
        <f ca="1">K$61</f>
        <v>2.9059820120580349</v>
      </c>
      <c r="L54" s="465">
        <f t="shared" ca="1" si="3"/>
        <v>2.1835613123627797</v>
      </c>
      <c r="R54" s="450">
        <f>HLOOKUP($A54,'0_Total'!$D$2:$ED$117,ROW('0_Total'!$A$79)-ROW('0_Total'!$A$2)+1,FALSE)</f>
        <v>5.8634165971530656</v>
      </c>
      <c r="S54" s="450">
        <f>HLOOKUP($A54,'0_Total'!$D$2:$ED$117,ROW('0_Total'!$A$80)-ROW('0_Total'!$A$2)+1,FALSE)</f>
        <v>1.0442400052670953</v>
      </c>
      <c r="U54" s="509">
        <f t="shared" si="4"/>
        <v>0.38588235294117645</v>
      </c>
      <c r="X54" s="479"/>
      <c r="AK54" s="479"/>
    </row>
    <row r="55" spans="1:40" s="465" customFormat="1" x14ac:dyDescent="0.3">
      <c r="A55" s="465" t="str">
        <f>'0_Total'!CT2</f>
        <v>Ridesourcing - Large car - HEV</v>
      </c>
      <c r="B55" s="477" t="s">
        <v>1159</v>
      </c>
      <c r="C55" s="482" t="s">
        <v>1164</v>
      </c>
      <c r="D55" s="450">
        <f ca="1">HLOOKUP($A55,'0_Total'!$D$2:$ED$117,ROW('0_Total'!$A$77)-ROW('0_Total'!$A$2)+1,FALSE)+
HLOOKUP($A55,'0_Total'!$D$2:$ED$117,ROW('0_Total'!$A$78)-ROW('0_Total'!$A$2)+1,FALSE)</f>
        <v>0.3303322941110331</v>
      </c>
      <c r="E55" s="512">
        <f t="shared" si="1"/>
        <v>1.7196273766886072</v>
      </c>
      <c r="F55" s="450">
        <f>HLOOKUP($A55,'0_Total'!$D$2:$ED$117,ROW('0_Total'!$A$81)-ROW('0_Total'!$A$2)+1,FALSE)</f>
        <v>6.6406845875110088E-2</v>
      </c>
      <c r="G55" s="512">
        <f t="shared" si="2"/>
        <v>1.5792240839788978</v>
      </c>
      <c r="H55" s="452"/>
      <c r="I55" s="452">
        <f ca="1">I$59</f>
        <v>2.8909428584375045</v>
      </c>
      <c r="J55" s="452"/>
      <c r="K55" s="452"/>
      <c r="L55" s="465">
        <f t="shared" ca="1" si="3"/>
        <v>2.1835613123627797</v>
      </c>
      <c r="R55" s="450">
        <f>HLOOKUP($A55,'0_Total'!$D$2:$ED$117,ROW('0_Total'!$A$79)-ROW('0_Total'!$A$2)+1,FALSE)</f>
        <v>2.8001595214278088</v>
      </c>
      <c r="S55" s="450">
        <f>HLOOKUP($A55,'0_Total'!$D$2:$ED$117,ROW('0_Total'!$A$80)-ROW('0_Total'!$A$2)+1,FALSE)</f>
        <v>0.49869193923969629</v>
      </c>
      <c r="U55" s="509">
        <f t="shared" si="4"/>
        <v>0.38588235294117645</v>
      </c>
      <c r="X55" s="479"/>
      <c r="AK55" s="479"/>
    </row>
    <row r="56" spans="1:40" s="465" customFormat="1" x14ac:dyDescent="0.3">
      <c r="A56" s="465" t="str">
        <f>'0_Total'!CS2</f>
        <v>Ridesourcing - Large car - ICE</v>
      </c>
      <c r="B56" s="477"/>
      <c r="C56" s="483" t="s">
        <v>1165</v>
      </c>
      <c r="D56" s="450">
        <f ca="1">HLOOKUP($A56,'0_Total'!$D$2:$ED$117,ROW('0_Total'!$A$77)-ROW('0_Total'!$A$2)+1,FALSE)+
HLOOKUP($A56,'0_Total'!$D$2:$ED$117,ROW('0_Total'!$A$78)-ROW('0_Total'!$A$2)+1,FALSE)</f>
        <v>0.30529416407890364</v>
      </c>
      <c r="E56" s="512">
        <f t="shared" si="1"/>
        <v>2.335999840019765</v>
      </c>
      <c r="F56" s="450">
        <f>HLOOKUP($A56,'0_Total'!$D$2:$ED$117,ROW('0_Total'!$A$81)-ROW('0_Total'!$A$2)+1,FALSE)</f>
        <v>6.5035300650564246E-2</v>
      </c>
      <c r="G56" s="512">
        <f t="shared" si="2"/>
        <v>2.145271270706274</v>
      </c>
      <c r="H56" s="452">
        <f ca="1">H$58</f>
        <v>3.7492357448583875</v>
      </c>
      <c r="I56" s="452"/>
      <c r="J56" s="452"/>
      <c r="K56" s="452"/>
      <c r="L56" s="465">
        <f t="shared" ca="1" si="3"/>
        <v>2.1835613123627797</v>
      </c>
      <c r="R56" s="450">
        <f>HLOOKUP($A56,'0_Total'!$D$2:$ED$117,ROW('0_Total'!$A$79)-ROW('0_Total'!$A$2)+1,FALSE)</f>
        <v>3.8038311571203072</v>
      </c>
      <c r="S56" s="450">
        <f>HLOOKUP($A56,'0_Total'!$D$2:$ED$117,ROW('0_Total'!$A$80)-ROW('0_Total'!$A$2)+1,FALSE)</f>
        <v>0.67743995360573195</v>
      </c>
      <c r="U56" s="509">
        <f t="shared" si="4"/>
        <v>0.38588235294117645</v>
      </c>
      <c r="X56" s="479"/>
      <c r="AK56" s="479"/>
    </row>
    <row r="57" spans="1:40" s="465" customFormat="1" x14ac:dyDescent="0.3">
      <c r="C57" s="478"/>
      <c r="D57" s="450"/>
      <c r="E57" s="450"/>
      <c r="F57" s="450"/>
      <c r="G57" s="450"/>
      <c r="H57" s="452"/>
      <c r="I57" s="453"/>
      <c r="J57" s="453"/>
      <c r="U57" s="442"/>
      <c r="X57" s="479"/>
      <c r="AK57" s="479"/>
    </row>
    <row r="58" spans="1:40" s="465" customFormat="1" x14ac:dyDescent="0.3">
      <c r="A58" s="465" t="str">
        <f>'0_Total'!BI2</f>
        <v>Ridesourcing - car - ICE</v>
      </c>
      <c r="C58" s="478" t="str">
        <f>A58&amp;" (central estimate)"</f>
        <v>Ridesourcing - car - ICE (central estimate)</v>
      </c>
      <c r="D58" s="450"/>
      <c r="E58" s="450"/>
      <c r="F58" s="450"/>
      <c r="G58" s="450"/>
      <c r="H58" s="451">
        <f ca="1">HLOOKUP($A58,'0_Total'!$D$2:$ED$117,ROW('0_Total'!$A$76)-ROW('0_Total'!$A$2)+1,FALSE)</f>
        <v>3.7492357448583875</v>
      </c>
      <c r="J58" s="451"/>
      <c r="K58" s="451"/>
      <c r="X58" s="479"/>
      <c r="AK58" s="479"/>
    </row>
    <row r="59" spans="1:40" s="465" customFormat="1" ht="14.25" customHeight="1" x14ac:dyDescent="0.3">
      <c r="A59" s="465" t="str">
        <f>'0_Total'!BJ2</f>
        <v>Ridesourcing - car - HEV</v>
      </c>
      <c r="C59" s="478" t="str">
        <f>A59&amp;" (central estimate)"</f>
        <v>Ridesourcing - car - HEV (central estimate)</v>
      </c>
      <c r="D59" s="450"/>
      <c r="E59" s="450"/>
      <c r="F59" s="450"/>
      <c r="G59" s="450"/>
      <c r="H59" s="450"/>
      <c r="I59" s="451">
        <f ca="1">HLOOKUP($A59,'0_Total'!$D$2:$ED$117,ROW('0_Total'!$A$76)-ROW('0_Total'!$A$2)+1,FALSE)</f>
        <v>2.8909428584375045</v>
      </c>
      <c r="J59" s="451"/>
      <c r="X59" s="479"/>
      <c r="AK59" s="479"/>
    </row>
    <row r="60" spans="1:40" s="465" customFormat="1" x14ac:dyDescent="0.3">
      <c r="A60" s="465" t="str">
        <f>'0_Total'!CC2</f>
        <v>Ridesourcing - car - BEV (two packs)</v>
      </c>
      <c r="C60" s="478" t="str">
        <f>A60&amp;" (central estimate)"</f>
        <v>Ridesourcing - car - BEV (two packs) (central estimate)</v>
      </c>
      <c r="D60" s="450"/>
      <c r="E60" s="450"/>
      <c r="F60" s="450"/>
      <c r="G60" s="450"/>
      <c r="I60" s="451"/>
      <c r="J60" s="450">
        <f ca="1">HLOOKUP($A60,'0_Total'!$D$2:$ED$117,ROW('0_Total'!$A$76)-ROW('0_Total'!$A$2)+1,FALSE)</f>
        <v>3.0456599076638224</v>
      </c>
      <c r="X60" s="479"/>
      <c r="AK60" s="479"/>
    </row>
    <row r="61" spans="1:40" s="465" customFormat="1" x14ac:dyDescent="0.3">
      <c r="A61" s="465" t="str">
        <f>'0_Total'!CG2</f>
        <v>Ridesourcing - car - FCEV</v>
      </c>
      <c r="C61" s="478" t="str">
        <f>A61&amp;" (central estimate)"</f>
        <v>Ridesourcing - car - FCEV (central estimate)</v>
      </c>
      <c r="D61" s="450"/>
      <c r="E61" s="450"/>
      <c r="F61" s="450"/>
      <c r="G61" s="450"/>
      <c r="H61" s="450"/>
      <c r="I61" s="451"/>
      <c r="K61" s="451">
        <f ca="1">HLOOKUP($A61,'0_Total'!$D$2:$ED$117,ROW('0_Total'!$A$76)-ROW('0_Total'!$A$2)+1,FALSE)</f>
        <v>2.9059820120580349</v>
      </c>
      <c r="X61" s="479"/>
      <c r="AK61" s="479"/>
    </row>
    <row r="62" spans="1:40" s="465" customFormat="1" x14ac:dyDescent="0.3">
      <c r="A62" s="465" t="str">
        <f>'0_Total'!AO2</f>
        <v>Private car - ICE</v>
      </c>
      <c r="C62" s="478" t="str">
        <f>A62&amp;" (central estimate)"</f>
        <v>Private car - ICE (central estimate)</v>
      </c>
      <c r="D62" s="450"/>
      <c r="E62" s="450"/>
      <c r="F62" s="450"/>
      <c r="G62" s="452"/>
      <c r="H62" s="453"/>
      <c r="I62" s="453"/>
      <c r="K62" s="451"/>
      <c r="L62" s="484">
        <f ca="1">HLOOKUP($A62,'0_Total'!$D$2:$ED$117,ROW('0_Total'!$A$76)-ROW('0_Total'!$A$2)+1,FALSE)</f>
        <v>2.1835613123627797</v>
      </c>
      <c r="X62" s="479"/>
      <c r="AK62" s="479"/>
    </row>
    <row r="63" spans="1:40" x14ac:dyDescent="0.3">
      <c r="B63" s="358"/>
      <c r="C63" s="357"/>
      <c r="D63" s="357"/>
      <c r="E63" s="357"/>
      <c r="F63" s="357"/>
      <c r="G63" s="448"/>
      <c r="H63" s="449"/>
      <c r="I63" s="449"/>
      <c r="K63" s="454"/>
      <c r="L63" s="454"/>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448"/>
      <c r="H64" s="449"/>
      <c r="I64" s="449"/>
      <c r="K64" s="454"/>
      <c r="L64" s="454"/>
      <c r="M64" s="442"/>
      <c r="N64" s="442"/>
      <c r="O64" s="442"/>
      <c r="P64" s="442"/>
      <c r="Q64" s="442"/>
      <c r="R64" s="442"/>
      <c r="S64" s="442"/>
      <c r="T64" s="442"/>
      <c r="U64" s="442"/>
      <c r="V64" s="442"/>
      <c r="X64" s="441"/>
      <c r="Y64" s="442"/>
      <c r="Z64" s="442"/>
      <c r="AA64" s="442"/>
      <c r="AB64" s="442"/>
      <c r="AC64" s="442"/>
      <c r="AD64" s="442"/>
      <c r="AE64" s="442"/>
      <c r="AF64" s="442"/>
      <c r="AG64" s="442"/>
      <c r="AH64" s="442"/>
      <c r="AI64" s="442"/>
      <c r="AK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445"/>
      <c r="K66" s="441"/>
      <c r="L66" s="442"/>
      <c r="M66" s="442"/>
      <c r="N66" s="442"/>
      <c r="O66" s="442"/>
      <c r="P66" s="442"/>
      <c r="Q66" s="442"/>
      <c r="R66" s="442"/>
      <c r="S66" s="442"/>
      <c r="T66" s="442"/>
      <c r="U66" s="442"/>
      <c r="V66" s="442"/>
      <c r="X66" s="441"/>
      <c r="Y66" s="442"/>
      <c r="Z66" s="442"/>
      <c r="AA66" s="442"/>
      <c r="AB66" s="442"/>
      <c r="AC66" s="442"/>
      <c r="AD66" s="442"/>
      <c r="AE66" s="442"/>
      <c r="AF66" s="442"/>
      <c r="AG66" s="442"/>
      <c r="AH66" s="442"/>
      <c r="AI66" s="442"/>
      <c r="AK66" s="431"/>
      <c r="AN66" s="430"/>
    </row>
    <row r="67" spans="2:40" x14ac:dyDescent="0.3">
      <c r="B67" s="358"/>
      <c r="C67" s="357"/>
      <c r="D67" s="357"/>
      <c r="E67" s="357"/>
      <c r="F67" s="357"/>
      <c r="G67" s="357"/>
      <c r="H67" s="357"/>
      <c r="I67" s="357"/>
      <c r="J67" s="357"/>
      <c r="K67" s="445"/>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B68" s="349"/>
      <c r="C68" s="349"/>
      <c r="D68" s="349"/>
      <c r="E68" s="349"/>
      <c r="F68" s="349"/>
      <c r="G68" s="349"/>
      <c r="H68" s="349"/>
      <c r="I68" s="349"/>
      <c r="J68" s="349"/>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O72" s="431"/>
      <c r="P72" s="431"/>
    </row>
    <row r="73" spans="2:40" x14ac:dyDescent="0.3">
      <c r="B73" s="446"/>
      <c r="C73" s="435"/>
      <c r="D73" s="435"/>
      <c r="E73" s="435"/>
      <c r="F73" s="435"/>
      <c r="G73" s="435"/>
      <c r="H73" s="435"/>
      <c r="I73" s="435"/>
      <c r="J73" s="435"/>
      <c r="K73" s="435"/>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sheetData>
  <mergeCells count="1">
    <mergeCell ref="B19:H33"/>
  </mergeCells>
  <pageMargins left="0" right="0" top="0" bottom="0" header="0" footer="0"/>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7BC143"/>
  </sheetPr>
  <dimension ref="A1:AN132"/>
  <sheetViews>
    <sheetView topLeftCell="A9" zoomScale="67" zoomScaleNormal="60" zoomScalePageLayoutView="200" workbookViewId="0">
      <selection activeCell="C45" sqref="C45"/>
    </sheetView>
  </sheetViews>
  <sheetFormatPr defaultColWidth="8.88671875" defaultRowHeight="14.4" x14ac:dyDescent="0.3"/>
  <cols>
    <col min="1" max="1" width="7.8867187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Private car - ICE (central estimate)</v>
      </c>
      <c r="I44" s="476" t="str">
        <f>C59</f>
        <v>Ridesourcing - car - ICE (central estimate)</v>
      </c>
      <c r="L44" s="441"/>
      <c r="M44" s="442"/>
      <c r="N44" s="442"/>
      <c r="O44" s="442"/>
      <c r="P44" s="442"/>
      <c r="Q44" s="442"/>
      <c r="R44" s="358" t="s">
        <v>1130</v>
      </c>
      <c r="S44" s="358" t="s">
        <v>850</v>
      </c>
      <c r="U44" s="509" t="str">
        <f>Figure_2_GHG_per_pkm_General!B60</f>
        <v>Deadheading, % of total vkm (excluding commute)</v>
      </c>
      <c r="V44" s="442"/>
      <c r="W44" s="442"/>
      <c r="X44" s="442"/>
      <c r="Y44" s="442"/>
      <c r="Z44" s="442"/>
      <c r="AA44" s="442"/>
      <c r="AB44" s="442"/>
      <c r="AC44" s="442"/>
      <c r="AD44" s="442"/>
      <c r="AE44" s="442"/>
      <c r="AF44" s="442"/>
      <c r="AH44" s="431"/>
      <c r="AN44" s="430"/>
    </row>
    <row r="45" spans="1:40" x14ac:dyDescent="0.3">
      <c r="A45" s="442" t="str">
        <f>'0_Total'!$BC2</f>
        <v>Ridesourcing - car - ICE (25% lower deadheading km share and 2.25 passengers)</v>
      </c>
      <c r="B45" s="470"/>
      <c r="C45" s="358" t="str">
        <f>MID(A45,27,LEN(A45)-27)</f>
        <v>25% lower deadheading km share and 2.25 passengers</v>
      </c>
      <c r="D45" s="357">
        <f ca="1">HLOOKUP($A45,'0_Total'!$D$2:$ED$117,ROW('0_Total'!$A$99)-ROW('0_Total'!$A$2)+1,FALSE)+
HLOOKUP($A45,'0_Total'!$D$2:$ED$117,ROW('0_Total'!$A$100)-ROW('0_Total'!$A$2)+1,FALSE)</f>
        <v>13.28295241028977</v>
      </c>
      <c r="E45" s="508">
        <f t="shared" ref="E45:E50" si="0">R45*(1-U45)</f>
        <v>72.384073195231792</v>
      </c>
      <c r="F45" s="357">
        <f>HLOOKUP($A45,'0_Total'!$D$2:$ED$117,ROW('0_Total'!$A$103)-ROW('0_Total'!$A$2)+1,FALSE)</f>
        <v>12.147334446495694</v>
      </c>
      <c r="G45" s="508">
        <f t="shared" ref="G45:G50" si="1">S45+R45*U45</f>
        <v>66.474093885690067</v>
      </c>
      <c r="H45" s="448">
        <f t="shared" ref="H45:H50" ca="1" si="2">H$58</f>
        <v>161.97203672281782</v>
      </c>
      <c r="I45" s="454">
        <f t="shared" ref="I45:I50" ca="1" si="3">I$59</f>
        <v>275.94612396656066</v>
      </c>
      <c r="L45" s="454"/>
      <c r="M45" s="442"/>
      <c r="N45" s="442"/>
      <c r="O45" s="442"/>
      <c r="P45" s="442"/>
      <c r="Q45" s="442"/>
      <c r="R45" s="357">
        <f>HLOOKUP($A45,'0_Total'!$D$2:$ED$117,ROW('0_Total'!$A$101)-ROW('0_Total'!$A$2)+1,FALSE)</f>
        <v>117.86678585430464</v>
      </c>
      <c r="S45" s="357">
        <f>HLOOKUP($A45,'0_Total'!$D$2:$ED$117,ROW('0_Total'!$A$102)-ROW('0_Total'!$A$2)+1,FALSE)</f>
        <v>20.991381226617225</v>
      </c>
      <c r="U45" s="510">
        <f>Tech_Spec_TNC!$P$14</f>
        <v>0.38588235294117645</v>
      </c>
      <c r="V45" s="442"/>
      <c r="W45" s="442"/>
      <c r="X45" s="442"/>
      <c r="Y45" s="442"/>
      <c r="Z45" s="442"/>
      <c r="AA45" s="442"/>
      <c r="AB45" s="442"/>
      <c r="AC45" s="442"/>
      <c r="AD45" s="442"/>
      <c r="AE45" s="442"/>
      <c r="AF45" s="442"/>
      <c r="AH45" s="431"/>
      <c r="AN45" s="430"/>
    </row>
    <row r="46" spans="1:40" x14ac:dyDescent="0.3">
      <c r="A46" s="442" t="str">
        <f>'0_Total'!$BG2</f>
        <v>Ridesourcing - car - ICE (two passengers on board, no change in deadheading km share)</v>
      </c>
      <c r="B46" s="470"/>
      <c r="C46" s="358" t="str">
        <f>"T"&amp;MID(A46,28,LEN(A46)-28)</f>
        <v>Two passengers on board, no change in deadheading km share</v>
      </c>
      <c r="D46" s="357">
        <f ca="1">HLOOKUP($A46,'0_Total'!$D$2:$ED$117,ROW('0_Total'!$A$99)-ROW('0_Total'!$A$2)+1,FALSE)+
HLOOKUP($A46,'0_Total'!$D$2:$ED$117,ROW('0_Total'!$A$100)-ROW('0_Total'!$A$2)+1,FALSE)</f>
        <v>17.290739775463404</v>
      </c>
      <c r="E46" s="508">
        <f t="shared" si="0"/>
        <v>94.224095279999986</v>
      </c>
      <c r="F46" s="357">
        <f>HLOOKUP($A46,'0_Total'!$D$2:$ED$117,ROW('0_Total'!$A$103)-ROW('0_Total'!$A$2)+1,FALSE)</f>
        <v>15.812478460524565</v>
      </c>
      <c r="G46" s="508">
        <f t="shared" si="1"/>
        <v>86.530932558096538</v>
      </c>
      <c r="H46" s="448">
        <f t="shared" ca="1" si="2"/>
        <v>161.97203672281782</v>
      </c>
      <c r="I46" s="454">
        <f t="shared" ca="1" si="3"/>
        <v>275.94612396656066</v>
      </c>
      <c r="L46" s="454"/>
      <c r="M46" s="442"/>
      <c r="N46" s="442"/>
      <c r="O46" s="442"/>
      <c r="P46" s="442"/>
      <c r="Q46" s="442"/>
      <c r="R46" s="357">
        <f>HLOOKUP($A46,'0_Total'!$D$2:$ED$117,ROW('0_Total'!$A$101)-ROW('0_Total'!$A$2)+1,FALSE)</f>
        <v>153.43004020689654</v>
      </c>
      <c r="S46" s="357">
        <f>HLOOKUP($A46,'0_Total'!$D$2:$ED$117,ROW('0_Total'!$A$102)-ROW('0_Total'!$A$2)+1,FALSE)</f>
        <v>27.324987631199999</v>
      </c>
      <c r="U46" s="509">
        <f>U45</f>
        <v>0.38588235294117645</v>
      </c>
      <c r="V46" s="442"/>
      <c r="W46" s="442"/>
      <c r="X46" s="442"/>
      <c r="Y46" s="442"/>
      <c r="Z46" s="442"/>
      <c r="AA46" s="442"/>
      <c r="AB46" s="442"/>
      <c r="AC46" s="442"/>
      <c r="AD46" s="442"/>
      <c r="AE46" s="442"/>
      <c r="AF46" s="442"/>
      <c r="AH46" s="431"/>
      <c r="AN46" s="430"/>
    </row>
    <row r="47" spans="1:40" x14ac:dyDescent="0.3">
      <c r="A47" s="442" t="str">
        <f>'0_Total'!$BH2</f>
        <v>Ridesourcing - car - ICE (25% higher average load: 1,94 passengers on board, no change in deadheading km share)</v>
      </c>
      <c r="B47" s="470"/>
      <c r="C47" s="358" t="str">
        <f>MID(A47,27,LEN(A47)-27)</f>
        <v>25% higher average load: 1,94 passengers on board, no change in deadheading km share</v>
      </c>
      <c r="D47" s="357">
        <f ca="1">HLOOKUP($A47,'0_Total'!$D$2:$ED$117,ROW('0_Total'!$A$99)-ROW('0_Total'!$A$2)+1,FALSE)+
HLOOKUP($A47,'0_Total'!$D$2:$ED$117,ROW('0_Total'!$A$100)-ROW('0_Total'!$A$2)+1,FALSE)</f>
        <v>17.848505574671897</v>
      </c>
      <c r="E47" s="508">
        <f t="shared" si="0"/>
        <v>97.263582224516099</v>
      </c>
      <c r="F47" s="357">
        <f>HLOOKUP($A47,'0_Total'!$D$2:$ED$117,ROW('0_Total'!$A$103)-ROW('0_Total'!$A$2)+1,FALSE)</f>
        <v>16.322558410864065</v>
      </c>
      <c r="G47" s="508">
        <f t="shared" si="1"/>
        <v>89.322252963196405</v>
      </c>
      <c r="H47" s="448">
        <f t="shared" ca="1" si="2"/>
        <v>161.97203672281782</v>
      </c>
      <c r="I47" s="454">
        <f t="shared" ca="1" si="3"/>
        <v>275.94612396656066</v>
      </c>
      <c r="L47" s="454"/>
      <c r="M47" s="442"/>
      <c r="N47" s="442"/>
      <c r="O47" s="442"/>
      <c r="P47" s="442"/>
      <c r="Q47" s="442"/>
      <c r="R47" s="357">
        <f>HLOOKUP($A47,'0_Total'!$D$2:$ED$117,ROW('0_Total'!$A$101)-ROW('0_Total'!$A$2)+1,FALSE)</f>
        <v>158.37939634260283</v>
      </c>
      <c r="S47" s="357">
        <f>HLOOKUP($A47,'0_Total'!$D$2:$ED$117,ROW('0_Total'!$A$102)-ROW('0_Total'!$A$2)+1,FALSE)</f>
        <v>28.206438845109673</v>
      </c>
      <c r="U47" s="509">
        <f>U46</f>
        <v>0.38588235294117645</v>
      </c>
      <c r="V47" s="442"/>
      <c r="W47" s="442"/>
      <c r="X47" s="442"/>
      <c r="Y47" s="442"/>
      <c r="Z47" s="442"/>
      <c r="AA47" s="442"/>
      <c r="AB47" s="442"/>
      <c r="AC47" s="442"/>
      <c r="AD47" s="442"/>
      <c r="AE47" s="442"/>
      <c r="AF47" s="442"/>
      <c r="AH47" s="431"/>
      <c r="AN47" s="430"/>
    </row>
    <row r="48" spans="1:40" x14ac:dyDescent="0.3">
      <c r="A48" s="442" t="str">
        <f>'0_Total'!$BE2</f>
        <v>Ridesourcing - car - ICE (average load, 25% lower deadheading km share)</v>
      </c>
      <c r="B48" s="470"/>
      <c r="C48" s="358" t="str">
        <f>"A"&amp;MID(A48,28,LEN(A48)-28)</f>
        <v>Average load, 25% lower deadheading km share</v>
      </c>
      <c r="D48" s="357">
        <f ca="1">HLOOKUP($A48,'0_Total'!$D$2:$ED$117,ROW('0_Total'!$A$99)-ROW('0_Total'!$A$2)+1,FALSE)+
HLOOKUP($A48,'0_Total'!$D$2:$ED$117,ROW('0_Total'!$A$100)-ROW('0_Total'!$A$2)+1,FALSE)</f>
        <v>19.281705111710956</v>
      </c>
      <c r="E48" s="508">
        <f t="shared" si="0"/>
        <v>105.0736546382397</v>
      </c>
      <c r="F48" s="357">
        <f>HLOOKUP($A48,'0_Total'!$D$2:$ED$117,ROW('0_Total'!$A$103)-ROW('0_Total'!$A$2)+1,FALSE)</f>
        <v>17.63322742233246</v>
      </c>
      <c r="G48" s="508">
        <f t="shared" si="1"/>
        <v>96.494652414711396</v>
      </c>
      <c r="H48" s="448">
        <f t="shared" ca="1" si="2"/>
        <v>161.97203672281782</v>
      </c>
      <c r="I48" s="454">
        <f t="shared" ca="1" si="3"/>
        <v>275.94612396656066</v>
      </c>
      <c r="L48" s="454"/>
      <c r="M48" s="442"/>
      <c r="N48" s="442"/>
      <c r="O48" s="442"/>
      <c r="P48" s="442"/>
      <c r="Q48" s="442"/>
      <c r="R48" s="357">
        <f>HLOOKUP($A48,'0_Total'!$D$2:$ED$117,ROW('0_Total'!$A$101)-ROW('0_Total'!$A$2)+1,FALSE)</f>
        <v>171.09694720786158</v>
      </c>
      <c r="S48" s="357">
        <f>HLOOKUP($A48,'0_Total'!$D$2:$ED$117,ROW('0_Total'!$A$102)-ROW('0_Total'!$A$2)+1,FALSE)</f>
        <v>30.471359845089516</v>
      </c>
      <c r="U48" s="509">
        <f>U47</f>
        <v>0.38588235294117645</v>
      </c>
      <c r="V48" s="442"/>
      <c r="W48" s="442"/>
      <c r="X48" s="442"/>
      <c r="Y48" s="442"/>
      <c r="Z48" s="442"/>
      <c r="AA48" s="442"/>
      <c r="AB48" s="442"/>
      <c r="AC48" s="442"/>
      <c r="AD48" s="442"/>
      <c r="AE48" s="442"/>
      <c r="AF48" s="442"/>
      <c r="AH48" s="431"/>
      <c r="AN48" s="430"/>
    </row>
    <row r="49" spans="1:40" x14ac:dyDescent="0.3">
      <c r="A49" s="442" t="str">
        <f>'0_Total'!$BD2</f>
        <v>Ridesourcing - car - ICE (average load, 25% higher deadheading km share)</v>
      </c>
      <c r="B49" s="470"/>
      <c r="C49" s="358" t="str">
        <f>"A"&amp;MID(A49,28,LEN(A49)-28)</f>
        <v>Average load, 25% higher deadheading km share</v>
      </c>
      <c r="D49" s="357">
        <f ca="1">HLOOKUP($A49,'0_Total'!$D$2:$ED$117,ROW('0_Total'!$A$99)-ROW('0_Total'!$A$2)+1,FALSE)+
HLOOKUP($A49,'0_Total'!$D$2:$ED$117,ROW('0_Total'!$A$100)-ROW('0_Total'!$A$2)+1,FALSE)</f>
        <v>26.468522471530491</v>
      </c>
      <c r="E49" s="508">
        <f t="shared" si="0"/>
        <v>144.23747136703813</v>
      </c>
      <c r="F49" s="357">
        <f>HLOOKUP($A49,'0_Total'!$D$2:$ED$117,ROW('0_Total'!$A$103)-ROW('0_Total'!$A$2)+1,FALSE)</f>
        <v>24.205612188838192</v>
      </c>
      <c r="G49" s="508">
        <f t="shared" si="1"/>
        <v>132.4608410420129</v>
      </c>
      <c r="H49" s="448">
        <f t="shared" ca="1" si="2"/>
        <v>161.97203672281782</v>
      </c>
      <c r="I49" s="454">
        <f t="shared" ca="1" si="3"/>
        <v>275.94612396656066</v>
      </c>
      <c r="L49" s="454"/>
      <c r="M49" s="442"/>
      <c r="N49" s="442"/>
      <c r="O49" s="442"/>
      <c r="P49" s="442"/>
      <c r="Q49" s="442"/>
      <c r="R49" s="357">
        <f>HLOOKUP($A49,'0_Total'!$D$2:$ED$117,ROW('0_Total'!$A$101)-ROW('0_Total'!$A$2)+1,FALSE)</f>
        <v>234.86944571260995</v>
      </c>
      <c r="S49" s="357">
        <f>HLOOKUP($A49,'0_Total'!$D$2:$ED$117,ROW('0_Total'!$A$102)-ROW('0_Total'!$A$2)+1,FALSE)</f>
        <v>41.828866696441061</v>
      </c>
      <c r="U49" s="509">
        <f>U48</f>
        <v>0.38588235294117645</v>
      </c>
      <c r="V49" s="442"/>
      <c r="W49" s="442"/>
      <c r="X49" s="442"/>
      <c r="Y49" s="442"/>
      <c r="Z49" s="442"/>
      <c r="AA49" s="442"/>
      <c r="AB49" s="442"/>
      <c r="AC49" s="442"/>
      <c r="AD49" s="442"/>
      <c r="AE49" s="442"/>
      <c r="AF49" s="442"/>
      <c r="AH49" s="431"/>
      <c r="AN49" s="430"/>
    </row>
    <row r="50" spans="1:40" x14ac:dyDescent="0.3">
      <c r="A50" s="442" t="str">
        <f>'0_Total'!BF2</f>
        <v>Ridesourcing - car - ICE (single passenger on board, no change in deadheading km share)</v>
      </c>
      <c r="B50" s="470"/>
      <c r="C50" s="358" t="str">
        <f>"S"&amp;MID(A50,28,LEN(A50)-28)</f>
        <v>Single passenger on board, no change in deadheading km share</v>
      </c>
      <c r="D50" s="357">
        <f ca="1">HLOOKUP($A50,'0_Total'!$D$2:$ED$117,ROW('0_Total'!$A$99)-ROW('0_Total'!$A$2)+1,FALSE)+
HLOOKUP($A50,'0_Total'!$D$2:$ED$117,ROW('0_Total'!$A$100)-ROW('0_Total'!$A$2)+1,FALSE)</f>
        <v>34.581479550926808</v>
      </c>
      <c r="E50" s="508">
        <f t="shared" si="0"/>
        <v>188.44819055999997</v>
      </c>
      <c r="F50" s="357">
        <f>HLOOKUP($A50,'0_Total'!$D$2:$ED$117,ROW('0_Total'!$A$103)-ROW('0_Total'!$A$2)+1,FALSE)</f>
        <v>31.624956921049129</v>
      </c>
      <c r="G50" s="508">
        <f t="shared" si="1"/>
        <v>173.06186511619308</v>
      </c>
      <c r="H50" s="448">
        <f t="shared" ca="1" si="2"/>
        <v>161.97203672281782</v>
      </c>
      <c r="I50" s="454">
        <f t="shared" ca="1" si="3"/>
        <v>275.94612396656066</v>
      </c>
      <c r="L50" s="454"/>
      <c r="M50" s="442"/>
      <c r="N50" s="442"/>
      <c r="O50" s="442"/>
      <c r="P50" s="442"/>
      <c r="Q50" s="442"/>
      <c r="R50" s="357">
        <f>HLOOKUP($A50,'0_Total'!$D$2:$ED$117,ROW('0_Total'!$A$101)-ROW('0_Total'!$A$2)+1,FALSE)</f>
        <v>306.86008041379307</v>
      </c>
      <c r="S50" s="357">
        <f>HLOOKUP($A50,'0_Total'!$D$2:$ED$117,ROW('0_Total'!$A$102)-ROW('0_Total'!$A$2)+1,FALSE)</f>
        <v>54.649975262399998</v>
      </c>
      <c r="U50" s="509">
        <f>U49</f>
        <v>0.38588235294117645</v>
      </c>
      <c r="V50" s="442"/>
      <c r="W50" s="442"/>
      <c r="X50" s="442"/>
      <c r="Y50" s="442"/>
      <c r="Z50" s="442"/>
      <c r="AA50" s="442"/>
      <c r="AB50" s="442"/>
      <c r="AC50" s="442"/>
      <c r="AD50" s="442"/>
      <c r="AE50" s="442"/>
      <c r="AF50" s="442"/>
      <c r="AH50" s="431"/>
      <c r="AN50" s="430"/>
    </row>
    <row r="51" spans="1:40" x14ac:dyDescent="0.3">
      <c r="B51" s="470"/>
      <c r="C51" s="469"/>
      <c r="D51" s="357"/>
      <c r="E51" s="357"/>
      <c r="F51" s="357"/>
      <c r="G51" s="357"/>
      <c r="H51" s="448"/>
      <c r="I51" s="454"/>
      <c r="L51" s="454"/>
      <c r="M51" s="442"/>
      <c r="N51" s="442"/>
      <c r="O51" s="442"/>
      <c r="P51" s="442"/>
      <c r="Q51" s="442"/>
      <c r="R51" s="442"/>
      <c r="S51" s="442"/>
      <c r="U51" s="441"/>
      <c r="V51" s="442"/>
      <c r="W51" s="442"/>
      <c r="X51" s="442"/>
      <c r="Y51" s="442"/>
      <c r="Z51" s="442"/>
      <c r="AA51" s="442"/>
      <c r="AB51" s="442"/>
      <c r="AC51" s="442"/>
      <c r="AD51" s="442"/>
      <c r="AE51" s="442"/>
      <c r="AF51" s="442"/>
      <c r="AH51" s="431"/>
      <c r="AN51" s="430"/>
    </row>
    <row r="52" spans="1:40" x14ac:dyDescent="0.3">
      <c r="B52" s="470"/>
      <c r="C52" s="466"/>
      <c r="D52" s="357"/>
      <c r="E52" s="357"/>
      <c r="F52" s="357"/>
      <c r="G52" s="357"/>
      <c r="H52" s="448"/>
      <c r="I52" s="454"/>
      <c r="L52" s="454"/>
      <c r="M52" s="442"/>
      <c r="N52" s="442"/>
      <c r="O52" s="442"/>
      <c r="P52" s="442"/>
      <c r="Q52" s="442"/>
      <c r="R52" s="442"/>
      <c r="S52" s="442"/>
      <c r="U52" s="441"/>
      <c r="V52" s="442"/>
      <c r="W52" s="442"/>
      <c r="X52" s="442"/>
      <c r="Y52" s="442"/>
      <c r="Z52" s="442"/>
      <c r="AA52" s="442"/>
      <c r="AB52" s="442"/>
      <c r="AC52" s="442"/>
      <c r="AD52" s="442"/>
      <c r="AE52" s="442"/>
      <c r="AF52" s="442"/>
      <c r="AH52" s="431"/>
      <c r="AN52" s="430"/>
    </row>
    <row r="53" spans="1:40" x14ac:dyDescent="0.3">
      <c r="B53" s="470"/>
      <c r="C53" s="469"/>
      <c r="D53" s="357"/>
      <c r="E53" s="357"/>
      <c r="F53" s="357"/>
      <c r="G53" s="357"/>
      <c r="H53" s="448"/>
      <c r="I53" s="454"/>
      <c r="L53" s="454"/>
      <c r="M53" s="442"/>
      <c r="N53" s="442"/>
      <c r="O53" s="442"/>
      <c r="P53" s="442"/>
      <c r="Q53" s="442"/>
      <c r="R53" s="442"/>
      <c r="S53" s="442"/>
      <c r="U53" s="441"/>
      <c r="V53" s="442"/>
      <c r="W53" s="442"/>
      <c r="X53" s="442"/>
      <c r="Y53" s="442"/>
      <c r="Z53" s="442"/>
      <c r="AA53" s="442"/>
      <c r="AB53" s="442"/>
      <c r="AC53" s="442"/>
      <c r="AD53" s="442"/>
      <c r="AE53" s="442"/>
      <c r="AF53" s="442"/>
      <c r="AH53" s="431"/>
      <c r="AN53" s="430"/>
    </row>
    <row r="54" spans="1:40" x14ac:dyDescent="0.3">
      <c r="B54" s="470"/>
      <c r="C54" s="469"/>
      <c r="D54" s="357"/>
      <c r="E54" s="357"/>
      <c r="F54" s="357"/>
      <c r="G54" s="357"/>
      <c r="H54" s="448"/>
      <c r="I54" s="454"/>
      <c r="L54" s="454"/>
      <c r="M54" s="442"/>
      <c r="N54" s="442"/>
      <c r="O54" s="442"/>
      <c r="P54" s="442"/>
      <c r="Q54" s="442"/>
      <c r="R54" s="442"/>
      <c r="S54" s="442"/>
      <c r="U54" s="441"/>
      <c r="V54" s="442"/>
      <c r="W54" s="442"/>
      <c r="X54" s="442"/>
      <c r="Y54" s="442"/>
      <c r="Z54" s="442"/>
      <c r="AA54" s="442"/>
      <c r="AB54" s="442"/>
      <c r="AC54" s="442"/>
      <c r="AD54" s="442"/>
      <c r="AE54" s="442"/>
      <c r="AF54" s="442"/>
      <c r="AH54" s="431"/>
      <c r="AN54" s="430"/>
    </row>
    <row r="55" spans="1:40" x14ac:dyDescent="0.3">
      <c r="B55" s="470"/>
      <c r="C55" s="467"/>
      <c r="D55" s="357"/>
      <c r="E55" s="357"/>
      <c r="F55" s="357"/>
      <c r="G55" s="357"/>
      <c r="H55" s="448"/>
      <c r="I55" s="454"/>
      <c r="L55" s="454"/>
      <c r="M55" s="442"/>
      <c r="N55" s="442"/>
      <c r="O55" s="442"/>
      <c r="P55" s="442"/>
      <c r="Q55" s="442"/>
      <c r="R55" s="442"/>
      <c r="S55" s="442"/>
      <c r="U55" s="441"/>
      <c r="V55" s="442"/>
      <c r="W55" s="442"/>
      <c r="X55" s="442"/>
      <c r="Y55" s="442"/>
      <c r="Z55" s="442"/>
      <c r="AA55" s="442"/>
      <c r="AB55" s="442"/>
      <c r="AC55" s="442"/>
      <c r="AD55" s="442"/>
      <c r="AE55" s="442"/>
      <c r="AF55" s="442"/>
      <c r="AH55" s="431"/>
      <c r="AN55" s="430"/>
    </row>
    <row r="56" spans="1:40" x14ac:dyDescent="0.3">
      <c r="B56" s="470"/>
      <c r="C56" s="468"/>
      <c r="D56" s="357"/>
      <c r="E56" s="357"/>
      <c r="F56" s="357"/>
      <c r="G56" s="357"/>
      <c r="H56" s="448"/>
      <c r="I56" s="454"/>
      <c r="L56" s="454"/>
      <c r="M56" s="442"/>
      <c r="N56" s="442"/>
      <c r="O56" s="442"/>
      <c r="P56" s="442"/>
      <c r="Q56" s="442"/>
      <c r="R56" s="442"/>
      <c r="S56" s="442"/>
      <c r="U56" s="441"/>
      <c r="V56" s="442"/>
      <c r="W56" s="442"/>
      <c r="X56" s="442"/>
      <c r="Y56" s="442"/>
      <c r="Z56" s="442"/>
      <c r="AA56" s="442"/>
      <c r="AB56" s="442"/>
      <c r="AC56" s="442"/>
      <c r="AD56" s="442"/>
      <c r="AE56" s="442"/>
      <c r="AF56" s="442"/>
      <c r="AH56" s="431"/>
      <c r="AN56" s="430"/>
    </row>
    <row r="57" spans="1:40" x14ac:dyDescent="0.3">
      <c r="C57" s="358"/>
      <c r="D57" s="357"/>
      <c r="E57" s="357"/>
      <c r="F57" s="357"/>
      <c r="G57" s="357"/>
      <c r="H57" s="448"/>
      <c r="L57" s="454"/>
      <c r="M57" s="442"/>
      <c r="N57" s="442"/>
      <c r="O57" s="442"/>
      <c r="P57" s="442"/>
      <c r="Q57" s="442"/>
      <c r="R57" s="442"/>
      <c r="S57" s="442"/>
      <c r="U57" s="441"/>
      <c r="V57" s="442"/>
      <c r="W57" s="442"/>
      <c r="X57" s="442"/>
      <c r="Y57" s="442"/>
      <c r="Z57" s="442"/>
      <c r="AA57" s="442"/>
      <c r="AB57" s="442"/>
      <c r="AC57" s="442"/>
      <c r="AD57" s="442"/>
      <c r="AE57" s="442"/>
      <c r="AF57" s="442"/>
      <c r="AH57" s="431"/>
      <c r="AN57" s="430"/>
    </row>
    <row r="58" spans="1:40" x14ac:dyDescent="0.3">
      <c r="A58" s="430" t="str">
        <f>'0_Total'!AO2</f>
        <v>Private car - ICE</v>
      </c>
      <c r="C58" s="358" t="str">
        <f>A58&amp;" (central estimate)"</f>
        <v>Private car - ICE (central estimate)</v>
      </c>
      <c r="D58" s="357"/>
      <c r="E58" s="357"/>
      <c r="F58" s="357"/>
      <c r="G58" s="357"/>
      <c r="H58" s="444">
        <f ca="1">HLOOKUP($A58,'0_Total'!$D$2:$ED$117,ROW('0_Total'!$A$98)-ROW('0_Total'!$A$2)+1,FALSE)</f>
        <v>161.97203672281782</v>
      </c>
      <c r="M58" s="442"/>
      <c r="N58" s="442"/>
      <c r="O58" s="442"/>
      <c r="P58" s="442"/>
      <c r="Q58" s="442"/>
      <c r="R58" s="442"/>
      <c r="S58" s="442"/>
      <c r="U58" s="441"/>
      <c r="V58" s="442"/>
      <c r="W58" s="442"/>
      <c r="X58" s="442"/>
      <c r="Y58" s="442"/>
      <c r="Z58" s="442"/>
      <c r="AA58" s="442"/>
      <c r="AB58" s="442"/>
      <c r="AC58" s="442"/>
      <c r="AD58" s="442"/>
      <c r="AE58" s="442"/>
      <c r="AF58" s="442"/>
      <c r="AH58" s="431"/>
      <c r="AN58" s="430"/>
    </row>
    <row r="59" spans="1:40" x14ac:dyDescent="0.3">
      <c r="A59" s="430" t="str">
        <f>'0_Total'!BI2</f>
        <v>Ridesourcing - car - ICE</v>
      </c>
      <c r="C59" s="358" t="str">
        <f>A59&amp;" (central estimate)"</f>
        <v>Ridesourcing - car - ICE (central estimate)</v>
      </c>
      <c r="D59" s="357"/>
      <c r="E59" s="357"/>
      <c r="F59" s="357"/>
      <c r="G59" s="448"/>
      <c r="H59" s="449"/>
      <c r="I59" s="475">
        <f ca="1">HLOOKUP($A59,'0_Total'!$D$2:$ED$117,ROW('0_Total'!$A$98)-ROW('0_Total'!$A$2)+1,FALSE)</f>
        <v>275.94612396656066</v>
      </c>
      <c r="J59" s="442"/>
      <c r="K59" s="442"/>
      <c r="L59" s="442"/>
      <c r="M59" s="442"/>
      <c r="N59" s="442"/>
      <c r="O59" s="442"/>
      <c r="P59" s="442"/>
      <c r="Q59" s="442"/>
      <c r="R59" s="442"/>
      <c r="S59" s="442"/>
      <c r="U59" s="441"/>
      <c r="V59" s="442"/>
      <c r="W59" s="442"/>
      <c r="X59" s="442"/>
      <c r="Y59" s="442"/>
      <c r="Z59" s="442"/>
      <c r="AA59" s="442"/>
      <c r="AB59" s="442"/>
      <c r="AC59" s="442"/>
      <c r="AD59" s="442"/>
      <c r="AE59" s="442"/>
      <c r="AF59" s="442"/>
      <c r="AH59" s="431"/>
      <c r="AN59" s="430"/>
    </row>
    <row r="60" spans="1:40" x14ac:dyDescent="0.3">
      <c r="B60" s="358"/>
      <c r="C60" s="357"/>
      <c r="D60" s="357"/>
      <c r="E60" s="357"/>
      <c r="F60" s="357"/>
      <c r="G60" s="448"/>
      <c r="H60" s="449"/>
      <c r="I60" s="454"/>
      <c r="J60" s="442"/>
      <c r="K60" s="442"/>
      <c r="L60" s="442"/>
      <c r="M60" s="442"/>
      <c r="N60" s="442"/>
      <c r="O60" s="442"/>
      <c r="P60" s="442"/>
      <c r="Q60" s="442"/>
      <c r="R60" s="442"/>
      <c r="S60" s="442"/>
      <c r="U60" s="441"/>
      <c r="V60" s="442"/>
      <c r="W60" s="442"/>
      <c r="X60" s="442"/>
      <c r="Y60" s="442"/>
      <c r="Z60" s="442"/>
      <c r="AA60" s="442"/>
      <c r="AB60" s="442"/>
      <c r="AC60" s="442"/>
      <c r="AD60" s="442"/>
      <c r="AE60" s="442"/>
      <c r="AF60" s="442"/>
      <c r="AH60" s="431"/>
      <c r="AN60" s="430"/>
    </row>
    <row r="61" spans="1:40" x14ac:dyDescent="0.3">
      <c r="B61" s="358"/>
      <c r="C61" s="357"/>
      <c r="D61" s="357"/>
      <c r="E61" s="357"/>
      <c r="F61" s="357"/>
      <c r="G61" s="448"/>
      <c r="H61" s="449"/>
      <c r="I61" s="454"/>
      <c r="J61" s="442"/>
      <c r="K61" s="442"/>
      <c r="L61" s="442"/>
      <c r="M61" s="442"/>
      <c r="N61" s="442"/>
      <c r="O61" s="442"/>
      <c r="P61" s="442"/>
      <c r="Q61" s="442"/>
      <c r="R61" s="442"/>
      <c r="S61" s="442"/>
      <c r="U61" s="441"/>
      <c r="V61" s="442"/>
      <c r="W61" s="442"/>
      <c r="X61" s="442"/>
      <c r="Y61" s="442"/>
      <c r="Z61" s="442"/>
      <c r="AA61" s="442"/>
      <c r="AB61" s="442"/>
      <c r="AC61" s="442"/>
      <c r="AD61" s="442"/>
      <c r="AE61" s="442"/>
      <c r="AF61" s="442"/>
      <c r="AH61" s="431"/>
      <c r="AN61" s="430"/>
    </row>
    <row r="62" spans="1:40" x14ac:dyDescent="0.3">
      <c r="B62" s="358"/>
      <c r="C62" s="357"/>
      <c r="D62" s="357"/>
      <c r="E62" s="357"/>
      <c r="F62" s="357"/>
      <c r="G62" s="357"/>
      <c r="H62" s="445"/>
      <c r="I62" s="442"/>
      <c r="J62" s="442"/>
      <c r="K62" s="442"/>
      <c r="L62" s="442"/>
      <c r="M62" s="442"/>
      <c r="N62" s="442"/>
      <c r="O62" s="442"/>
      <c r="P62" s="442"/>
      <c r="Q62" s="442"/>
      <c r="R62" s="442"/>
      <c r="S62" s="442"/>
      <c r="U62" s="441"/>
      <c r="V62" s="442"/>
      <c r="W62" s="442"/>
      <c r="X62" s="442"/>
      <c r="Y62" s="442"/>
      <c r="Z62" s="442"/>
      <c r="AA62" s="442"/>
      <c r="AB62" s="442"/>
      <c r="AC62" s="442"/>
      <c r="AD62" s="442"/>
      <c r="AE62" s="442"/>
      <c r="AF62" s="442"/>
      <c r="AH62" s="431"/>
      <c r="AN62" s="430"/>
    </row>
    <row r="63" spans="1:40" x14ac:dyDescent="0.3">
      <c r="B63" s="358"/>
      <c r="C63" s="357"/>
      <c r="D63" s="357"/>
      <c r="E63" s="357"/>
      <c r="F63" s="357"/>
      <c r="G63" s="357"/>
      <c r="H63" s="445"/>
      <c r="K63" s="441"/>
      <c r="L63" s="442"/>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357"/>
      <c r="H64" s="357"/>
      <c r="I64" s="357"/>
      <c r="J64" s="357"/>
      <c r="K64" s="445"/>
      <c r="N64" s="441"/>
      <c r="O64" s="442"/>
      <c r="P64" s="442"/>
      <c r="Q64" s="442"/>
      <c r="R64" s="442"/>
      <c r="S64" s="442"/>
      <c r="T64" s="442"/>
      <c r="U64" s="442"/>
      <c r="V64" s="442"/>
      <c r="W64" s="442"/>
      <c r="X64" s="442"/>
      <c r="Y64" s="442"/>
      <c r="AA64" s="441"/>
      <c r="AB64" s="442"/>
      <c r="AC64" s="442"/>
      <c r="AD64" s="442"/>
      <c r="AE64" s="442"/>
      <c r="AF64" s="442"/>
      <c r="AG64" s="442"/>
      <c r="AH64" s="442"/>
      <c r="AI64" s="442"/>
      <c r="AJ64" s="442"/>
      <c r="AK64" s="442"/>
      <c r="AL64" s="442"/>
    </row>
    <row r="65" spans="2:38" x14ac:dyDescent="0.3">
      <c r="B65" s="349"/>
      <c r="C65" s="349"/>
      <c r="D65" s="349"/>
      <c r="E65" s="349"/>
      <c r="F65" s="349"/>
      <c r="G65" s="349"/>
      <c r="H65" s="349"/>
      <c r="I65" s="349"/>
      <c r="J65" s="349"/>
      <c r="N65" s="441"/>
      <c r="O65" s="442"/>
      <c r="P65" s="442"/>
      <c r="Q65" s="442"/>
      <c r="R65" s="442"/>
      <c r="S65" s="442"/>
      <c r="T65" s="442"/>
      <c r="U65" s="442"/>
      <c r="V65" s="442"/>
      <c r="W65" s="442"/>
      <c r="X65" s="442"/>
      <c r="Y65" s="442"/>
      <c r="AA65" s="441"/>
      <c r="AB65" s="442"/>
      <c r="AC65" s="442"/>
      <c r="AD65" s="442"/>
      <c r="AE65" s="442"/>
      <c r="AF65" s="442"/>
      <c r="AG65" s="442"/>
      <c r="AH65" s="442"/>
      <c r="AI65" s="442"/>
      <c r="AJ65" s="442"/>
      <c r="AK65" s="442"/>
      <c r="AL65" s="442"/>
    </row>
    <row r="66" spans="2:38" x14ac:dyDescent="0.3">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38" x14ac:dyDescent="0.3">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38"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38" x14ac:dyDescent="0.3">
      <c r="O69" s="431"/>
      <c r="P69" s="431"/>
    </row>
    <row r="70" spans="2:38" x14ac:dyDescent="0.3">
      <c r="B70" s="446"/>
      <c r="C70" s="435"/>
      <c r="D70" s="435"/>
      <c r="E70" s="435"/>
      <c r="F70" s="435"/>
      <c r="G70" s="435"/>
      <c r="H70" s="435"/>
      <c r="I70" s="435"/>
      <c r="J70" s="435"/>
      <c r="K70" s="435"/>
      <c r="O70" s="431"/>
      <c r="P70" s="431"/>
    </row>
    <row r="71" spans="2:38" x14ac:dyDescent="0.3">
      <c r="B71" s="435"/>
      <c r="C71" s="447"/>
      <c r="D71" s="447"/>
      <c r="E71" s="447"/>
      <c r="F71" s="447"/>
      <c r="G71" s="447"/>
      <c r="H71" s="447"/>
      <c r="I71" s="447"/>
      <c r="J71" s="447"/>
      <c r="K71" s="447"/>
      <c r="O71" s="431"/>
      <c r="P71" s="431"/>
    </row>
    <row r="72" spans="2:38" x14ac:dyDescent="0.3">
      <c r="B72" s="435"/>
      <c r="C72" s="447"/>
      <c r="D72" s="447"/>
      <c r="E72" s="447"/>
      <c r="F72" s="447"/>
      <c r="G72" s="447"/>
      <c r="H72" s="447"/>
      <c r="I72" s="447"/>
      <c r="J72" s="447"/>
      <c r="K72" s="447"/>
      <c r="O72" s="431"/>
      <c r="P72" s="431"/>
    </row>
    <row r="73" spans="2:38" x14ac:dyDescent="0.3">
      <c r="B73" s="435"/>
      <c r="C73" s="447"/>
      <c r="D73" s="447"/>
      <c r="E73" s="447"/>
      <c r="F73" s="447"/>
      <c r="G73" s="447"/>
      <c r="H73" s="447"/>
      <c r="I73" s="447"/>
      <c r="J73" s="447"/>
      <c r="K73" s="447"/>
      <c r="O73" s="431"/>
      <c r="P73" s="431"/>
    </row>
    <row r="74" spans="2:38" x14ac:dyDescent="0.3">
      <c r="B74" s="435"/>
      <c r="C74" s="447"/>
      <c r="D74" s="447"/>
      <c r="E74" s="447"/>
      <c r="F74" s="447"/>
      <c r="G74" s="447"/>
      <c r="H74" s="447"/>
      <c r="I74" s="447"/>
      <c r="J74" s="447"/>
      <c r="K74" s="447"/>
      <c r="O74" s="431"/>
      <c r="P74" s="431"/>
    </row>
    <row r="75" spans="2:38" x14ac:dyDescent="0.3">
      <c r="O75" s="431"/>
      <c r="P75" s="431"/>
    </row>
    <row r="76" spans="2:38" x14ac:dyDescent="0.3">
      <c r="O76" s="431"/>
      <c r="P76" s="431"/>
    </row>
    <row r="77" spans="2:38" x14ac:dyDescent="0.3">
      <c r="O77" s="431"/>
      <c r="P77" s="431"/>
    </row>
    <row r="78" spans="2:38" x14ac:dyDescent="0.3">
      <c r="O78" s="431"/>
      <c r="P78" s="431"/>
    </row>
    <row r="79" spans="2:38" x14ac:dyDescent="0.3">
      <c r="O79" s="431"/>
      <c r="P79" s="431"/>
    </row>
    <row r="80" spans="2:38"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sheetData>
  <mergeCells count="1">
    <mergeCell ref="B19:H33"/>
  </mergeCells>
  <pageMargins left="0" right="0" top="0" bottom="0" header="0" footer="0"/>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BC143"/>
  </sheetPr>
  <dimension ref="A1:AN132"/>
  <sheetViews>
    <sheetView topLeftCell="D16" zoomScale="67" zoomScaleNormal="60" zoomScalePageLayoutView="200" workbookViewId="0">
      <selection activeCell="B18" sqref="B18"/>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Figure_3_MJ_per_pkm_General!C12</f>
        <v>Energy consumption per pkm [MJ/pkm]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Private car - ICE (central estimate)</v>
      </c>
      <c r="I44" s="476" t="str">
        <f>C59</f>
        <v>Ridesourcing - car - ICE (central estimate)</v>
      </c>
      <c r="L44" s="441"/>
      <c r="M44" s="442"/>
      <c r="N44" s="442"/>
      <c r="O44" s="442"/>
      <c r="P44" s="442"/>
      <c r="Q44" s="442"/>
      <c r="R44" s="358" t="s">
        <v>1130</v>
      </c>
      <c r="S44" s="358" t="s">
        <v>850</v>
      </c>
      <c r="U44" s="509" t="str">
        <f>Figure_2_GHG_per_pkm_General!B60</f>
        <v>Deadheading, % of total vkm (excluding commute)</v>
      </c>
      <c r="V44" s="442"/>
      <c r="W44" s="442"/>
      <c r="X44" s="442"/>
      <c r="Y44" s="442"/>
      <c r="Z44" s="442"/>
      <c r="AA44" s="442"/>
      <c r="AB44" s="442"/>
      <c r="AC44" s="442"/>
      <c r="AD44" s="442"/>
      <c r="AE44" s="442"/>
      <c r="AF44" s="442"/>
      <c r="AH44" s="431"/>
      <c r="AN44" s="430"/>
    </row>
    <row r="45" spans="1:40" s="465" customFormat="1" x14ac:dyDescent="0.3">
      <c r="A45" s="465" t="str">
        <f>'0_Total'!$BC2</f>
        <v>Ridesourcing - car - ICE (25% lower deadheading km share and 2.25 passengers)</v>
      </c>
      <c r="B45" s="477"/>
      <c r="C45" s="478" t="str">
        <f>"A"&amp;MID(A45,28,LEN(A45)-28)</f>
        <v>A5% lower deadheading km share and 2.25 passengers</v>
      </c>
      <c r="D45" s="450">
        <f ca="1">HLOOKUP($A45,'0_Total'!$D$2:$ED$117,ROW('0_Total'!$A$77)-ROW('0_Total'!$A$2)+1,FALSE)+
HLOOKUP($A45,'0_Total'!$D$2:$ED$117,ROW('0_Total'!$A$78)-ROW('0_Total'!$A$2)+1,FALSE)</f>
        <v>0.14662999537918589</v>
      </c>
      <c r="E45" s="512">
        <f t="shared" ref="E45:E50" si="0">R45*(1-U45)</f>
        <v>1.0686148256077252</v>
      </c>
      <c r="F45" s="450">
        <f>HLOOKUP($A45,'0_Total'!$D$2:$ED$117,ROW('0_Total'!$A$81)-ROW('0_Total'!$A$2)+1,FALSE)</f>
        <v>3.5550976474342959E-2</v>
      </c>
      <c r="G45" s="512">
        <f t="shared" ref="G45:G50" si="1">S45+R45*U45</f>
        <v>0.98136508639814424</v>
      </c>
      <c r="H45" s="452">
        <f t="shared" ref="H45:H50" ca="1" si="2">H$58</f>
        <v>2.1835613123627797</v>
      </c>
      <c r="I45" s="465">
        <f t="shared" ref="I45:I50" ca="1" si="3">I$59</f>
        <v>3.7492357448583875</v>
      </c>
      <c r="R45" s="450">
        <f>HLOOKUP($A45,'0_Total'!$D$2:$ED$117,ROW('0_Total'!$A$79)-ROW('0_Total'!$A$2)+1,FALSE)</f>
        <v>1.740081612579629</v>
      </c>
      <c r="S45" s="450">
        <f>HLOOKUP($A45,'0_Total'!$D$2:$ED$117,ROW('0_Total'!$A$80)-ROW('0_Total'!$A$2)+1,FALSE)</f>
        <v>0.30989829942624031</v>
      </c>
      <c r="U45" s="510">
        <f>Tech_Spec_TNC!$P$14</f>
        <v>0.38588235294117645</v>
      </c>
      <c r="AH45" s="479"/>
    </row>
    <row r="46" spans="1:40" s="465" customFormat="1" x14ac:dyDescent="0.3">
      <c r="A46" s="465" t="str">
        <f>'0_Total'!$BG2</f>
        <v>Ridesourcing - car - ICE (two passengers on board, no change in deadheading km share)</v>
      </c>
      <c r="B46" s="477"/>
      <c r="C46" s="478" t="str">
        <f>"T"&amp;MID(A46,29,LEN(A46)-29)</f>
        <v>To passengers on board, no change in deadheading km share</v>
      </c>
      <c r="D46" s="450">
        <f ca="1">HLOOKUP($A46,'0_Total'!$D$2:$ED$117,ROW('0_Total'!$A$77)-ROW('0_Total'!$A$2)+1,FALSE)+
HLOOKUP($A46,'0_Total'!$D$2:$ED$117,ROW('0_Total'!$A$78)-ROW('0_Total'!$A$2)+1,FALSE)</f>
        <v>0.19087180432980227</v>
      </c>
      <c r="E46" s="512">
        <f t="shared" si="0"/>
        <v>1.3910417126445385</v>
      </c>
      <c r="F46" s="450">
        <f>HLOOKUP($A46,'0_Total'!$D$2:$ED$117,ROW('0_Total'!$A$81)-ROW('0_Total'!$A$2)+1,FALSE)</f>
        <v>4.6277564203670567E-2</v>
      </c>
      <c r="G46" s="512">
        <f t="shared" si="1"/>
        <v>1.277466621087239</v>
      </c>
      <c r="H46" s="452">
        <f t="shared" ca="1" si="2"/>
        <v>2.1835613123627797</v>
      </c>
      <c r="I46" s="465">
        <f t="shared" ca="1" si="3"/>
        <v>3.7492357448583875</v>
      </c>
      <c r="R46" s="450">
        <f>HLOOKUP($A46,'0_Total'!$D$2:$ED$117,ROW('0_Total'!$A$79)-ROW('0_Total'!$A$2)+1,FALSE)</f>
        <v>2.2651062370648614</v>
      </c>
      <c r="S46" s="450">
        <f>HLOOKUP($A46,'0_Total'!$D$2:$ED$117,ROW('0_Total'!$A$80)-ROW('0_Total'!$A$2)+1,FALSE)</f>
        <v>0.40340209666691618</v>
      </c>
      <c r="U46" s="509">
        <f>U45</f>
        <v>0.38588235294117645</v>
      </c>
      <c r="AH46" s="479"/>
    </row>
    <row r="47" spans="1:40" s="465" customFormat="1" x14ac:dyDescent="0.3">
      <c r="A47" s="465" t="str">
        <f>'0_Total'!$BH2</f>
        <v>Ridesourcing - car - ICE (25% higher average load: 1,94 passengers on board, no change in deadheading km share)</v>
      </c>
      <c r="B47" s="477"/>
      <c r="C47" s="478" t="str">
        <f>MID(A47,28,LEN(A47)-28)</f>
        <v>5% higher average load: 1,94 passengers on board, no change in deadheading km share</v>
      </c>
      <c r="D47" s="450">
        <f ca="1">HLOOKUP($A47,'0_Total'!$D$2:$ED$117,ROW('0_Total'!$A$77)-ROW('0_Total'!$A$2)+1,FALSE)+
HLOOKUP($A47,'0_Total'!$D$2:$ED$117,ROW('0_Total'!$A$78)-ROW('0_Total'!$A$2)+1,FALSE)</f>
        <v>0.19702895930818298</v>
      </c>
      <c r="E47" s="512">
        <f t="shared" si="0"/>
        <v>1.4359140259556524</v>
      </c>
      <c r="F47" s="450">
        <f>HLOOKUP($A47,'0_Total'!$D$2:$ED$117,ROW('0_Total'!$A$81)-ROW('0_Total'!$A$2)+1,FALSE)</f>
        <v>4.7770388855401871E-2</v>
      </c>
      <c r="G47" s="512">
        <f t="shared" si="1"/>
        <v>1.3186752217674724</v>
      </c>
      <c r="H47" s="452">
        <f t="shared" ca="1" si="2"/>
        <v>2.1835613123627797</v>
      </c>
      <c r="I47" s="465">
        <f t="shared" ca="1" si="3"/>
        <v>3.7492357448583875</v>
      </c>
      <c r="R47" s="450">
        <f>HLOOKUP($A47,'0_Total'!$D$2:$ED$117,ROW('0_Total'!$A$79)-ROW('0_Total'!$A$2)+1,FALSE)</f>
        <v>2.3381741801959857</v>
      </c>
      <c r="S47" s="450">
        <f>HLOOKUP($A47,'0_Total'!$D$2:$ED$117,ROW('0_Total'!$A$80)-ROW('0_Total'!$A$2)+1,FALSE)</f>
        <v>0.41641506752713925</v>
      </c>
      <c r="U47" s="509">
        <f>U46</f>
        <v>0.38588235294117645</v>
      </c>
      <c r="AH47" s="479"/>
    </row>
    <row r="48" spans="1:40" s="465" customFormat="1" x14ac:dyDescent="0.3">
      <c r="A48" s="465" t="str">
        <f>'0_Total'!$BE2</f>
        <v>Ridesourcing - car - ICE (average load, 25% lower deadheading km share)</v>
      </c>
      <c r="B48" s="477"/>
      <c r="C48" s="478" t="str">
        <f>"A"&amp;MID(A48,28,LEN(A48)-28)</f>
        <v>Average load, 25% lower deadheading km share</v>
      </c>
      <c r="D48" s="450">
        <f ca="1">HLOOKUP($A48,'0_Total'!$D$2:$ED$117,ROW('0_Total'!$A$77)-ROW('0_Total'!$A$2)+1,FALSE)+
HLOOKUP($A48,'0_Total'!$D$2:$ED$117,ROW('0_Total'!$A$78)-ROW('0_Total'!$A$2)+1,FALSE)</f>
        <v>0.21284999329236662</v>
      </c>
      <c r="E48" s="512">
        <f t="shared" si="0"/>
        <v>1.5512150694305686</v>
      </c>
      <c r="F48" s="450">
        <f>HLOOKUP($A48,'0_Total'!$D$2:$ED$117,ROW('0_Total'!$A$81)-ROW('0_Total'!$A$2)+1,FALSE)</f>
        <v>5.1606256172433328E-2</v>
      </c>
      <c r="G48" s="512">
        <f t="shared" si="1"/>
        <v>1.4245622221908543</v>
      </c>
      <c r="H48" s="452">
        <f t="shared" ca="1" si="2"/>
        <v>2.1835613123627797</v>
      </c>
      <c r="I48" s="465">
        <f t="shared" ca="1" si="3"/>
        <v>3.7492357448583875</v>
      </c>
      <c r="R48" s="450">
        <f>HLOOKUP($A48,'0_Total'!$D$2:$ED$117,ROW('0_Total'!$A$79)-ROW('0_Total'!$A$2)+1,FALSE)</f>
        <v>2.525924921486558</v>
      </c>
      <c r="S48" s="450">
        <f>HLOOKUP($A48,'0_Total'!$D$2:$ED$117,ROW('0_Total'!$A$80)-ROW('0_Total'!$A$2)+1,FALSE)</f>
        <v>0.44985237013486495</v>
      </c>
      <c r="U48" s="509">
        <f>U47</f>
        <v>0.38588235294117645</v>
      </c>
      <c r="AH48" s="479"/>
    </row>
    <row r="49" spans="1:40" s="465" customFormat="1" x14ac:dyDescent="0.3">
      <c r="A49" s="465" t="str">
        <f>'0_Total'!$BD2</f>
        <v>Ridesourcing - car - ICE (average load, 25% higher deadheading km share)</v>
      </c>
      <c r="B49" s="477"/>
      <c r="C49" s="478" t="str">
        <f>"A"&amp;MID(A49,28,LEN(A49)-28)</f>
        <v>Average load, 25% higher deadheading km share</v>
      </c>
      <c r="D49" s="450">
        <f ca="1">HLOOKUP($A49,'0_Total'!$D$2:$ED$117,ROW('0_Total'!$A$77)-ROW('0_Total'!$A$2)+1,FALSE)+
HLOOKUP($A49,'0_Total'!$D$2:$ED$117,ROW('0_Total'!$A$78)-ROW('0_Total'!$A$2)+1,FALSE)</f>
        <v>0.29218499079224869</v>
      </c>
      <c r="E49" s="512">
        <f t="shared" si="0"/>
        <v>2.1293952316728713</v>
      </c>
      <c r="F49" s="450">
        <f>HLOOKUP($A49,'0_Total'!$D$2:$ED$117,ROW('0_Total'!$A$81)-ROW('0_Total'!$A$2)+1,FALSE)</f>
        <v>7.0841315291249374E-2</v>
      </c>
      <c r="G49" s="512">
        <f t="shared" si="1"/>
        <v>1.9555354140983543</v>
      </c>
      <c r="H49" s="452">
        <f t="shared" ca="1" si="2"/>
        <v>2.1835613123627797</v>
      </c>
      <c r="I49" s="465">
        <f t="shared" ca="1" si="3"/>
        <v>3.7492357448583875</v>
      </c>
      <c r="R49" s="450">
        <f>HLOOKUP($A49,'0_Total'!$D$2:$ED$117,ROW('0_Total'!$A$79)-ROW('0_Total'!$A$2)+1,FALSE)</f>
        <v>3.4674060285860926</v>
      </c>
      <c r="S49" s="450">
        <f>HLOOKUP($A49,'0_Total'!$D$2:$ED$117,ROW('0_Total'!$A$80)-ROW('0_Total'!$A$2)+1,FALSE)</f>
        <v>0.61752461718513274</v>
      </c>
      <c r="U49" s="509">
        <f>U48</f>
        <v>0.38588235294117645</v>
      </c>
      <c r="AH49" s="479"/>
    </row>
    <row r="50" spans="1:40" s="465" customFormat="1" x14ac:dyDescent="0.3">
      <c r="A50" s="465" t="str">
        <f>'0_Total'!BF2</f>
        <v>Ridesourcing - car - ICE (single passenger on board, no change in deadheading km share)</v>
      </c>
      <c r="B50" s="477"/>
      <c r="C50" s="478" t="str">
        <f>"S"&amp;MID(A50,29,LEN(A50)-29)</f>
        <v>Sngle passenger on board, no change in deadheading km share</v>
      </c>
      <c r="D50" s="450">
        <f ca="1">HLOOKUP($A50,'0_Total'!$D$2:$ED$117,ROW('0_Total'!$A$77)-ROW('0_Total'!$A$2)+1,FALSE)+
HLOOKUP($A50,'0_Total'!$D$2:$ED$117,ROW('0_Total'!$A$78)-ROW('0_Total'!$A$2)+1,FALSE)</f>
        <v>0.38174360865960455</v>
      </c>
      <c r="E50" s="512">
        <f t="shared" si="0"/>
        <v>2.7820834252890769</v>
      </c>
      <c r="F50" s="450">
        <f>HLOOKUP($A50,'0_Total'!$D$2:$ED$117,ROW('0_Total'!$A$81)-ROW('0_Total'!$A$2)+1,FALSE)</f>
        <v>9.2555128407341133E-2</v>
      </c>
      <c r="G50" s="512">
        <f t="shared" si="1"/>
        <v>2.5549332421744779</v>
      </c>
      <c r="H50" s="452">
        <f t="shared" ca="1" si="2"/>
        <v>2.1835613123627797</v>
      </c>
      <c r="I50" s="465">
        <f t="shared" ca="1" si="3"/>
        <v>3.7492357448583875</v>
      </c>
      <c r="R50" s="450">
        <f>HLOOKUP($A50,'0_Total'!$D$2:$ED$117,ROW('0_Total'!$A$79)-ROW('0_Total'!$A$2)+1,FALSE)</f>
        <v>4.5302124741297227</v>
      </c>
      <c r="S50" s="450">
        <f>HLOOKUP($A50,'0_Total'!$D$2:$ED$117,ROW('0_Total'!$A$80)-ROW('0_Total'!$A$2)+1,FALSE)</f>
        <v>0.80680419333383235</v>
      </c>
      <c r="U50" s="509">
        <f>U49</f>
        <v>0.38588235294117645</v>
      </c>
      <c r="AH50" s="479"/>
    </row>
    <row r="51" spans="1:40" s="465" customFormat="1" x14ac:dyDescent="0.3">
      <c r="B51" s="477"/>
      <c r="C51" s="480"/>
      <c r="D51" s="450"/>
      <c r="E51" s="450"/>
      <c r="F51" s="450"/>
      <c r="G51" s="450"/>
      <c r="H51" s="452"/>
      <c r="U51" s="479"/>
      <c r="AH51" s="479"/>
    </row>
    <row r="52" spans="1:40" s="465" customFormat="1" x14ac:dyDescent="0.3">
      <c r="B52" s="477"/>
      <c r="C52" s="481"/>
      <c r="D52" s="450"/>
      <c r="E52" s="450"/>
      <c r="F52" s="450"/>
      <c r="G52" s="450"/>
      <c r="H52" s="452"/>
      <c r="U52" s="479"/>
      <c r="AH52" s="479"/>
    </row>
    <row r="53" spans="1:40" s="465" customFormat="1" x14ac:dyDescent="0.3">
      <c r="B53" s="477"/>
      <c r="C53" s="480"/>
      <c r="D53" s="450"/>
      <c r="E53" s="450"/>
      <c r="F53" s="450"/>
      <c r="G53" s="450"/>
      <c r="H53" s="452"/>
      <c r="U53" s="479"/>
      <c r="AH53" s="479"/>
    </row>
    <row r="54" spans="1:40" s="465" customFormat="1" x14ac:dyDescent="0.3">
      <c r="B54" s="477"/>
      <c r="C54" s="480"/>
      <c r="D54" s="450"/>
      <c r="E54" s="450"/>
      <c r="F54" s="450"/>
      <c r="G54" s="450"/>
      <c r="H54" s="452"/>
      <c r="U54" s="479"/>
      <c r="AH54" s="479"/>
    </row>
    <row r="55" spans="1:40" s="465" customFormat="1" x14ac:dyDescent="0.3">
      <c r="B55" s="477"/>
      <c r="C55" s="482"/>
      <c r="D55" s="450"/>
      <c r="E55" s="450"/>
      <c r="F55" s="450"/>
      <c r="G55" s="450"/>
      <c r="H55" s="452"/>
      <c r="U55" s="479"/>
      <c r="AH55" s="479"/>
    </row>
    <row r="56" spans="1:40" s="465" customFormat="1" x14ac:dyDescent="0.3">
      <c r="B56" s="477"/>
      <c r="C56" s="483"/>
      <c r="D56" s="450"/>
      <c r="E56" s="450"/>
      <c r="F56" s="450"/>
      <c r="G56" s="450"/>
      <c r="H56" s="452"/>
      <c r="U56" s="479"/>
      <c r="AH56" s="479"/>
    </row>
    <row r="57" spans="1:40" s="465" customFormat="1" x14ac:dyDescent="0.3">
      <c r="C57" s="478"/>
      <c r="D57" s="450"/>
      <c r="E57" s="450"/>
      <c r="F57" s="450"/>
      <c r="G57" s="450"/>
      <c r="H57" s="452"/>
      <c r="U57" s="479"/>
      <c r="AH57" s="479"/>
    </row>
    <row r="58" spans="1:40" s="465" customFormat="1" x14ac:dyDescent="0.3">
      <c r="A58" s="465" t="str">
        <f>'0_Total'!AO2</f>
        <v>Private car - ICE</v>
      </c>
      <c r="C58" s="478" t="str">
        <f>A58&amp;" (central estimate)"</f>
        <v>Private car - ICE (central estimate)</v>
      </c>
      <c r="D58" s="450"/>
      <c r="E58" s="450"/>
      <c r="F58" s="450"/>
      <c r="G58" s="450"/>
      <c r="H58" s="451">
        <f ca="1">HLOOKUP($A58,'0_Total'!$D$2:$ED$117,ROW('0_Total'!$A$76)-ROW('0_Total'!$A$2)+1,FALSE)</f>
        <v>2.1835613123627797</v>
      </c>
      <c r="U58" s="479"/>
      <c r="AH58" s="479"/>
    </row>
    <row r="59" spans="1:40" s="465" customFormat="1" x14ac:dyDescent="0.3">
      <c r="A59" s="465" t="str">
        <f>'0_Total'!BI2</f>
        <v>Ridesourcing - car - ICE</v>
      </c>
      <c r="C59" s="478" t="str">
        <f>A59&amp;" (central estimate)"</f>
        <v>Ridesourcing - car - ICE (central estimate)</v>
      </c>
      <c r="D59" s="450"/>
      <c r="E59" s="450"/>
      <c r="F59" s="450"/>
      <c r="G59" s="452"/>
      <c r="H59" s="453"/>
      <c r="I59" s="484">
        <f ca="1">HLOOKUP($A59,'0_Total'!$D$2:$ED$117,ROW('0_Total'!$A$76)-ROW('0_Total'!$A$2)+1,FALSE)</f>
        <v>3.7492357448583875</v>
      </c>
      <c r="U59" s="479"/>
      <c r="AH59" s="479"/>
    </row>
    <row r="60" spans="1:40" s="465" customFormat="1" x14ac:dyDescent="0.3">
      <c r="B60" s="478"/>
      <c r="C60" s="450"/>
      <c r="D60" s="450"/>
      <c r="E60" s="450"/>
      <c r="F60" s="450"/>
      <c r="G60" s="452"/>
      <c r="H60" s="453"/>
      <c r="U60" s="479"/>
      <c r="AH60" s="479"/>
    </row>
    <row r="61" spans="1:40" s="465" customFormat="1" x14ac:dyDescent="0.3">
      <c r="B61" s="478"/>
      <c r="C61" s="450"/>
      <c r="D61" s="450"/>
      <c r="E61" s="450"/>
      <c r="F61" s="450"/>
      <c r="G61" s="452"/>
      <c r="H61" s="453"/>
      <c r="U61" s="479"/>
      <c r="AH61" s="479"/>
    </row>
    <row r="62" spans="1:40" s="465" customFormat="1" x14ac:dyDescent="0.3">
      <c r="B62" s="478"/>
      <c r="C62" s="450"/>
      <c r="D62" s="450"/>
      <c r="E62" s="450"/>
      <c r="F62" s="450"/>
      <c r="G62" s="450"/>
      <c r="H62" s="485"/>
      <c r="U62" s="479"/>
      <c r="AH62" s="479"/>
    </row>
    <row r="63" spans="1:40" x14ac:dyDescent="0.3">
      <c r="B63" s="358"/>
      <c r="C63" s="357"/>
      <c r="D63" s="357"/>
      <c r="E63" s="357"/>
      <c r="F63" s="357"/>
      <c r="G63" s="357"/>
      <c r="H63" s="445"/>
      <c r="K63" s="441"/>
      <c r="L63" s="442"/>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357"/>
      <c r="H64" s="357"/>
      <c r="I64" s="357"/>
      <c r="J64" s="357"/>
      <c r="K64" s="445"/>
      <c r="N64" s="441"/>
      <c r="O64" s="442"/>
      <c r="P64" s="442"/>
      <c r="Q64" s="442"/>
      <c r="R64" s="442"/>
      <c r="S64" s="442"/>
      <c r="T64" s="442"/>
      <c r="U64" s="442"/>
      <c r="V64" s="442"/>
      <c r="W64" s="442"/>
      <c r="X64" s="442"/>
      <c r="Y64" s="442"/>
      <c r="AA64" s="441"/>
      <c r="AB64" s="442"/>
      <c r="AC64" s="442"/>
      <c r="AD64" s="442"/>
      <c r="AE64" s="442"/>
      <c r="AF64" s="442"/>
      <c r="AG64" s="442"/>
      <c r="AH64" s="442"/>
      <c r="AI64" s="442"/>
      <c r="AJ64" s="442"/>
      <c r="AK64" s="442"/>
      <c r="AL64" s="442"/>
    </row>
    <row r="65" spans="2:38" x14ac:dyDescent="0.3">
      <c r="B65" s="349"/>
      <c r="C65" s="349"/>
      <c r="D65" s="349"/>
      <c r="E65" s="349"/>
      <c r="F65" s="349"/>
      <c r="G65" s="349"/>
      <c r="H65" s="349"/>
      <c r="I65" s="349"/>
      <c r="J65" s="349"/>
      <c r="N65" s="441"/>
      <c r="O65" s="442"/>
      <c r="P65" s="442"/>
      <c r="Q65" s="442"/>
      <c r="R65" s="442"/>
      <c r="S65" s="442"/>
      <c r="T65" s="442"/>
      <c r="U65" s="442"/>
      <c r="V65" s="442"/>
      <c r="W65" s="442"/>
      <c r="X65" s="442"/>
      <c r="Y65" s="442"/>
      <c r="AA65" s="441"/>
      <c r="AB65" s="442"/>
      <c r="AC65" s="442"/>
      <c r="AD65" s="442"/>
      <c r="AE65" s="442"/>
      <c r="AF65" s="442"/>
      <c r="AG65" s="442"/>
      <c r="AH65" s="442"/>
      <c r="AI65" s="442"/>
      <c r="AJ65" s="442"/>
      <c r="AK65" s="442"/>
      <c r="AL65" s="442"/>
    </row>
    <row r="66" spans="2:38" x14ac:dyDescent="0.3">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38" x14ac:dyDescent="0.3">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38"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38" x14ac:dyDescent="0.3">
      <c r="O69" s="431"/>
      <c r="P69" s="431"/>
    </row>
    <row r="70" spans="2:38" x14ac:dyDescent="0.3">
      <c r="B70" s="446"/>
      <c r="C70" s="435"/>
      <c r="D70" s="435"/>
      <c r="E70" s="435"/>
      <c r="F70" s="435"/>
      <c r="G70" s="435"/>
      <c r="H70" s="435"/>
      <c r="I70" s="435"/>
      <c r="J70" s="435"/>
      <c r="K70" s="435"/>
      <c r="O70" s="431"/>
      <c r="P70" s="431"/>
    </row>
    <row r="71" spans="2:38" x14ac:dyDescent="0.3">
      <c r="B71" s="435"/>
      <c r="C71" s="447"/>
      <c r="D71" s="447"/>
      <c r="E71" s="447"/>
      <c r="F71" s="447"/>
      <c r="G71" s="447"/>
      <c r="H71" s="447"/>
      <c r="I71" s="447"/>
      <c r="J71" s="447"/>
      <c r="K71" s="447"/>
      <c r="O71" s="431"/>
      <c r="P71" s="431"/>
    </row>
    <row r="72" spans="2:38" x14ac:dyDescent="0.3">
      <c r="B72" s="435"/>
      <c r="C72" s="447"/>
      <c r="D72" s="447"/>
      <c r="E72" s="447"/>
      <c r="F72" s="447"/>
      <c r="G72" s="447"/>
      <c r="H72" s="447"/>
      <c r="I72" s="447"/>
      <c r="J72" s="447"/>
      <c r="K72" s="447"/>
      <c r="O72" s="431"/>
      <c r="P72" s="431"/>
    </row>
    <row r="73" spans="2:38" x14ac:dyDescent="0.3">
      <c r="B73" s="435"/>
      <c r="C73" s="447"/>
      <c r="D73" s="447"/>
      <c r="E73" s="447"/>
      <c r="F73" s="447"/>
      <c r="G73" s="447"/>
      <c r="H73" s="447"/>
      <c r="I73" s="447"/>
      <c r="J73" s="447"/>
      <c r="K73" s="447"/>
      <c r="O73" s="431"/>
      <c r="P73" s="431"/>
    </row>
    <row r="74" spans="2:38" x14ac:dyDescent="0.3">
      <c r="B74" s="435"/>
      <c r="C74" s="447"/>
      <c r="D74" s="447"/>
      <c r="E74" s="447"/>
      <c r="F74" s="447"/>
      <c r="G74" s="447"/>
      <c r="H74" s="447"/>
      <c r="I74" s="447"/>
      <c r="J74" s="447"/>
      <c r="K74" s="447"/>
      <c r="O74" s="431"/>
      <c r="P74" s="431"/>
    </row>
    <row r="75" spans="2:38" x14ac:dyDescent="0.3">
      <c r="O75" s="431"/>
      <c r="P75" s="431"/>
    </row>
    <row r="76" spans="2:38" x14ac:dyDescent="0.3">
      <c r="O76" s="431"/>
      <c r="P76" s="431"/>
    </row>
    <row r="77" spans="2:38" x14ac:dyDescent="0.3">
      <c r="O77" s="431"/>
      <c r="P77" s="431"/>
    </row>
    <row r="78" spans="2:38" x14ac:dyDescent="0.3">
      <c r="O78" s="431"/>
      <c r="P78" s="431"/>
    </row>
    <row r="79" spans="2:38" x14ac:dyDescent="0.3">
      <c r="O79" s="431"/>
      <c r="P79" s="431"/>
    </row>
    <row r="80" spans="2:38"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sheetData>
  <mergeCells count="1">
    <mergeCell ref="B19:H33"/>
  </mergeCells>
  <pageMargins left="0" right="0" top="0" bottom="0" header="0" footer="0"/>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7BC143"/>
  </sheetPr>
  <dimension ref="A1:AN136"/>
  <sheetViews>
    <sheetView topLeftCell="A13" zoomScale="67" zoomScaleNormal="60" zoomScalePageLayoutView="200" workbookViewId="0">
      <selection activeCell="J26" sqref="J25:J26"/>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C62</f>
        <v>Private car - ICE (central estimate)</v>
      </c>
      <c r="I44" s="476" t="str">
        <f>C63</f>
        <v>Bus - ICE (central estimate)</v>
      </c>
      <c r="L44" s="441"/>
      <c r="M44" s="442"/>
      <c r="N44" s="442"/>
      <c r="O44" s="442"/>
      <c r="P44" s="442"/>
      <c r="Q44" s="442"/>
      <c r="R44" s="442"/>
      <c r="S44" s="442"/>
      <c r="U44" s="441"/>
      <c r="V44" s="442"/>
      <c r="W44" s="442"/>
      <c r="X44" s="442"/>
      <c r="Y44" s="442"/>
      <c r="Z44" s="442"/>
      <c r="AA44" s="442"/>
      <c r="AB44" s="442"/>
      <c r="AC44" s="442"/>
      <c r="AD44" s="442"/>
      <c r="AE44" s="442"/>
      <c r="AF44" s="442"/>
      <c r="AH44" s="431"/>
      <c r="AN44" s="430"/>
    </row>
    <row r="45" spans="1:40" x14ac:dyDescent="0.3">
      <c r="A45" s="442" t="str">
        <f>'0_Total'!DV2</f>
        <v>Bus - FCEV, hydrogen from electrolysis (100% zero-carbon electricity)</v>
      </c>
      <c r="B45" s="470"/>
      <c r="C45" s="358" t="str">
        <f>"FCEV - "&amp;MID(A45,12,LEN(A45)-11)</f>
        <v>FCEV -  hydrogen from electrolysis (100% zero-carbon electricity)</v>
      </c>
      <c r="D45" s="357">
        <f ca="1">HLOOKUP($A45,'0_Total'!$D$2:$ED$117,ROW('0_Total'!$A$99)-ROW('0_Total'!$A$2)+1,FALSE)+
HLOOKUP($A45,'0_Total'!$D$2:$ED$117,ROW('0_Total'!$A$100)-ROW('0_Total'!$A$2)+1,FALSE)</f>
        <v>11.055486201853636</v>
      </c>
      <c r="E45" s="357">
        <f>HLOOKUP($A45,'0_Total'!$D$2:$ED$117,ROW('0_Total'!$A$101)-ROW('0_Total'!$A$2)+1,FALSE)</f>
        <v>0.44440777552615163</v>
      </c>
      <c r="F45" s="357">
        <f>HLOOKUP($A45,'0_Total'!$D$2:$ED$117,ROW('0_Total'!$A$103)-ROW('0_Total'!$A$2)+1,FALSE)</f>
        <v>4.0625475229856942</v>
      </c>
      <c r="G45" s="357">
        <f>HLOOKUP($A45,'0_Total'!$D$2:$ED$117,ROW('0_Total'!$A$102)-ROW('0_Total'!$A$2)+1,FALSE)</f>
        <v>4.9378641725127959E-2</v>
      </c>
      <c r="H45" s="448">
        <f t="shared" ref="H45:H54" ca="1" si="0">H$62</f>
        <v>161.97203672281782</v>
      </c>
      <c r="I45" s="454">
        <f t="shared" ref="I45:I54" ca="1" si="1">I$63</f>
        <v>91.433521668933466</v>
      </c>
      <c r="L45" s="454"/>
      <c r="M45" s="442">
        <f t="shared" ref="M45:M54" ca="1" si="2">SUM(D45:G45)</f>
        <v>15.611820142090609</v>
      </c>
      <c r="N45" s="442">
        <f ca="1">M45/$I$63</f>
        <v>0.17074503811215516</v>
      </c>
      <c r="O45" s="442"/>
      <c r="P45" s="442"/>
      <c r="Q45" s="442"/>
      <c r="R45" s="442"/>
      <c r="S45" s="442"/>
      <c r="U45" s="441"/>
      <c r="V45" s="442"/>
      <c r="W45" s="442"/>
      <c r="X45" s="442"/>
      <c r="Y45" s="442"/>
      <c r="Z45" s="442"/>
      <c r="AA45" s="442"/>
      <c r="AB45" s="442"/>
      <c r="AC45" s="442"/>
      <c r="AD45" s="442"/>
      <c r="AE45" s="442"/>
      <c r="AF45" s="442"/>
      <c r="AH45" s="431"/>
      <c r="AN45" s="430"/>
    </row>
    <row r="46" spans="1:40" x14ac:dyDescent="0.3">
      <c r="A46" s="442" t="str">
        <f>'0_Total'!DS2</f>
        <v>Bus - BEV (two packs, 100% zero-carbon electricity)</v>
      </c>
      <c r="B46" s="470"/>
      <c r="C46" s="358" t="str">
        <f>"BEV - Two "&amp;MID(A46,14,LEN(A46)-14)</f>
        <v>BEV - Two o packs, 100% zero-carbon electricity</v>
      </c>
      <c r="D46" s="357">
        <f ca="1">HLOOKUP($A46,'0_Total'!$D$2:$ED$117,ROW('0_Total'!$A$99)-ROW('0_Total'!$A$2)+1,FALSE)+
HLOOKUP($A46,'0_Total'!$D$2:$ED$117,ROW('0_Total'!$A$100)-ROW('0_Total'!$A$2)+1,FALSE)</f>
        <v>17.060980443414817</v>
      </c>
      <c r="E46" s="357">
        <f>HLOOKUP($A46,'0_Total'!$D$2:$ED$117,ROW('0_Total'!$A$101)-ROW('0_Total'!$A$2)+1,FALSE)</f>
        <v>0</v>
      </c>
      <c r="F46" s="357">
        <f>HLOOKUP($A46,'0_Total'!$D$2:$ED$117,ROW('0_Total'!$A$103)-ROW('0_Total'!$A$2)+1,FALSE)</f>
        <v>3.9264293380027726</v>
      </c>
      <c r="G46" s="357">
        <f>HLOOKUP($A46,'0_Total'!$D$2:$ED$117,ROW('0_Total'!$A$102)-ROW('0_Total'!$A$2)+1,FALSE)</f>
        <v>0</v>
      </c>
      <c r="H46" s="448">
        <f t="shared" ca="1" si="0"/>
        <v>161.97203672281782</v>
      </c>
      <c r="I46" s="454">
        <f t="shared" ca="1" si="1"/>
        <v>91.433521668933466</v>
      </c>
      <c r="L46" s="454"/>
      <c r="M46" s="442">
        <f t="shared" ref="M46" ca="1" si="3">SUM(D46:G46)</f>
        <v>20.98740978141759</v>
      </c>
      <c r="N46" s="442">
        <f ca="1">M46/$I$63</f>
        <v>0.22953736658432267</v>
      </c>
      <c r="O46" s="442"/>
      <c r="P46" s="442"/>
      <c r="Q46" s="442"/>
      <c r="R46" s="442"/>
      <c r="S46" s="442"/>
      <c r="U46" s="441"/>
      <c r="V46" s="442"/>
      <c r="W46" s="442"/>
      <c r="X46" s="442"/>
      <c r="Y46" s="442"/>
      <c r="Z46" s="442"/>
      <c r="AA46" s="442"/>
      <c r="AB46" s="442"/>
      <c r="AC46" s="442"/>
      <c r="AD46" s="442"/>
      <c r="AE46" s="442"/>
      <c r="AF46" s="442"/>
      <c r="AH46" s="431"/>
      <c r="AN46" s="430"/>
    </row>
    <row r="47" spans="1:40" x14ac:dyDescent="0.3">
      <c r="A47" s="442" t="str">
        <f>'0_Total'!DP2</f>
        <v>Bus - ICE (ridership up by 50%)</v>
      </c>
      <c r="B47" s="470"/>
      <c r="C47" s="358" t="str">
        <f>"ICE - R"&amp;MID(A47,13,LEN(A47)-13)</f>
        <v>ICE - Ridership up by 50%</v>
      </c>
      <c r="D47" s="357">
        <f ca="1">HLOOKUP($A47,'0_Total'!$D$2:$ED$117,ROW('0_Total'!$A$99)-ROW('0_Total'!$A$2)+1,FALSE)+
HLOOKUP($A47,'0_Total'!$D$2:$ED$117,ROW('0_Total'!$A$100)-ROW('0_Total'!$A$2)+1,FALSE)</f>
        <v>5.3894320699833536</v>
      </c>
      <c r="E47" s="357">
        <f>HLOOKUP($A47,'0_Total'!$D$2:$ED$117,ROW('0_Total'!$A$101)-ROW('0_Total'!$A$2)+1,FALSE)</f>
        <v>47.890416662597374</v>
      </c>
      <c r="F47" s="357">
        <f>HLOOKUP($A47,'0_Total'!$D$2:$ED$117,ROW('0_Total'!$A$103)-ROW('0_Total'!$A$2)+1,FALSE)</f>
        <v>2.4016301590520137</v>
      </c>
      <c r="G47" s="357">
        <f>HLOOKUP($A47,'0_Total'!$D$2:$ED$117,ROW('0_Total'!$A$102)-ROW('0_Total'!$A$2)+1,FALSE)</f>
        <v>5.3211574069552645</v>
      </c>
      <c r="H47" s="448">
        <f t="shared" ca="1" si="0"/>
        <v>161.97203672281782</v>
      </c>
      <c r="I47" s="454">
        <f t="shared" ca="1" si="1"/>
        <v>91.433521668933466</v>
      </c>
      <c r="L47" s="454"/>
      <c r="M47" s="442">
        <f t="shared" ref="M47" ca="1" si="4">SUM(D47:G47)</f>
        <v>61.002636298588008</v>
      </c>
      <c r="N47" s="442">
        <f ca="1">M47/$I$63</f>
        <v>0.66718021120819393</v>
      </c>
      <c r="O47" s="442"/>
      <c r="P47" s="442"/>
      <c r="Q47" s="442"/>
      <c r="R47" s="442"/>
      <c r="S47" s="442"/>
      <c r="U47" s="441"/>
      <c r="V47" s="442"/>
      <c r="W47" s="442"/>
      <c r="X47" s="442"/>
      <c r="Y47" s="442"/>
      <c r="Z47" s="442"/>
      <c r="AA47" s="442"/>
      <c r="AB47" s="442"/>
      <c r="AC47" s="442"/>
      <c r="AD47" s="442"/>
      <c r="AE47" s="442"/>
      <c r="AF47" s="442"/>
      <c r="AH47" s="431"/>
      <c r="AN47" s="430"/>
    </row>
    <row r="48" spans="1:40" x14ac:dyDescent="0.3">
      <c r="A48" s="442" t="str">
        <f>'0_Total'!DW2</f>
        <v>Bus - FCEV</v>
      </c>
      <c r="B48" s="470"/>
      <c r="C48" s="358" t="str">
        <f>"FCEV - Hydrogen from natural gas"</f>
        <v>FCEV - Hydrogen from natural gas</v>
      </c>
      <c r="D48" s="357">
        <f ca="1">HLOOKUP($A48,'0_Total'!$D$2:$ED$117,ROW('0_Total'!$A$99)-ROW('0_Total'!$A$2)+1,FALSE)+
HLOOKUP($A48,'0_Total'!$D$2:$ED$117,ROW('0_Total'!$A$100)-ROW('0_Total'!$A$2)+1,FALSE)</f>
        <v>11.025198611180571</v>
      </c>
      <c r="E48" s="357">
        <f>HLOOKUP($A48,'0_Total'!$D$2:$ED$117,ROW('0_Total'!$A$101)-ROW('0_Total'!$A$2)+1,FALSE)</f>
        <v>43.913662604355508</v>
      </c>
      <c r="F48" s="357">
        <f>HLOOKUP($A48,'0_Total'!$D$2:$ED$117,ROW('0_Total'!$A$103)-ROW('0_Total'!$A$2)+1,FALSE)</f>
        <v>4.0625475229856942</v>
      </c>
      <c r="G48" s="357">
        <f>HLOOKUP($A48,'0_Total'!$D$2:$ED$117,ROW('0_Total'!$A$102)-ROW('0_Total'!$A$2)+1,FALSE)</f>
        <v>4.8792958449283903</v>
      </c>
      <c r="H48" s="448">
        <f t="shared" ca="1" si="0"/>
        <v>161.97203672281782</v>
      </c>
      <c r="I48" s="454">
        <f t="shared" ca="1" si="1"/>
        <v>91.433521668933466</v>
      </c>
      <c r="L48" s="454"/>
      <c r="M48" s="442">
        <f t="shared" ref="M48" ca="1" si="5">SUM(D48:G48)</f>
        <v>63.880704583450168</v>
      </c>
      <c r="N48" s="442">
        <f t="shared" ref="N48" ca="1" si="6">M48/$I$63</f>
        <v>0.69865737879759515</v>
      </c>
      <c r="O48" s="442"/>
      <c r="P48" s="442"/>
      <c r="Q48" s="442"/>
      <c r="R48" s="442"/>
      <c r="S48" s="442"/>
      <c r="U48" s="441"/>
      <c r="V48" s="442"/>
      <c r="W48" s="442"/>
      <c r="X48" s="442"/>
      <c r="Y48" s="442"/>
      <c r="Z48" s="442"/>
      <c r="AA48" s="442"/>
      <c r="AB48" s="442"/>
      <c r="AC48" s="442"/>
      <c r="AD48" s="442"/>
      <c r="AE48" s="442"/>
      <c r="AF48" s="442"/>
      <c r="AH48" s="431"/>
      <c r="AN48" s="430"/>
    </row>
    <row r="49" spans="1:40" x14ac:dyDescent="0.3">
      <c r="A49" s="442" t="str">
        <f>'0_Total'!DT2</f>
        <v>Bus - BEV (two packs)</v>
      </c>
      <c r="B49" s="470"/>
      <c r="C49" s="358" t="str">
        <f>"BEV - "&amp;MID(A49,12,LEN(A49)-12)&amp;", electricity with global average carbon intensity"</f>
        <v>BEV - two packs, electricity with global average carbon intensity</v>
      </c>
      <c r="D49" s="357">
        <f ca="1">HLOOKUP($A49,'0_Total'!$D$2:$ED$117,ROW('0_Total'!$A$99)-ROW('0_Total'!$A$2)+1,FALSE)+
HLOOKUP($A49,'0_Total'!$D$2:$ED$117,ROW('0_Total'!$A$100)-ROW('0_Total'!$A$2)+1,FALSE)</f>
        <v>17.060980443414817</v>
      </c>
      <c r="E49" s="357">
        <f>HLOOKUP($A49,'0_Total'!$D$2:$ED$117,ROW('0_Total'!$A$101)-ROW('0_Total'!$A$2)+1,FALSE)</f>
        <v>10.462368334191947</v>
      </c>
      <c r="F49" s="357">
        <f>HLOOKUP($A49,'0_Total'!$D$2:$ED$117,ROW('0_Total'!$A$103)-ROW('0_Total'!$A$2)+1,FALSE)</f>
        <v>3.9264293380027726</v>
      </c>
      <c r="G49" s="357">
        <f>HLOOKUP($A49,'0_Total'!$D$2:$ED$117,ROW('0_Total'!$A$102)-ROW('0_Total'!$A$2)+1,FALSE)</f>
        <v>1.1624853704657718</v>
      </c>
      <c r="H49" s="448">
        <f t="shared" ca="1" si="0"/>
        <v>161.97203672281782</v>
      </c>
      <c r="I49" s="454">
        <f t="shared" ca="1" si="1"/>
        <v>91.433521668933466</v>
      </c>
      <c r="L49" s="454"/>
      <c r="M49" s="442">
        <f t="shared" ref="M49" ca="1" si="7">SUM(D49:G49)</f>
        <v>32.612263486075307</v>
      </c>
      <c r="N49" s="442">
        <f t="shared" ref="N49" ca="1" si="8">M49/$I$63</f>
        <v>0.35667732020821896</v>
      </c>
      <c r="O49" s="442"/>
      <c r="P49" s="442"/>
      <c r="Q49" s="442"/>
      <c r="R49" s="442"/>
      <c r="S49" s="442"/>
      <c r="U49" s="441"/>
      <c r="V49" s="442"/>
      <c r="W49" s="442"/>
      <c r="X49" s="442"/>
      <c r="Y49" s="442"/>
      <c r="Z49" s="442"/>
      <c r="AA49" s="442"/>
      <c r="AB49" s="442"/>
      <c r="AC49" s="442"/>
      <c r="AD49" s="442"/>
      <c r="AE49" s="442"/>
      <c r="AF49" s="442"/>
      <c r="AH49" s="431"/>
      <c r="AN49" s="430"/>
    </row>
    <row r="50" spans="1:40" x14ac:dyDescent="0.3">
      <c r="A50" s="442" t="str">
        <f>'0_Total'!DL2</f>
        <v>Bus - ICE (lifetime 25% larger)</v>
      </c>
      <c r="B50" s="470"/>
      <c r="C50" s="358" t="str">
        <f>"ICE - L"&amp;MID(A50,13,LEN(A50)-13)</f>
        <v>ICE - Lifetime 25% larger</v>
      </c>
      <c r="D50" s="357">
        <f ca="1">HLOOKUP($A50,'0_Total'!$D$2:$ED$117,ROW('0_Total'!$A$99)-ROW('0_Total'!$A$2)+1,FALSE)+
HLOOKUP($A50,'0_Total'!$D$2:$ED$117,ROW('0_Total'!$A$100)-ROW('0_Total'!$A$2)+1,FALSE)</f>
        <v>6.5489200974263815</v>
      </c>
      <c r="E50" s="357">
        <f>HLOOKUP($A50,'0_Total'!$D$2:$ED$117,ROW('0_Total'!$A$101)-ROW('0_Total'!$A$2)+1,FALSE)</f>
        <v>71.835624993896062</v>
      </c>
      <c r="F50" s="357">
        <f>HLOOKUP($A50,'0_Total'!$D$2:$ED$117,ROW('0_Total'!$A$103)-ROW('0_Total'!$A$2)+1,FALSE)</f>
        <v>3.6024452385780199</v>
      </c>
      <c r="G50" s="357">
        <f>HLOOKUP($A50,'0_Total'!$D$2:$ED$117,ROW('0_Total'!$A$102)-ROW('0_Total'!$A$2)+1,FALSE)</f>
        <v>7.9817361104328963</v>
      </c>
      <c r="H50" s="448">
        <f t="shared" ca="1" si="0"/>
        <v>161.97203672281782</v>
      </c>
      <c r="I50" s="454">
        <f t="shared" ca="1" si="1"/>
        <v>91.433521668933466</v>
      </c>
      <c r="L50" s="454"/>
      <c r="M50" s="442">
        <f t="shared" ca="1" si="2"/>
        <v>89.968726440333342</v>
      </c>
      <c r="N50" s="442">
        <f ca="1">M50/$I$63</f>
        <v>0.9839796695800046</v>
      </c>
      <c r="O50" s="442"/>
      <c r="P50" s="442"/>
      <c r="Q50" s="442"/>
      <c r="R50" s="442"/>
      <c r="S50" s="442"/>
      <c r="U50" s="441"/>
      <c r="V50" s="442"/>
      <c r="W50" s="442"/>
      <c r="X50" s="442"/>
      <c r="Y50" s="442"/>
      <c r="Z50" s="442"/>
      <c r="AA50" s="442"/>
      <c r="AB50" s="442"/>
      <c r="AC50" s="442"/>
      <c r="AD50" s="442"/>
      <c r="AE50" s="442"/>
      <c r="AF50" s="442"/>
      <c r="AH50" s="431"/>
      <c r="AN50" s="430"/>
    </row>
    <row r="51" spans="1:40" x14ac:dyDescent="0.3">
      <c r="A51" s="442" t="str">
        <f>'0_Total'!DK2</f>
        <v>Bus - ICE (lifetime 25% lower)</v>
      </c>
      <c r="B51" s="470"/>
      <c r="C51" s="358" t="str">
        <f>"ICE - L"&amp;MID(A51,13,LEN(A51)-13)</f>
        <v>ICE - Lifetime 25% lower</v>
      </c>
      <c r="D51" s="357">
        <f ca="1">HLOOKUP($A51,'0_Total'!$D$2:$ED$117,ROW('0_Total'!$A$99)-ROW('0_Total'!$A$2)+1,FALSE)+
HLOOKUP($A51,'0_Total'!$D$2:$ED$117,ROW('0_Total'!$A$100)-ROW('0_Total'!$A$2)+1,FALSE)</f>
        <v>10.642861450889445</v>
      </c>
      <c r="E51" s="357">
        <f>HLOOKUP($A51,'0_Total'!$D$2:$ED$117,ROW('0_Total'!$A$101)-ROW('0_Total'!$A$2)+1,FALSE)</f>
        <v>71.835624993896062</v>
      </c>
      <c r="F51" s="357">
        <f>HLOOKUP($A51,'0_Total'!$D$2:$ED$117,ROW('0_Total'!$A$103)-ROW('0_Total'!$A$2)+1,FALSE)</f>
        <v>3.6024452385780199</v>
      </c>
      <c r="G51" s="357">
        <f>HLOOKUP($A51,'0_Total'!$D$2:$ED$117,ROW('0_Total'!$A$102)-ROW('0_Total'!$A$2)+1,FALSE)</f>
        <v>7.9817361104328963</v>
      </c>
      <c r="H51" s="448">
        <f t="shared" ca="1" si="0"/>
        <v>161.97203672281782</v>
      </c>
      <c r="I51" s="454">
        <f t="shared" ca="1" si="1"/>
        <v>91.433521668933466</v>
      </c>
      <c r="L51" s="454"/>
      <c r="M51" s="442">
        <f t="shared" ca="1" si="2"/>
        <v>94.062667793796408</v>
      </c>
      <c r="N51" s="442">
        <f ca="1">M51/$I$63</f>
        <v>1.028754728866101</v>
      </c>
      <c r="O51" s="442"/>
      <c r="P51" s="442"/>
      <c r="Q51" s="442"/>
      <c r="R51" s="442"/>
      <c r="S51" s="442"/>
      <c r="U51" s="441"/>
      <c r="V51" s="442"/>
      <c r="W51" s="442"/>
      <c r="X51" s="442"/>
      <c r="Y51" s="442"/>
      <c r="Z51" s="442"/>
      <c r="AA51" s="442"/>
      <c r="AB51" s="442"/>
      <c r="AC51" s="442"/>
      <c r="AD51" s="442"/>
      <c r="AE51" s="442"/>
      <c r="AF51" s="442"/>
      <c r="AH51" s="431"/>
      <c r="AN51" s="430"/>
    </row>
    <row r="52" spans="1:40" x14ac:dyDescent="0.3">
      <c r="A52" s="442" t="str">
        <f>'0_Total'!DM2</f>
        <v>Bus - ICE (100% bus lane)</v>
      </c>
      <c r="B52" s="470"/>
      <c r="C52" s="358" t="str">
        <f>"ICE - "&amp;MID(A52,12,LEN(A52)-12)</f>
        <v>ICE - 100% bus lane</v>
      </c>
      <c r="D52" s="357">
        <f ca="1">HLOOKUP($A52,'0_Total'!$D$2:$ED$117,ROW('0_Total'!$A$99)-ROW('0_Total'!$A$2)+1,FALSE)+
HLOOKUP($A52,'0_Total'!$D$2:$ED$117,ROW('0_Total'!$A$100)-ROW('0_Total'!$A$2)+1,FALSE)</f>
        <v>8.0841481049750303</v>
      </c>
      <c r="E52" s="357">
        <f>HLOOKUP($A52,'0_Total'!$D$2:$ED$117,ROW('0_Total'!$A$101)-ROW('0_Total'!$A$2)+1,FALSE)</f>
        <v>64.652062494506453</v>
      </c>
      <c r="F52" s="357">
        <f>HLOOKUP($A52,'0_Total'!$D$2:$ED$117,ROW('0_Total'!$A$103)-ROW('0_Total'!$A$2)+1,FALSE)</f>
        <v>15.378021549178094</v>
      </c>
      <c r="G52" s="357">
        <f>HLOOKUP($A52,'0_Total'!$D$2:$ED$117,ROW('0_Total'!$A$102)-ROW('0_Total'!$A$2)+1,FALSE)</f>
        <v>7.1835624993896063</v>
      </c>
      <c r="H52" s="448">
        <f t="shared" ca="1" si="0"/>
        <v>161.97203672281782</v>
      </c>
      <c r="I52" s="454">
        <f t="shared" ca="1" si="1"/>
        <v>91.433521668933466</v>
      </c>
      <c r="L52" s="454"/>
      <c r="M52" s="442">
        <f ca="1">SUM(D52:G52)</f>
        <v>95.297794648049177</v>
      </c>
      <c r="N52" s="442">
        <f ca="1">M52/$I$63</f>
        <v>1.0422631974420458</v>
      </c>
      <c r="O52" s="442"/>
      <c r="P52" s="442"/>
      <c r="Q52" s="442"/>
      <c r="R52" s="442"/>
      <c r="S52" s="442"/>
      <c r="U52" s="441"/>
      <c r="V52" s="442"/>
      <c r="W52" s="442"/>
      <c r="X52" s="442"/>
      <c r="Y52" s="442"/>
      <c r="Z52" s="442"/>
      <c r="AA52" s="442"/>
      <c r="AB52" s="442"/>
      <c r="AC52" s="442"/>
      <c r="AD52" s="442"/>
      <c r="AE52" s="442"/>
      <c r="AF52" s="442"/>
      <c r="AH52" s="431"/>
      <c r="AN52" s="430"/>
    </row>
    <row r="53" spans="1:40" x14ac:dyDescent="0.3">
      <c r="A53" s="442" t="str">
        <f>'0_Total'!DN2</f>
        <v>Bus - ICE (deadheading doubled)</v>
      </c>
      <c r="B53" s="470"/>
      <c r="C53" s="358" t="str">
        <f>"ICE - D"&amp;MID(A53,13,LEN(A53)-13)</f>
        <v>ICE - Deadheading doubled</v>
      </c>
      <c r="D53" s="357">
        <f ca="1">HLOOKUP($A53,'0_Total'!$D$2:$ED$117,ROW('0_Total'!$A$99)-ROW('0_Total'!$A$2)+1,FALSE)+
HLOOKUP($A53,'0_Total'!$D$2:$ED$117,ROW('0_Total'!$A$100)-ROW('0_Total'!$A$2)+1,FALSE)</f>
        <v>8.0841481049750303</v>
      </c>
      <c r="E53" s="357">
        <f>HLOOKUP($A53,'0_Total'!$D$2:$ED$117,ROW('0_Total'!$A$101)-ROW('0_Total'!$A$2)+1,FALSE)</f>
        <v>71.835624993896076</v>
      </c>
      <c r="F53" s="357">
        <f>HLOOKUP($A53,'0_Total'!$D$2:$ED$117,ROW('0_Total'!$A$103)-ROW('0_Total'!$A$2)+1,FALSE)</f>
        <v>3.9626897624358226</v>
      </c>
      <c r="G53" s="357">
        <f>HLOOKUP($A53,'0_Total'!$D$2:$ED$117,ROW('0_Total'!$A$102)-ROW('0_Total'!$A$2)+1,FALSE)</f>
        <v>15.963472220865796</v>
      </c>
      <c r="H53" s="448">
        <f t="shared" ca="1" si="0"/>
        <v>161.97203672281782</v>
      </c>
      <c r="I53" s="454">
        <f t="shared" ca="1" si="1"/>
        <v>91.433521668933466</v>
      </c>
      <c r="L53" s="454"/>
      <c r="M53" s="442">
        <f t="shared" ca="1" si="2"/>
        <v>99.84593508217273</v>
      </c>
      <c r="N53" s="442">
        <f ca="1">M53/$I$63</f>
        <v>1.0920057902144391</v>
      </c>
      <c r="O53" s="442"/>
      <c r="P53" s="442"/>
      <c r="Q53" s="442"/>
      <c r="R53" s="442"/>
      <c r="S53" s="442"/>
      <c r="U53" s="441"/>
      <c r="V53" s="442"/>
      <c r="W53" s="442"/>
      <c r="X53" s="442"/>
      <c r="Y53" s="442"/>
      <c r="Z53" s="442"/>
      <c r="AA53" s="442"/>
      <c r="AB53" s="442"/>
      <c r="AC53" s="442"/>
      <c r="AD53" s="442"/>
      <c r="AE53" s="442"/>
      <c r="AF53" s="442"/>
      <c r="AH53" s="431"/>
      <c r="AN53" s="430"/>
    </row>
    <row r="54" spans="1:40" x14ac:dyDescent="0.3">
      <c r="A54" s="442" t="str">
        <f>'0_Total'!DO2</f>
        <v>Bus - ICE (ridership down by 50%)</v>
      </c>
      <c r="B54" s="470"/>
      <c r="C54" s="358" t="str">
        <f>"ICE - R"&amp;MID(A54,13,LEN(A54)-13)</f>
        <v>ICE - Ridership down by 50%</v>
      </c>
      <c r="D54" s="357">
        <f ca="1">HLOOKUP($A54,'0_Total'!$D$2:$ED$117,ROW('0_Total'!$A$99)-ROW('0_Total'!$A$2)+1,FALSE)+
HLOOKUP($A54,'0_Total'!$D$2:$ED$117,ROW('0_Total'!$A$100)-ROW('0_Total'!$A$2)+1,FALSE)</f>
        <v>16.168296209950061</v>
      </c>
      <c r="E54" s="357">
        <f>HLOOKUP($A54,'0_Total'!$D$2:$ED$117,ROW('0_Total'!$A$101)-ROW('0_Total'!$A$2)+1,FALSE)</f>
        <v>143.67124998779212</v>
      </c>
      <c r="F54" s="357">
        <f>HLOOKUP($A54,'0_Total'!$D$2:$ED$117,ROW('0_Total'!$A$103)-ROW('0_Total'!$A$2)+1,FALSE)</f>
        <v>7.2048904771560398</v>
      </c>
      <c r="G54" s="357">
        <f>HLOOKUP($A54,'0_Total'!$D$2:$ED$117,ROW('0_Total'!$A$102)-ROW('0_Total'!$A$2)+1,FALSE)</f>
        <v>15.963472220865793</v>
      </c>
      <c r="H54" s="448">
        <f t="shared" ca="1" si="0"/>
        <v>161.97203672281782</v>
      </c>
      <c r="I54" s="454">
        <f t="shared" ca="1" si="1"/>
        <v>91.433521668933466</v>
      </c>
      <c r="L54" s="454"/>
      <c r="M54" s="442">
        <f t="shared" ca="1" si="2"/>
        <v>183.00790889576399</v>
      </c>
      <c r="N54" s="442">
        <f ca="1">M54/$I$63</f>
        <v>2.0015406336245816</v>
      </c>
      <c r="O54" s="442"/>
      <c r="P54" s="442"/>
      <c r="Q54" s="442"/>
      <c r="R54" s="442"/>
      <c r="S54" s="442"/>
      <c r="U54" s="441"/>
      <c r="V54" s="442"/>
      <c r="W54" s="442"/>
      <c r="X54" s="442"/>
      <c r="Y54" s="442"/>
      <c r="Z54" s="442"/>
      <c r="AA54" s="442"/>
      <c r="AB54" s="442"/>
      <c r="AC54" s="442"/>
      <c r="AD54" s="442"/>
      <c r="AE54" s="442"/>
      <c r="AF54" s="442"/>
      <c r="AH54" s="431"/>
      <c r="AN54" s="430"/>
    </row>
    <row r="55" spans="1:40" x14ac:dyDescent="0.3">
      <c r="A55" s="442"/>
      <c r="B55" s="470"/>
      <c r="C55" s="358"/>
      <c r="D55" s="357"/>
      <c r="E55" s="357"/>
      <c r="F55" s="357"/>
      <c r="G55" s="357"/>
      <c r="H55" s="448"/>
      <c r="I55" s="454"/>
      <c r="L55" s="454"/>
      <c r="M55" s="442"/>
      <c r="N55" s="442"/>
      <c r="O55" s="442"/>
      <c r="P55" s="442"/>
      <c r="Q55" s="442"/>
      <c r="R55" s="442"/>
      <c r="S55" s="442"/>
      <c r="U55" s="441"/>
      <c r="V55" s="442"/>
      <c r="W55" s="442"/>
      <c r="X55" s="442"/>
      <c r="Y55" s="442"/>
      <c r="Z55" s="442"/>
      <c r="AA55" s="442"/>
      <c r="AB55" s="442"/>
      <c r="AC55" s="442"/>
      <c r="AD55" s="442"/>
      <c r="AE55" s="442"/>
      <c r="AF55" s="442"/>
      <c r="AH55" s="431"/>
      <c r="AN55" s="430"/>
    </row>
    <row r="56" spans="1:40" x14ac:dyDescent="0.3">
      <c r="B56" s="470"/>
      <c r="C56" s="466"/>
      <c r="D56" s="357"/>
      <c r="E56" s="357"/>
      <c r="F56" s="357"/>
      <c r="G56" s="357"/>
      <c r="H56" s="448"/>
      <c r="I56" s="454"/>
      <c r="L56" s="454"/>
      <c r="M56" s="442"/>
      <c r="N56" s="442"/>
      <c r="O56" s="442"/>
      <c r="P56" s="442"/>
      <c r="Q56" s="442"/>
      <c r="R56" s="442"/>
      <c r="S56" s="442"/>
      <c r="U56" s="441"/>
      <c r="V56" s="442"/>
      <c r="W56" s="442"/>
      <c r="X56" s="442"/>
      <c r="Y56" s="442"/>
      <c r="Z56" s="442"/>
      <c r="AA56" s="442"/>
      <c r="AB56" s="442"/>
      <c r="AC56" s="442"/>
      <c r="AD56" s="442"/>
      <c r="AE56" s="442"/>
      <c r="AF56" s="442"/>
      <c r="AH56" s="431"/>
      <c r="AN56" s="430"/>
    </row>
    <row r="57" spans="1:40" x14ac:dyDescent="0.3">
      <c r="B57" s="470"/>
      <c r="C57" s="469"/>
      <c r="D57" s="357"/>
      <c r="E57" s="357"/>
      <c r="F57" s="357"/>
      <c r="G57" s="357"/>
      <c r="H57" s="448"/>
      <c r="I57" s="454"/>
      <c r="L57" s="454"/>
      <c r="M57" s="442"/>
      <c r="N57" s="442"/>
      <c r="O57" s="442"/>
      <c r="P57" s="442"/>
      <c r="Q57" s="442"/>
      <c r="R57" s="442"/>
      <c r="S57" s="442"/>
      <c r="U57" s="441"/>
      <c r="V57" s="442"/>
      <c r="W57" s="442"/>
      <c r="X57" s="442"/>
      <c r="Y57" s="442"/>
      <c r="Z57" s="442"/>
      <c r="AA57" s="442"/>
      <c r="AB57" s="442"/>
      <c r="AC57" s="442"/>
      <c r="AD57" s="442"/>
      <c r="AE57" s="442"/>
      <c r="AF57" s="442"/>
      <c r="AH57" s="431"/>
      <c r="AN57" s="430"/>
    </row>
    <row r="58" spans="1:40" x14ac:dyDescent="0.3">
      <c r="B58" s="470"/>
      <c r="C58" s="469"/>
      <c r="D58" s="357"/>
      <c r="E58" s="357"/>
      <c r="F58" s="357"/>
      <c r="G58" s="357"/>
      <c r="H58" s="448"/>
      <c r="I58" s="454"/>
      <c r="L58" s="454"/>
      <c r="M58" s="442"/>
      <c r="N58" s="442"/>
      <c r="O58" s="442"/>
      <c r="P58" s="442"/>
      <c r="Q58" s="442"/>
      <c r="R58" s="442"/>
      <c r="S58" s="442"/>
      <c r="U58" s="441"/>
      <c r="V58" s="442"/>
      <c r="W58" s="442"/>
      <c r="X58" s="442"/>
      <c r="Y58" s="442"/>
      <c r="Z58" s="442"/>
      <c r="AA58" s="442"/>
      <c r="AB58" s="442"/>
      <c r="AC58" s="442"/>
      <c r="AD58" s="442"/>
      <c r="AE58" s="442"/>
      <c r="AF58" s="442"/>
      <c r="AH58" s="431"/>
      <c r="AN58" s="430"/>
    </row>
    <row r="59" spans="1:40" x14ac:dyDescent="0.3">
      <c r="B59" s="470"/>
      <c r="C59" s="467"/>
      <c r="D59" s="357"/>
      <c r="E59" s="357"/>
      <c r="F59" s="357"/>
      <c r="G59" s="357"/>
      <c r="H59" s="448"/>
      <c r="I59" s="454"/>
      <c r="L59" s="454"/>
      <c r="M59" s="442"/>
      <c r="N59" s="442"/>
      <c r="O59" s="442"/>
      <c r="P59" s="442"/>
      <c r="Q59" s="442"/>
      <c r="R59" s="442"/>
      <c r="S59" s="442"/>
      <c r="U59" s="441"/>
      <c r="V59" s="442"/>
      <c r="W59" s="442"/>
      <c r="X59" s="442"/>
      <c r="Y59" s="442"/>
      <c r="Z59" s="442"/>
      <c r="AA59" s="442"/>
      <c r="AB59" s="442"/>
      <c r="AC59" s="442"/>
      <c r="AD59" s="442"/>
      <c r="AE59" s="442"/>
      <c r="AF59" s="442"/>
      <c r="AH59" s="431"/>
      <c r="AN59" s="430"/>
    </row>
    <row r="60" spans="1:40" x14ac:dyDescent="0.3">
      <c r="B60" s="470"/>
      <c r="C60" s="468"/>
      <c r="D60" s="357"/>
      <c r="E60" s="357"/>
      <c r="F60" s="357"/>
      <c r="G60" s="357"/>
      <c r="H60" s="448"/>
      <c r="I60" s="454"/>
      <c r="L60" s="454"/>
      <c r="M60" s="442"/>
      <c r="N60" s="442"/>
      <c r="O60" s="442"/>
      <c r="P60" s="442"/>
      <c r="Q60" s="442"/>
      <c r="R60" s="442"/>
      <c r="S60" s="442"/>
      <c r="U60" s="441"/>
      <c r="V60" s="442"/>
      <c r="W60" s="442"/>
      <c r="X60" s="442"/>
      <c r="Y60" s="442"/>
      <c r="Z60" s="442"/>
      <c r="AA60" s="442"/>
      <c r="AB60" s="442"/>
      <c r="AC60" s="442"/>
      <c r="AD60" s="442"/>
      <c r="AE60" s="442"/>
      <c r="AF60" s="442"/>
      <c r="AH60" s="431"/>
      <c r="AN60" s="430"/>
    </row>
    <row r="61" spans="1:40" x14ac:dyDescent="0.3">
      <c r="C61" s="358"/>
      <c r="D61" s="357"/>
      <c r="E61" s="357"/>
      <c r="F61" s="357"/>
      <c r="G61" s="357"/>
      <c r="H61" s="448"/>
      <c r="L61" s="454"/>
      <c r="M61" s="442"/>
      <c r="N61" s="442"/>
      <c r="O61" s="442"/>
      <c r="P61" s="442"/>
      <c r="Q61" s="442"/>
      <c r="R61" s="442"/>
      <c r="S61" s="442"/>
      <c r="U61" s="441"/>
      <c r="V61" s="442"/>
      <c r="W61" s="442"/>
      <c r="X61" s="442"/>
      <c r="Y61" s="442"/>
      <c r="Z61" s="442"/>
      <c r="AA61" s="442"/>
      <c r="AB61" s="442"/>
      <c r="AC61" s="442"/>
      <c r="AD61" s="442"/>
      <c r="AE61" s="442"/>
      <c r="AF61" s="442"/>
      <c r="AH61" s="431"/>
      <c r="AN61" s="430"/>
    </row>
    <row r="62" spans="1:40" x14ac:dyDescent="0.3">
      <c r="A62" s="430" t="str">
        <f>'0_Total'!AO2</f>
        <v>Private car - ICE</v>
      </c>
      <c r="C62" s="358" t="str">
        <f>A62&amp;" (central estimate)"</f>
        <v>Private car - ICE (central estimate)</v>
      </c>
      <c r="D62" s="357"/>
      <c r="E62" s="357"/>
      <c r="F62" s="357"/>
      <c r="G62" s="357"/>
      <c r="H62" s="444">
        <f ca="1">HLOOKUP($A62,'0_Total'!$D$2:$ED$117,ROW('0_Total'!$A$98)-ROW('0_Total'!$A$2)+1,FALSE)</f>
        <v>161.97203672281782</v>
      </c>
      <c r="M62" s="442"/>
      <c r="N62" s="442"/>
      <c r="O62" s="442"/>
      <c r="P62" s="442"/>
      <c r="Q62" s="442"/>
      <c r="R62" s="442"/>
      <c r="S62" s="442"/>
      <c r="U62" s="441"/>
      <c r="V62" s="442"/>
      <c r="W62" s="442"/>
      <c r="X62" s="442"/>
      <c r="Y62" s="442"/>
      <c r="Z62" s="442"/>
      <c r="AA62" s="442"/>
      <c r="AB62" s="442"/>
      <c r="AC62" s="442"/>
      <c r="AD62" s="442"/>
      <c r="AE62" s="442"/>
      <c r="AF62" s="442"/>
      <c r="AH62" s="431"/>
      <c r="AN62" s="430"/>
    </row>
    <row r="63" spans="1:40" x14ac:dyDescent="0.3">
      <c r="A63" s="430" t="str">
        <f>'0_Total'!DQ2</f>
        <v>Bus - ICE</v>
      </c>
      <c r="C63" s="358" t="str">
        <f>A63&amp;" (central estimate)"</f>
        <v>Bus - ICE (central estimate)</v>
      </c>
      <c r="D63" s="357"/>
      <c r="E63" s="357"/>
      <c r="F63" s="357"/>
      <c r="G63" s="448"/>
      <c r="H63" s="449"/>
      <c r="I63" s="475">
        <f ca="1">HLOOKUP($A63,'0_Total'!$D$2:$ED$117,ROW('0_Total'!$A$98)-ROW('0_Total'!$A$2)+1,FALSE)</f>
        <v>91.433521668933466</v>
      </c>
      <c r="J63" s="442"/>
      <c r="K63" s="442"/>
      <c r="L63" s="442"/>
      <c r="M63" s="442"/>
      <c r="N63" s="442"/>
      <c r="O63" s="442"/>
      <c r="P63" s="442"/>
      <c r="Q63" s="442"/>
      <c r="R63" s="442"/>
      <c r="S63" s="442"/>
      <c r="U63" s="441"/>
      <c r="V63" s="442"/>
      <c r="W63" s="442"/>
      <c r="X63" s="442"/>
      <c r="Y63" s="442"/>
      <c r="Z63" s="442"/>
      <c r="AA63" s="442"/>
      <c r="AB63" s="442"/>
      <c r="AC63" s="442"/>
      <c r="AD63" s="442"/>
      <c r="AE63" s="442"/>
      <c r="AF63" s="442"/>
      <c r="AH63" s="431"/>
      <c r="AN63" s="430"/>
    </row>
    <row r="64" spans="1:40" x14ac:dyDescent="0.3">
      <c r="B64" s="358"/>
      <c r="C64" s="357"/>
      <c r="D64" s="357"/>
      <c r="E64" s="357"/>
      <c r="F64" s="357"/>
      <c r="G64" s="448"/>
      <c r="H64" s="449"/>
      <c r="I64" s="454"/>
      <c r="J64" s="442"/>
      <c r="K64" s="442"/>
      <c r="L64" s="442"/>
      <c r="M64" s="442"/>
      <c r="N64" s="442"/>
      <c r="O64" s="442"/>
      <c r="P64" s="442"/>
      <c r="Q64" s="442"/>
      <c r="R64" s="442"/>
      <c r="S64" s="442"/>
      <c r="U64" s="441"/>
      <c r="V64" s="442"/>
      <c r="W64" s="442"/>
      <c r="X64" s="442"/>
      <c r="Y64" s="442"/>
      <c r="Z64" s="442"/>
      <c r="AA64" s="442"/>
      <c r="AB64" s="442"/>
      <c r="AC64" s="442"/>
      <c r="AD64" s="442"/>
      <c r="AE64" s="442"/>
      <c r="AF64" s="442"/>
      <c r="AH64" s="431"/>
      <c r="AN64" s="430"/>
    </row>
    <row r="65" spans="2:40" x14ac:dyDescent="0.3">
      <c r="B65" s="358"/>
      <c r="C65" s="357"/>
      <c r="D65" s="357"/>
      <c r="E65" s="357"/>
      <c r="F65" s="357"/>
      <c r="G65" s="448"/>
      <c r="H65" s="449"/>
      <c r="I65" s="454"/>
      <c r="J65" s="442"/>
      <c r="K65" s="442"/>
      <c r="L65" s="442"/>
      <c r="M65" s="442"/>
      <c r="N65" s="442"/>
      <c r="O65" s="442"/>
      <c r="P65" s="442"/>
      <c r="Q65" s="442"/>
      <c r="R65" s="442"/>
      <c r="S65" s="442"/>
      <c r="U65" s="441"/>
      <c r="V65" s="442"/>
      <c r="W65" s="442"/>
      <c r="X65" s="442"/>
      <c r="Y65" s="442"/>
      <c r="Z65" s="442"/>
      <c r="AA65" s="442"/>
      <c r="AB65" s="442"/>
      <c r="AC65" s="442"/>
      <c r="AD65" s="442"/>
      <c r="AE65" s="442"/>
      <c r="AF65" s="442"/>
      <c r="AH65" s="431"/>
      <c r="AN65" s="430"/>
    </row>
    <row r="66" spans="2:40" x14ac:dyDescent="0.3">
      <c r="B66" s="358"/>
      <c r="C66" s="357"/>
      <c r="D66" s="357"/>
      <c r="E66" s="357"/>
      <c r="F66" s="357"/>
      <c r="G66" s="357"/>
      <c r="H66" s="445"/>
      <c r="I66" s="442"/>
      <c r="J66" s="442"/>
      <c r="K66" s="442"/>
      <c r="L66" s="442"/>
      <c r="M66" s="442"/>
      <c r="N66" s="442"/>
      <c r="O66" s="442"/>
      <c r="P66" s="442"/>
      <c r="Q66" s="442"/>
      <c r="R66" s="442"/>
      <c r="S66" s="442"/>
      <c r="U66" s="441"/>
      <c r="V66" s="442"/>
      <c r="W66" s="442"/>
      <c r="X66" s="442"/>
      <c r="Y66" s="442"/>
      <c r="Z66" s="442"/>
      <c r="AA66" s="442"/>
      <c r="AB66" s="442"/>
      <c r="AC66" s="442"/>
      <c r="AD66" s="442"/>
      <c r="AE66" s="442"/>
      <c r="AF66" s="442"/>
      <c r="AH66" s="431"/>
      <c r="AN66" s="430"/>
    </row>
    <row r="67" spans="2:40" x14ac:dyDescent="0.3">
      <c r="B67" s="358"/>
      <c r="C67" s="357"/>
      <c r="D67" s="357"/>
      <c r="E67" s="357"/>
      <c r="F67" s="357"/>
      <c r="G67" s="357"/>
      <c r="H67" s="445"/>
      <c r="K67" s="441"/>
      <c r="L67" s="442"/>
      <c r="M67" s="442"/>
      <c r="N67" s="442"/>
      <c r="O67" s="442"/>
      <c r="P67" s="442"/>
      <c r="Q67" s="442"/>
      <c r="R67" s="442"/>
      <c r="S67" s="442"/>
      <c r="T67" s="442"/>
      <c r="U67" s="442"/>
      <c r="V67" s="442"/>
      <c r="X67" s="441"/>
      <c r="Y67" s="442"/>
      <c r="Z67" s="442"/>
      <c r="AA67" s="442"/>
      <c r="AB67" s="442"/>
      <c r="AC67" s="442"/>
      <c r="AD67" s="442"/>
      <c r="AE67" s="442"/>
      <c r="AF67" s="442"/>
      <c r="AG67" s="442"/>
      <c r="AH67" s="442"/>
      <c r="AI67" s="442"/>
      <c r="AK67" s="431"/>
      <c r="AN67" s="430"/>
    </row>
    <row r="68" spans="2:40" x14ac:dyDescent="0.3">
      <c r="B68" s="358"/>
      <c r="C68" s="357"/>
      <c r="D68" s="357"/>
      <c r="E68" s="357"/>
      <c r="F68" s="357"/>
      <c r="G68" s="357"/>
      <c r="H68" s="357"/>
      <c r="I68" s="357"/>
      <c r="J68" s="357"/>
      <c r="K68" s="445"/>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B69" s="349"/>
      <c r="C69" s="349"/>
      <c r="D69" s="349"/>
      <c r="E69" s="349"/>
      <c r="F69" s="349"/>
      <c r="G69" s="349"/>
      <c r="H69" s="349"/>
      <c r="I69" s="349"/>
      <c r="J69" s="349"/>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N72" s="441"/>
      <c r="O72" s="442"/>
      <c r="P72" s="442"/>
      <c r="Q72" s="442"/>
      <c r="R72" s="442"/>
      <c r="S72" s="442"/>
      <c r="T72" s="442"/>
      <c r="U72" s="442"/>
      <c r="V72" s="442"/>
      <c r="W72" s="442"/>
      <c r="X72" s="442"/>
      <c r="Y72" s="442"/>
      <c r="AA72" s="441"/>
      <c r="AB72" s="442"/>
      <c r="AC72" s="442"/>
      <c r="AD72" s="442"/>
      <c r="AE72" s="442"/>
      <c r="AF72" s="442"/>
      <c r="AG72" s="442"/>
      <c r="AH72" s="442"/>
      <c r="AI72" s="442"/>
      <c r="AJ72" s="442"/>
      <c r="AK72" s="442"/>
      <c r="AL72" s="442"/>
    </row>
    <row r="73" spans="2:40" x14ac:dyDescent="0.3">
      <c r="O73" s="431"/>
      <c r="P73" s="431"/>
    </row>
    <row r="74" spans="2:40" x14ac:dyDescent="0.3">
      <c r="B74" s="446"/>
      <c r="C74" s="435"/>
      <c r="D74" s="435"/>
      <c r="E74" s="435"/>
      <c r="F74" s="435"/>
      <c r="G74" s="435"/>
      <c r="H74" s="435"/>
      <c r="I74" s="435"/>
      <c r="J74" s="435"/>
      <c r="K74" s="435"/>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B78" s="435"/>
      <c r="C78" s="447"/>
      <c r="D78" s="447"/>
      <c r="E78" s="447"/>
      <c r="F78" s="447"/>
      <c r="G78" s="447"/>
      <c r="H78" s="447"/>
      <c r="I78" s="447"/>
      <c r="J78" s="447"/>
      <c r="K78" s="447"/>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row r="136" spans="15:16" x14ac:dyDescent="0.3">
      <c r="O136" s="431"/>
      <c r="P136" s="431"/>
    </row>
  </sheetData>
  <mergeCells count="1">
    <mergeCell ref="B19:H33"/>
  </mergeCells>
  <pageMargins left="0" right="0" top="0" bottom="0" header="0" footer="0"/>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BC143"/>
  </sheetPr>
  <dimension ref="A1:AN136"/>
  <sheetViews>
    <sheetView topLeftCell="C8" zoomScale="67" zoomScaleNormal="60" zoomScalePageLayoutView="200" workbookViewId="0">
      <selection activeCell="C46" sqref="C46"/>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Figure_10_MJ_per_pkm_TNC!$C$11</f>
        <v>Energy consumption per pkm [MJ/pkm]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C62</f>
        <v>Private car - ICE (central estimate)</v>
      </c>
      <c r="I44" s="476" t="str">
        <f>C63</f>
        <v>Bus - ICE (central estimate)</v>
      </c>
      <c r="L44" s="441"/>
      <c r="M44" s="442"/>
      <c r="N44" s="442"/>
      <c r="O44" s="442"/>
      <c r="P44" s="442"/>
      <c r="Q44" s="442"/>
      <c r="R44" s="442"/>
      <c r="S44" s="442"/>
      <c r="U44" s="441"/>
      <c r="V44" s="442"/>
      <c r="W44" s="442"/>
      <c r="X44" s="442"/>
      <c r="Y44" s="442"/>
      <c r="Z44" s="442"/>
      <c r="AA44" s="442"/>
      <c r="AB44" s="442"/>
      <c r="AC44" s="442"/>
      <c r="AD44" s="442"/>
      <c r="AE44" s="442"/>
      <c r="AF44" s="442"/>
      <c r="AH44" s="431"/>
      <c r="AN44" s="430"/>
    </row>
    <row r="45" spans="1:40" x14ac:dyDescent="0.3">
      <c r="A45" s="442" t="str">
        <f>'0_Total'!DV2</f>
        <v>Bus - FCEV, hydrogen from electrolysis (100% zero-carbon electricity)</v>
      </c>
      <c r="B45" s="470"/>
      <c r="C45" s="358" t="str">
        <f>"FCEV - "&amp;MID(A45,12,LEN(A45)-11)</f>
        <v>FCEV -  hydrogen from electrolysis (100% zero-carbon electricity)</v>
      </c>
      <c r="D45" s="357">
        <f ca="1">HLOOKUP($A45,'0_Total'!$D$2:$ED$117,ROW('0_Total'!$A$77)-ROW('0_Total'!$A$2)+1,FALSE)+
HLOOKUP($A45,'0_Total'!$D$2:$ED$117,ROW('0_Total'!$A$78)-ROW('0_Total'!$A$2)+1,FALSE)</f>
        <v>0.13551642380881848</v>
      </c>
      <c r="E45" s="357">
        <f>HLOOKUP($A45,'0_Total'!$D$2:$ED$117,ROW('0_Total'!$A$79)-ROW('0_Total'!$A$2)+1,FALSE)</f>
        <v>1.0293112187045037</v>
      </c>
      <c r="F45" s="357">
        <f>HLOOKUP($A45,'0_Total'!$D$2:$ED$117,ROW('0_Total'!$A$81)-ROW('0_Total'!$A$2)+1,FALSE)</f>
        <v>1.1889648058321935E-2</v>
      </c>
      <c r="G45" s="357">
        <f>HLOOKUP($A45,'0_Total'!$D$2:$ED$117,ROW('0_Total'!$A$80)-ROW('0_Total'!$A$2)+1,FALSE)</f>
        <v>0.11436791318938933</v>
      </c>
      <c r="H45" s="448">
        <f t="shared" ref="H45:H54" ca="1" si="0">H$62</f>
        <v>2.1835613123627797</v>
      </c>
      <c r="I45" s="454">
        <f t="shared" ref="I45:I54" ca="1" si="1">I$63</f>
        <v>1.181499496025767</v>
      </c>
      <c r="L45" s="454"/>
      <c r="M45" s="442">
        <f t="shared" ref="M45:M54" ca="1" si="2">SUM(D45:G45)</f>
        <v>1.2910852037610334</v>
      </c>
      <c r="N45" s="442">
        <f ca="1">M45/$I$63</f>
        <v>1.0927513791617196</v>
      </c>
      <c r="O45" s="442"/>
      <c r="P45" s="442"/>
      <c r="Q45" s="442"/>
      <c r="R45" s="442"/>
      <c r="S45" s="442"/>
      <c r="U45" s="441"/>
      <c r="V45" s="442"/>
      <c r="W45" s="442"/>
      <c r="X45" s="442"/>
      <c r="Y45" s="442"/>
      <c r="Z45" s="442"/>
      <c r="AA45" s="442"/>
      <c r="AB45" s="442"/>
      <c r="AC45" s="442"/>
      <c r="AD45" s="442"/>
      <c r="AE45" s="442"/>
      <c r="AF45" s="442"/>
      <c r="AH45" s="431"/>
      <c r="AN45" s="430"/>
    </row>
    <row r="46" spans="1:40" x14ac:dyDescent="0.3">
      <c r="A46" s="442" t="str">
        <f>'0_Total'!DS2</f>
        <v>Bus - BEV (two packs, 100% zero-carbon electricity)</v>
      </c>
      <c r="B46" s="470"/>
      <c r="C46" s="358" t="str">
        <f>"BEV - Two "&amp;MID(A46,14,LEN(A46)-14)</f>
        <v>BEV - Two o packs, 100% zero-carbon electricity</v>
      </c>
      <c r="D46" s="357">
        <f ca="1">HLOOKUP($A46,'0_Total'!$D$2:$ED$117,ROW('0_Total'!$A$77)-ROW('0_Total'!$A$2)+1,FALSE)+
HLOOKUP($A46,'0_Total'!$D$2:$ED$117,ROW('0_Total'!$A$78)-ROW('0_Total'!$A$2)+1,FALSE)</f>
        <v>0.21591142780196612</v>
      </c>
      <c r="E46" s="357">
        <f>HLOOKUP($A46,'0_Total'!$D$2:$ED$117,ROW('0_Total'!$A$79)-ROW('0_Total'!$A$2)+1,FALSE)</f>
        <v>0.30595657821488215</v>
      </c>
      <c r="F46" s="357">
        <f>HLOOKUP($A46,'0_Total'!$D$2:$ED$117,ROW('0_Total'!$A$81)-ROW('0_Total'!$A$2)+1,FALSE)</f>
        <v>1.1491277995048165E-2</v>
      </c>
      <c r="G46" s="357">
        <f>HLOOKUP($A46,'0_Total'!$D$2:$ED$117,ROW('0_Total'!$A$80)-ROW('0_Total'!$A$2)+1,FALSE)</f>
        <v>3.3995175357209133E-2</v>
      </c>
      <c r="H46" s="448">
        <f t="shared" ca="1" si="0"/>
        <v>2.1835613123627797</v>
      </c>
      <c r="I46" s="454">
        <f t="shared" ca="1" si="1"/>
        <v>1.181499496025767</v>
      </c>
      <c r="L46" s="454"/>
      <c r="M46" s="442">
        <f t="shared" ca="1" si="2"/>
        <v>0.56735445936910545</v>
      </c>
      <c r="N46" s="442">
        <f ca="1">M46/$I$63</f>
        <v>0.4801986469545918</v>
      </c>
      <c r="O46" s="442"/>
      <c r="P46" s="442"/>
      <c r="Q46" s="442"/>
      <c r="R46" s="442"/>
      <c r="S46" s="442"/>
      <c r="U46" s="441"/>
      <c r="V46" s="442"/>
      <c r="W46" s="442"/>
      <c r="X46" s="442"/>
      <c r="Y46" s="442"/>
      <c r="Z46" s="442"/>
      <c r="AA46" s="442"/>
      <c r="AB46" s="442"/>
      <c r="AC46" s="442"/>
      <c r="AD46" s="442"/>
      <c r="AE46" s="442"/>
      <c r="AF46" s="442"/>
      <c r="AH46" s="431"/>
      <c r="AN46" s="430"/>
    </row>
    <row r="47" spans="1:40" x14ac:dyDescent="0.3">
      <c r="A47" s="442" t="str">
        <f>'0_Total'!DP2</f>
        <v>Bus - ICE (ridership up by 50%)</v>
      </c>
      <c r="B47" s="470"/>
      <c r="C47" s="358" t="str">
        <f>"ICE - R"&amp;MID(A47,13,LEN(A47)-13)</f>
        <v>ICE - Ridership up by 50%</v>
      </c>
      <c r="D47" s="357">
        <f ca="1">HLOOKUP($A47,'0_Total'!$D$2:$ED$117,ROW('0_Total'!$A$77)-ROW('0_Total'!$A$2)+1,FALSE)+
HLOOKUP($A47,'0_Total'!$D$2:$ED$117,ROW('0_Total'!$A$78)-ROW('0_Total'!$A$2)+1,FALSE)</f>
        <v>6.5280380666689813E-2</v>
      </c>
      <c r="E47" s="357">
        <f>HLOOKUP($A47,'0_Total'!$D$2:$ED$117,ROW('0_Total'!$A$79)-ROW('0_Total'!$A$2)+1,FALSE)</f>
        <v>0.64382150073896938</v>
      </c>
      <c r="F47" s="357">
        <f>HLOOKUP($A47,'0_Total'!$D$2:$ED$117,ROW('0_Total'!$A$81)-ROW('0_Total'!$A$2)+1,FALSE)</f>
        <v>7.0287269738556904E-3</v>
      </c>
      <c r="G47" s="357">
        <f>HLOOKUP($A47,'0_Total'!$D$2:$ED$117,ROW('0_Total'!$A$80)-ROW('0_Total'!$A$2)+1,FALSE)</f>
        <v>7.1535722304329932E-2</v>
      </c>
      <c r="H47" s="448">
        <f t="shared" ca="1" si="0"/>
        <v>2.1835613123627797</v>
      </c>
      <c r="I47" s="454">
        <f t="shared" ca="1" si="1"/>
        <v>1.181499496025767</v>
      </c>
      <c r="L47" s="454"/>
      <c r="M47" s="442">
        <f t="shared" ca="1" si="2"/>
        <v>0.78766633068384484</v>
      </c>
      <c r="N47" s="442">
        <f ca="1">M47/$I$63</f>
        <v>0.66666666666666685</v>
      </c>
      <c r="O47" s="442"/>
      <c r="P47" s="442"/>
      <c r="Q47" s="442"/>
      <c r="R47" s="442"/>
      <c r="S47" s="442"/>
      <c r="U47" s="441"/>
      <c r="V47" s="442"/>
      <c r="W47" s="442"/>
      <c r="X47" s="442"/>
      <c r="Y47" s="442"/>
      <c r="Z47" s="442"/>
      <c r="AA47" s="442"/>
      <c r="AB47" s="442"/>
      <c r="AC47" s="442"/>
      <c r="AD47" s="442"/>
      <c r="AE47" s="442"/>
      <c r="AF47" s="442"/>
      <c r="AH47" s="431"/>
      <c r="AN47" s="430"/>
    </row>
    <row r="48" spans="1:40" x14ac:dyDescent="0.3">
      <c r="A48" s="442" t="str">
        <f>'0_Total'!DW2</f>
        <v>Bus - FCEV</v>
      </c>
      <c r="B48" s="470"/>
      <c r="C48" s="358" t="str">
        <f>"FCEV - Hydrogen from natural gas"</f>
        <v>FCEV - Hydrogen from natural gas</v>
      </c>
      <c r="D48" s="357">
        <f ca="1">HLOOKUP($A48,'0_Total'!$D$2:$ED$117,ROW('0_Total'!$A$77)-ROW('0_Total'!$A$2)+1,FALSE)+
HLOOKUP($A48,'0_Total'!$D$2:$ED$117,ROW('0_Total'!$A$78)-ROW('0_Total'!$A$2)+1,FALSE)</f>
        <v>0.13530930508455991</v>
      </c>
      <c r="E48" s="357">
        <f>HLOOKUP($A48,'0_Total'!$D$2:$ED$117,ROW('0_Total'!$A$79)-ROW('0_Total'!$A$2)+1,FALSE)</f>
        <v>0.68847733067782246</v>
      </c>
      <c r="F48" s="357">
        <f>HLOOKUP($A48,'0_Total'!$D$2:$ED$117,ROW('0_Total'!$A$81)-ROW('0_Total'!$A$2)+1,FALSE)</f>
        <v>1.1889648058321935E-2</v>
      </c>
      <c r="G48" s="357">
        <f>HLOOKUP($A48,'0_Total'!$D$2:$ED$117,ROW('0_Total'!$A$80)-ROW('0_Total'!$A$2)+1,FALSE)</f>
        <v>7.6497481186424715E-2</v>
      </c>
      <c r="H48" s="448">
        <f t="shared" ca="1" si="0"/>
        <v>2.1835613123627797</v>
      </c>
      <c r="I48" s="454">
        <f t="shared" ca="1" si="1"/>
        <v>1.181499496025767</v>
      </c>
      <c r="L48" s="454"/>
      <c r="M48" s="442">
        <f t="shared" ca="1" si="2"/>
        <v>0.9121737650071291</v>
      </c>
      <c r="N48" s="442">
        <f t="shared" ref="N48:N49" ca="1" si="3">M48/$I$63</f>
        <v>0.77204752780295371</v>
      </c>
      <c r="O48" s="442"/>
      <c r="P48" s="442"/>
      <c r="Q48" s="442"/>
      <c r="R48" s="442"/>
      <c r="S48" s="442"/>
      <c r="U48" s="441"/>
      <c r="V48" s="442"/>
      <c r="W48" s="442"/>
      <c r="X48" s="442"/>
      <c r="Y48" s="442"/>
      <c r="Z48" s="442"/>
      <c r="AA48" s="442"/>
      <c r="AB48" s="442"/>
      <c r="AC48" s="442"/>
      <c r="AD48" s="442"/>
      <c r="AE48" s="442"/>
      <c r="AF48" s="442"/>
      <c r="AH48" s="431"/>
      <c r="AN48" s="430"/>
    </row>
    <row r="49" spans="1:40" x14ac:dyDescent="0.3">
      <c r="A49" s="442" t="str">
        <f>'0_Total'!DT2</f>
        <v>Bus - BEV (two packs)</v>
      </c>
      <c r="B49" s="470"/>
      <c r="C49" s="358" t="str">
        <f>"BEV - Two "&amp;MID(A49,14,LEN(A49)-14)&amp;", electricity with global average carbon intensity"</f>
        <v>BEV - Two o packs, electricity with global average carbon intensity</v>
      </c>
      <c r="D49" s="357">
        <f ca="1">HLOOKUP($A49,'0_Total'!$D$2:$ED$117,ROW('0_Total'!$A$77)-ROW('0_Total'!$A$2)+1,FALSE)+
HLOOKUP($A49,'0_Total'!$D$2:$ED$117,ROW('0_Total'!$A$78)-ROW('0_Total'!$A$2)+1,FALSE)</f>
        <v>0.21591142780196612</v>
      </c>
      <c r="E49" s="357">
        <f>HLOOKUP($A49,'0_Total'!$D$2:$ED$117,ROW('0_Total'!$A$79)-ROW('0_Total'!$A$2)+1,FALSE)</f>
        <v>0.75481618268336226</v>
      </c>
      <c r="F49" s="357">
        <f>HLOOKUP($A49,'0_Total'!$D$2:$ED$117,ROW('0_Total'!$A$81)-ROW('0_Total'!$A$2)+1,FALSE)</f>
        <v>1.1491277995048165E-2</v>
      </c>
      <c r="G49" s="357">
        <f>HLOOKUP($A49,'0_Total'!$D$2:$ED$117,ROW('0_Total'!$A$80)-ROW('0_Total'!$A$2)+1,FALSE)</f>
        <v>8.3868464742595822E-2</v>
      </c>
      <c r="H49" s="448">
        <f t="shared" ca="1" si="0"/>
        <v>2.1835613123627797</v>
      </c>
      <c r="I49" s="454">
        <f t="shared" ca="1" si="1"/>
        <v>1.181499496025767</v>
      </c>
      <c r="L49" s="454"/>
      <c r="M49" s="442">
        <f t="shared" ca="1" si="2"/>
        <v>1.0660873532229724</v>
      </c>
      <c r="N49" s="442">
        <f t="shared" ca="1" si="3"/>
        <v>0.90231723061160107</v>
      </c>
      <c r="O49" s="442"/>
      <c r="P49" s="442"/>
      <c r="Q49" s="442"/>
      <c r="R49" s="442"/>
      <c r="S49" s="442"/>
      <c r="U49" s="441"/>
      <c r="V49" s="442"/>
      <c r="W49" s="442"/>
      <c r="X49" s="442"/>
      <c r="Y49" s="442"/>
      <c r="Z49" s="442"/>
      <c r="AA49" s="442"/>
      <c r="AB49" s="442"/>
      <c r="AC49" s="442"/>
      <c r="AD49" s="442"/>
      <c r="AE49" s="442"/>
      <c r="AF49" s="442"/>
      <c r="AH49" s="431"/>
      <c r="AN49" s="430"/>
    </row>
    <row r="50" spans="1:40" x14ac:dyDescent="0.3">
      <c r="A50" s="442" t="str">
        <f>'0_Total'!DL2</f>
        <v>Bus - ICE (lifetime 25% larger)</v>
      </c>
      <c r="B50" s="470"/>
      <c r="C50" s="358" t="str">
        <f>"ICE - L"&amp;MID(A50,13,LEN(A50)-13)</f>
        <v>ICE - Lifetime 25% larger</v>
      </c>
      <c r="D50" s="357">
        <f ca="1">HLOOKUP($A50,'0_Total'!$D$2:$ED$117,ROW('0_Total'!$A$77)-ROW('0_Total'!$A$2)+1,FALSE)+
HLOOKUP($A50,'0_Total'!$D$2:$ED$117,ROW('0_Total'!$A$78)-ROW('0_Total'!$A$2)+1,FALSE)</f>
        <v>7.8337492729237582E-2</v>
      </c>
      <c r="E50" s="357">
        <f>HLOOKUP($A50,'0_Total'!$D$2:$ED$117,ROW('0_Total'!$A$79)-ROW('0_Total'!$A$2)+1,FALSE)</f>
        <v>0.96573225110845395</v>
      </c>
      <c r="F50" s="357">
        <f>HLOOKUP($A50,'0_Total'!$D$2:$ED$117,ROW('0_Total'!$A$81)-ROW('0_Total'!$A$2)+1,FALSE)</f>
        <v>1.0543090460783534E-2</v>
      </c>
      <c r="G50" s="357">
        <f>HLOOKUP($A50,'0_Total'!$D$2:$ED$117,ROW('0_Total'!$A$80)-ROW('0_Total'!$A$2)+1,FALSE)</f>
        <v>0.10730358345649488</v>
      </c>
      <c r="H50" s="448">
        <f t="shared" ca="1" si="0"/>
        <v>2.1835613123627797</v>
      </c>
      <c r="I50" s="454">
        <f t="shared" ca="1" si="1"/>
        <v>1.181499496025767</v>
      </c>
      <c r="L50" s="454"/>
      <c r="M50" s="442">
        <f t="shared" ca="1" si="2"/>
        <v>1.1619164177549699</v>
      </c>
      <c r="N50" s="442">
        <f ca="1">M50/$I$63</f>
        <v>0.98342523349635858</v>
      </c>
      <c r="O50" s="442"/>
      <c r="P50" s="442"/>
      <c r="Q50" s="442"/>
      <c r="R50" s="442"/>
      <c r="S50" s="442"/>
      <c r="U50" s="441"/>
      <c r="V50" s="442"/>
      <c r="W50" s="442"/>
      <c r="X50" s="442"/>
      <c r="Y50" s="442"/>
      <c r="Z50" s="442"/>
      <c r="AA50" s="442"/>
      <c r="AB50" s="442"/>
      <c r="AC50" s="442"/>
      <c r="AD50" s="442"/>
      <c r="AE50" s="442"/>
      <c r="AF50" s="442"/>
      <c r="AH50" s="431"/>
      <c r="AN50" s="430"/>
    </row>
    <row r="51" spans="1:40" x14ac:dyDescent="0.3">
      <c r="A51" s="442" t="str">
        <f>'0_Total'!DK2</f>
        <v>Bus - ICE (lifetime 25% lower)</v>
      </c>
      <c r="B51" s="470"/>
      <c r="C51" s="358" t="str">
        <f>"ICE - L"&amp;MID(A51,13,LEN(A51)-13)</f>
        <v>ICE - Lifetime 25% lower</v>
      </c>
      <c r="D51" s="357">
        <f ca="1">HLOOKUP($A51,'0_Total'!$D$2:$ED$117,ROW('0_Total'!$A$77)-ROW('0_Total'!$A$2)+1,FALSE)+
HLOOKUP($A51,'0_Total'!$D$2:$ED$117,ROW('0_Total'!$A$78)-ROW('0_Total'!$A$2)+1,FALSE)</f>
        <v>0.1305590347846966</v>
      </c>
      <c r="E51" s="357">
        <f>HLOOKUP($A51,'0_Total'!$D$2:$ED$117,ROW('0_Total'!$A$79)-ROW('0_Total'!$A$2)+1,FALSE)</f>
        <v>0.96573225110845395</v>
      </c>
      <c r="F51" s="357">
        <f>HLOOKUP($A51,'0_Total'!$D$2:$ED$117,ROW('0_Total'!$A$81)-ROW('0_Total'!$A$2)+1,FALSE)</f>
        <v>1.0543090460783534E-2</v>
      </c>
      <c r="G51" s="357">
        <f>HLOOKUP($A51,'0_Total'!$D$2:$ED$117,ROW('0_Total'!$A$80)-ROW('0_Total'!$A$2)+1,FALSE)</f>
        <v>0.10730358345649489</v>
      </c>
      <c r="H51" s="448">
        <f t="shared" ca="1" si="0"/>
        <v>2.1835613123627797</v>
      </c>
      <c r="I51" s="454">
        <f t="shared" ca="1" si="1"/>
        <v>1.181499496025767</v>
      </c>
      <c r="L51" s="454"/>
      <c r="M51" s="442">
        <f t="shared" ca="1" si="2"/>
        <v>1.2141379598104289</v>
      </c>
      <c r="N51" s="442">
        <f ca="1">M51/$I$63</f>
        <v>1.0276246108394025</v>
      </c>
      <c r="O51" s="442"/>
      <c r="P51" s="442"/>
      <c r="Q51" s="442"/>
      <c r="R51" s="442"/>
      <c r="S51" s="442"/>
      <c r="U51" s="441"/>
      <c r="V51" s="442"/>
      <c r="W51" s="442"/>
      <c r="X51" s="442"/>
      <c r="Y51" s="442"/>
      <c r="Z51" s="442"/>
      <c r="AA51" s="442"/>
      <c r="AB51" s="442"/>
      <c r="AC51" s="442"/>
      <c r="AD51" s="442"/>
      <c r="AE51" s="442"/>
      <c r="AF51" s="442"/>
      <c r="AH51" s="431"/>
      <c r="AN51" s="430"/>
    </row>
    <row r="52" spans="1:40" x14ac:dyDescent="0.3">
      <c r="A52" s="442" t="str">
        <f>'0_Total'!DM2</f>
        <v>Bus - ICE (100% bus lane)</v>
      </c>
      <c r="B52" s="470"/>
      <c r="C52" s="358" t="str">
        <f>"ICE - "&amp;MID(A52,12,LEN(A52)-12)</f>
        <v>ICE - 100% bus lane</v>
      </c>
      <c r="D52" s="357">
        <f ca="1">HLOOKUP($A52,'0_Total'!$D$2:$ED$117,ROW('0_Total'!$A$77)-ROW('0_Total'!$A$2)+1,FALSE)+
HLOOKUP($A52,'0_Total'!$D$2:$ED$117,ROW('0_Total'!$A$78)-ROW('0_Total'!$A$2)+1,FALSE)</f>
        <v>9.7920571000034706E-2</v>
      </c>
      <c r="E52" s="357">
        <f>HLOOKUP($A52,'0_Total'!$D$2:$ED$117,ROW('0_Total'!$A$79)-ROW('0_Total'!$A$2)+1,FALSE)</f>
        <v>0.86915902599760864</v>
      </c>
      <c r="F52" s="357">
        <f>HLOOKUP($A52,'0_Total'!$D$2:$ED$117,ROW('0_Total'!$A$81)-ROW('0_Total'!$A$2)+1,FALSE)</f>
        <v>4.5006061595223842E-2</v>
      </c>
      <c r="G52" s="357">
        <f>HLOOKUP($A52,'0_Total'!$D$2:$ED$117,ROW('0_Total'!$A$80)-ROW('0_Total'!$A$2)+1,FALSE)</f>
        <v>9.6573225110845415E-2</v>
      </c>
      <c r="H52" s="448">
        <f t="shared" ca="1" si="0"/>
        <v>2.1835613123627797</v>
      </c>
      <c r="I52" s="454">
        <f t="shared" ca="1" si="1"/>
        <v>1.181499496025767</v>
      </c>
      <c r="L52" s="454"/>
      <c r="M52" s="442">
        <f ca="1">SUM(D52:G52)</f>
        <v>1.1086588837037126</v>
      </c>
      <c r="N52" s="442">
        <f ca="1">M52/$I$63</f>
        <v>0.93834901109389401</v>
      </c>
      <c r="O52" s="442"/>
      <c r="P52" s="442"/>
      <c r="Q52" s="442"/>
      <c r="R52" s="442"/>
      <c r="S52" s="442"/>
      <c r="U52" s="441"/>
      <c r="V52" s="442"/>
      <c r="W52" s="442"/>
      <c r="X52" s="442"/>
      <c r="Y52" s="442"/>
      <c r="Z52" s="442"/>
      <c r="AA52" s="442"/>
      <c r="AB52" s="442"/>
      <c r="AC52" s="442"/>
      <c r="AD52" s="442"/>
      <c r="AE52" s="442"/>
      <c r="AF52" s="442"/>
      <c r="AH52" s="431"/>
      <c r="AN52" s="430"/>
    </row>
    <row r="53" spans="1:40" x14ac:dyDescent="0.3">
      <c r="A53" s="442" t="str">
        <f>'0_Total'!DN2</f>
        <v>Bus - ICE (deadheading doubled)</v>
      </c>
      <c r="B53" s="470"/>
      <c r="C53" s="358" t="str">
        <f>"ICE - D"&amp;MID(A53,13,LEN(A53)-13)</f>
        <v>ICE - Deadheading doubled</v>
      </c>
      <c r="D53" s="357">
        <f ca="1">HLOOKUP($A53,'0_Total'!$D$2:$ED$117,ROW('0_Total'!$A$77)-ROW('0_Total'!$A$2)+1,FALSE)+
HLOOKUP($A53,'0_Total'!$D$2:$ED$117,ROW('0_Total'!$A$78)-ROW('0_Total'!$A$2)+1,FALSE)</f>
        <v>9.792057100003472E-2</v>
      </c>
      <c r="E53" s="357">
        <f>HLOOKUP($A53,'0_Total'!$D$2:$ED$117,ROW('0_Total'!$A$79)-ROW('0_Total'!$A$2)+1,FALSE)</f>
        <v>0.96573225110845407</v>
      </c>
      <c r="F53" s="357">
        <f>HLOOKUP($A53,'0_Total'!$D$2:$ED$117,ROW('0_Total'!$A$81)-ROW('0_Total'!$A$2)+1,FALSE)</f>
        <v>1.1597399506861891E-2</v>
      </c>
      <c r="G53" s="357">
        <f>HLOOKUP($A53,'0_Total'!$D$2:$ED$117,ROW('0_Total'!$A$80)-ROW('0_Total'!$A$2)+1,FALSE)</f>
        <v>0.21460716691298981</v>
      </c>
      <c r="H53" s="448">
        <f t="shared" ca="1" si="0"/>
        <v>2.1835613123627797</v>
      </c>
      <c r="I53" s="454">
        <f t="shared" ca="1" si="1"/>
        <v>1.181499496025767</v>
      </c>
      <c r="L53" s="454"/>
      <c r="M53" s="442">
        <f t="shared" ca="1" si="2"/>
        <v>1.2898573885283406</v>
      </c>
      <c r="N53" s="442">
        <f ca="1">M53/$I$63</f>
        <v>1.0917121783522203</v>
      </c>
      <c r="O53" s="442"/>
      <c r="P53" s="442"/>
      <c r="Q53" s="442"/>
      <c r="R53" s="442"/>
      <c r="S53" s="442"/>
      <c r="U53" s="441"/>
      <c r="V53" s="442"/>
      <c r="W53" s="442"/>
      <c r="X53" s="442"/>
      <c r="Y53" s="442"/>
      <c r="Z53" s="442"/>
      <c r="AA53" s="442"/>
      <c r="AB53" s="442"/>
      <c r="AC53" s="442"/>
      <c r="AD53" s="442"/>
      <c r="AE53" s="442"/>
      <c r="AF53" s="442"/>
      <c r="AH53" s="431"/>
      <c r="AN53" s="430"/>
    </row>
    <row r="54" spans="1:40" x14ac:dyDescent="0.3">
      <c r="A54" s="442" t="str">
        <f>'0_Total'!DO2</f>
        <v>Bus - ICE (ridership down by 50%)</v>
      </c>
      <c r="B54" s="470"/>
      <c r="C54" s="358" t="str">
        <f>"ICE - R"&amp;MID(A54,13,LEN(A54)-13)</f>
        <v>ICE - Ridership down by 50%</v>
      </c>
      <c r="D54" s="357">
        <f ca="1">HLOOKUP($A54,'0_Total'!$D$2:$ED$117,ROW('0_Total'!$A$77)-ROW('0_Total'!$A$2)+1,FALSE)+
HLOOKUP($A54,'0_Total'!$D$2:$ED$117,ROW('0_Total'!$A$78)-ROW('0_Total'!$A$2)+1,FALSE)</f>
        <v>0.19584114200006941</v>
      </c>
      <c r="E54" s="357">
        <f>HLOOKUP($A54,'0_Total'!$D$2:$ED$117,ROW('0_Total'!$A$79)-ROW('0_Total'!$A$2)+1,FALSE)</f>
        <v>1.9314645022169079</v>
      </c>
      <c r="F54" s="357">
        <f>HLOOKUP($A54,'0_Total'!$D$2:$ED$117,ROW('0_Total'!$A$81)-ROW('0_Total'!$A$2)+1,FALSE)</f>
        <v>2.1086180921567069E-2</v>
      </c>
      <c r="G54" s="357">
        <f>HLOOKUP($A54,'0_Total'!$D$2:$ED$117,ROW('0_Total'!$A$80)-ROW('0_Total'!$A$2)+1,FALSE)</f>
        <v>0.21460716691298978</v>
      </c>
      <c r="H54" s="448">
        <f t="shared" ca="1" si="0"/>
        <v>2.1835613123627797</v>
      </c>
      <c r="I54" s="454">
        <f t="shared" ca="1" si="1"/>
        <v>1.181499496025767</v>
      </c>
      <c r="L54" s="454"/>
      <c r="M54" s="442">
        <f t="shared" ca="1" si="2"/>
        <v>2.362998992051534</v>
      </c>
      <c r="N54" s="442">
        <f ca="1">M54/$I$63</f>
        <v>2</v>
      </c>
      <c r="O54" s="442"/>
      <c r="P54" s="442"/>
      <c r="Q54" s="442"/>
      <c r="R54" s="442"/>
      <c r="S54" s="442"/>
      <c r="U54" s="441"/>
      <c r="V54" s="442"/>
      <c r="W54" s="442"/>
      <c r="X54" s="442"/>
      <c r="Y54" s="442"/>
      <c r="Z54" s="442"/>
      <c r="AA54" s="442"/>
      <c r="AB54" s="442"/>
      <c r="AC54" s="442"/>
      <c r="AD54" s="442"/>
      <c r="AE54" s="442"/>
      <c r="AF54" s="442"/>
      <c r="AH54" s="431"/>
      <c r="AN54" s="430"/>
    </row>
    <row r="55" spans="1:40" x14ac:dyDescent="0.3">
      <c r="A55" s="442"/>
      <c r="B55" s="470"/>
      <c r="C55" s="358"/>
      <c r="D55" s="357"/>
      <c r="E55" s="357"/>
      <c r="F55" s="357"/>
      <c r="G55" s="357"/>
      <c r="H55" s="448"/>
      <c r="I55" s="454"/>
      <c r="L55" s="454"/>
      <c r="M55" s="442"/>
      <c r="N55" s="442"/>
      <c r="O55" s="442"/>
      <c r="P55" s="442"/>
      <c r="Q55" s="442"/>
      <c r="R55" s="442"/>
      <c r="S55" s="442"/>
      <c r="U55" s="441"/>
      <c r="V55" s="442"/>
      <c r="W55" s="442"/>
      <c r="X55" s="442"/>
      <c r="Y55" s="442"/>
      <c r="Z55" s="442"/>
      <c r="AA55" s="442"/>
      <c r="AB55" s="442"/>
      <c r="AC55" s="442"/>
      <c r="AD55" s="442"/>
      <c r="AE55" s="442"/>
      <c r="AF55" s="442"/>
      <c r="AH55" s="431"/>
      <c r="AN55" s="430"/>
    </row>
    <row r="56" spans="1:40" x14ac:dyDescent="0.3">
      <c r="B56" s="470"/>
      <c r="C56" s="466"/>
      <c r="D56" s="357"/>
      <c r="E56" s="357"/>
      <c r="F56" s="357"/>
      <c r="G56" s="357"/>
      <c r="H56" s="448"/>
      <c r="I56" s="454"/>
      <c r="L56" s="454"/>
      <c r="M56" s="442"/>
      <c r="N56" s="442"/>
      <c r="O56" s="442"/>
      <c r="P56" s="442"/>
      <c r="Q56" s="442"/>
      <c r="R56" s="442"/>
      <c r="S56" s="442"/>
      <c r="U56" s="441"/>
      <c r="V56" s="442"/>
      <c r="W56" s="442"/>
      <c r="X56" s="442"/>
      <c r="Y56" s="442"/>
      <c r="Z56" s="442"/>
      <c r="AA56" s="442"/>
      <c r="AB56" s="442"/>
      <c r="AC56" s="442"/>
      <c r="AD56" s="442"/>
      <c r="AE56" s="442"/>
      <c r="AF56" s="442"/>
      <c r="AH56" s="431"/>
      <c r="AN56" s="430"/>
    </row>
    <row r="57" spans="1:40" x14ac:dyDescent="0.3">
      <c r="B57" s="470"/>
      <c r="C57" s="469"/>
      <c r="D57" s="357"/>
      <c r="E57" s="357"/>
      <c r="F57" s="357"/>
      <c r="G57" s="357"/>
      <c r="H57" s="448"/>
      <c r="I57" s="454"/>
      <c r="L57" s="454"/>
      <c r="M57" s="442"/>
      <c r="N57" s="442"/>
      <c r="O57" s="442"/>
      <c r="P57" s="442"/>
      <c r="Q57" s="442"/>
      <c r="R57" s="442"/>
      <c r="S57" s="442"/>
      <c r="U57" s="441"/>
      <c r="V57" s="442"/>
      <c r="W57" s="442"/>
      <c r="X57" s="442"/>
      <c r="Y57" s="442"/>
      <c r="Z57" s="442"/>
      <c r="AA57" s="442"/>
      <c r="AB57" s="442"/>
      <c r="AC57" s="442"/>
      <c r="AD57" s="442"/>
      <c r="AE57" s="442"/>
      <c r="AF57" s="442"/>
      <c r="AH57" s="431"/>
      <c r="AN57" s="430"/>
    </row>
    <row r="58" spans="1:40" x14ac:dyDescent="0.3">
      <c r="B58" s="470"/>
      <c r="C58" s="469"/>
      <c r="D58" s="357"/>
      <c r="E58" s="357"/>
      <c r="F58" s="357"/>
      <c r="G58" s="357"/>
      <c r="H58" s="448"/>
      <c r="I58" s="454"/>
      <c r="L58" s="454"/>
      <c r="M58" s="442"/>
      <c r="N58" s="442"/>
      <c r="O58" s="442"/>
      <c r="P58" s="442"/>
      <c r="Q58" s="442"/>
      <c r="R58" s="442"/>
      <c r="S58" s="442"/>
      <c r="U58" s="441"/>
      <c r="V58" s="442"/>
      <c r="W58" s="442"/>
      <c r="X58" s="442"/>
      <c r="Y58" s="442"/>
      <c r="Z58" s="442"/>
      <c r="AA58" s="442"/>
      <c r="AB58" s="442"/>
      <c r="AC58" s="442"/>
      <c r="AD58" s="442"/>
      <c r="AE58" s="442"/>
      <c r="AF58" s="442"/>
      <c r="AH58" s="431"/>
      <c r="AN58" s="430"/>
    </row>
    <row r="59" spans="1:40" x14ac:dyDescent="0.3">
      <c r="B59" s="470"/>
      <c r="C59" s="467"/>
      <c r="D59" s="357"/>
      <c r="E59" s="357"/>
      <c r="F59" s="357"/>
      <c r="G59" s="357"/>
      <c r="H59" s="448"/>
      <c r="I59" s="454"/>
      <c r="L59" s="454"/>
      <c r="M59" s="442"/>
      <c r="N59" s="442"/>
      <c r="O59" s="442"/>
      <c r="P59" s="442"/>
      <c r="Q59" s="442"/>
      <c r="R59" s="442"/>
      <c r="S59" s="442"/>
      <c r="U59" s="441"/>
      <c r="V59" s="442"/>
      <c r="W59" s="442"/>
      <c r="X59" s="442"/>
      <c r="Y59" s="442"/>
      <c r="Z59" s="442"/>
      <c r="AA59" s="442"/>
      <c r="AB59" s="442"/>
      <c r="AC59" s="442"/>
      <c r="AD59" s="442"/>
      <c r="AE59" s="442"/>
      <c r="AF59" s="442"/>
      <c r="AH59" s="431"/>
      <c r="AN59" s="430"/>
    </row>
    <row r="60" spans="1:40" x14ac:dyDescent="0.3">
      <c r="B60" s="470"/>
      <c r="C60" s="468"/>
      <c r="D60" s="357"/>
      <c r="E60" s="357"/>
      <c r="F60" s="357"/>
      <c r="G60" s="357"/>
      <c r="H60" s="448"/>
      <c r="I60" s="454"/>
      <c r="L60" s="454"/>
      <c r="M60" s="442"/>
      <c r="N60" s="442"/>
      <c r="O60" s="442"/>
      <c r="P60" s="442"/>
      <c r="Q60" s="442"/>
      <c r="R60" s="442"/>
      <c r="S60" s="442"/>
      <c r="U60" s="441"/>
      <c r="V60" s="442"/>
      <c r="W60" s="442"/>
      <c r="X60" s="442"/>
      <c r="Y60" s="442"/>
      <c r="Z60" s="442"/>
      <c r="AA60" s="442"/>
      <c r="AB60" s="442"/>
      <c r="AC60" s="442"/>
      <c r="AD60" s="442"/>
      <c r="AE60" s="442"/>
      <c r="AF60" s="442"/>
      <c r="AH60" s="431"/>
      <c r="AN60" s="430"/>
    </row>
    <row r="61" spans="1:40" x14ac:dyDescent="0.3">
      <c r="C61" s="358"/>
      <c r="D61" s="357"/>
      <c r="E61" s="357"/>
      <c r="F61" s="357"/>
      <c r="G61" s="357"/>
      <c r="H61" s="448"/>
      <c r="L61" s="454"/>
      <c r="M61" s="442"/>
      <c r="N61" s="442"/>
      <c r="O61" s="442"/>
      <c r="P61" s="442"/>
      <c r="Q61" s="442"/>
      <c r="R61" s="442"/>
      <c r="S61" s="442"/>
      <c r="U61" s="441"/>
      <c r="V61" s="442"/>
      <c r="W61" s="442"/>
      <c r="X61" s="442"/>
      <c r="Y61" s="442"/>
      <c r="Z61" s="442"/>
      <c r="AA61" s="442"/>
      <c r="AB61" s="442"/>
      <c r="AC61" s="442"/>
      <c r="AD61" s="442"/>
      <c r="AE61" s="442"/>
      <c r="AF61" s="442"/>
      <c r="AH61" s="431"/>
      <c r="AN61" s="430"/>
    </row>
    <row r="62" spans="1:40" x14ac:dyDescent="0.3">
      <c r="A62" s="430" t="str">
        <f>'0_Total'!AO2</f>
        <v>Private car - ICE</v>
      </c>
      <c r="C62" s="358" t="str">
        <f>A62&amp;" (central estimate)"</f>
        <v>Private car - ICE (central estimate)</v>
      </c>
      <c r="D62" s="357"/>
      <c r="E62" s="357"/>
      <c r="F62" s="357"/>
      <c r="G62" s="357"/>
      <c r="H62" s="444">
        <f ca="1">HLOOKUP($A62,'0_Total'!$D$2:$ED$117,ROW('0_Total'!$A$76)-ROW('0_Total'!$A$2)+1,FALSE)</f>
        <v>2.1835613123627797</v>
      </c>
      <c r="M62" s="442"/>
      <c r="N62" s="442"/>
      <c r="O62" s="442"/>
      <c r="P62" s="442"/>
      <c r="Q62" s="442"/>
      <c r="R62" s="442"/>
      <c r="S62" s="442"/>
      <c r="U62" s="441"/>
      <c r="V62" s="442"/>
      <c r="W62" s="442"/>
      <c r="X62" s="442"/>
      <c r="Y62" s="442"/>
      <c r="Z62" s="442"/>
      <c r="AA62" s="442"/>
      <c r="AB62" s="442"/>
      <c r="AC62" s="442"/>
      <c r="AD62" s="442"/>
      <c r="AE62" s="442"/>
      <c r="AF62" s="442"/>
      <c r="AH62" s="431"/>
      <c r="AN62" s="430"/>
    </row>
    <row r="63" spans="1:40" x14ac:dyDescent="0.3">
      <c r="A63" s="430" t="str">
        <f>'0_Total'!DQ2</f>
        <v>Bus - ICE</v>
      </c>
      <c r="C63" s="358" t="str">
        <f>A63&amp;" (central estimate)"</f>
        <v>Bus - ICE (central estimate)</v>
      </c>
      <c r="D63" s="357"/>
      <c r="E63" s="357"/>
      <c r="F63" s="357"/>
      <c r="G63" s="448"/>
      <c r="H63" s="449"/>
      <c r="I63" s="475">
        <f ca="1">HLOOKUP($A63,'0_Total'!$D$2:$ED$117,ROW('0_Total'!$A$76)-ROW('0_Total'!$A$2)+1,FALSE)</f>
        <v>1.181499496025767</v>
      </c>
      <c r="J63" s="442"/>
      <c r="K63" s="442"/>
      <c r="L63" s="442"/>
      <c r="M63" s="442"/>
      <c r="N63" s="442"/>
      <c r="O63" s="442"/>
      <c r="P63" s="442"/>
      <c r="Q63" s="442"/>
      <c r="R63" s="442"/>
      <c r="S63" s="442"/>
      <c r="U63" s="441"/>
      <c r="V63" s="442"/>
      <c r="W63" s="442"/>
      <c r="X63" s="442"/>
      <c r="Y63" s="442"/>
      <c r="Z63" s="442"/>
      <c r="AA63" s="442"/>
      <c r="AB63" s="442"/>
      <c r="AC63" s="442"/>
      <c r="AD63" s="442"/>
      <c r="AE63" s="442"/>
      <c r="AF63" s="442"/>
      <c r="AH63" s="431"/>
      <c r="AN63" s="430"/>
    </row>
    <row r="64" spans="1:40" x14ac:dyDescent="0.3">
      <c r="B64" s="358"/>
      <c r="C64" s="357"/>
      <c r="D64" s="357"/>
      <c r="E64" s="357"/>
      <c r="F64" s="357"/>
      <c r="G64" s="448"/>
      <c r="H64" s="449"/>
      <c r="I64" s="454"/>
      <c r="J64" s="442"/>
      <c r="K64" s="442"/>
      <c r="L64" s="442"/>
      <c r="M64" s="442"/>
      <c r="N64" s="442"/>
      <c r="O64" s="442"/>
      <c r="P64" s="442"/>
      <c r="Q64" s="442"/>
      <c r="R64" s="442"/>
      <c r="S64" s="442"/>
      <c r="U64" s="441"/>
      <c r="V64" s="442"/>
      <c r="W64" s="442"/>
      <c r="X64" s="442"/>
      <c r="Y64" s="442"/>
      <c r="Z64" s="442"/>
      <c r="AA64" s="442"/>
      <c r="AB64" s="442"/>
      <c r="AC64" s="442"/>
      <c r="AD64" s="442"/>
      <c r="AE64" s="442"/>
      <c r="AF64" s="442"/>
      <c r="AH64" s="431"/>
      <c r="AN64" s="430"/>
    </row>
    <row r="65" spans="2:40" x14ac:dyDescent="0.3">
      <c r="B65" s="358"/>
      <c r="C65" s="357"/>
      <c r="D65" s="357"/>
      <c r="E65" s="357"/>
      <c r="F65" s="357"/>
      <c r="G65" s="448"/>
      <c r="H65" s="449"/>
      <c r="I65" s="454"/>
      <c r="J65" s="442"/>
      <c r="K65" s="442"/>
      <c r="L65" s="442"/>
      <c r="M65" s="442"/>
      <c r="N65" s="442"/>
      <c r="O65" s="442"/>
      <c r="P65" s="442"/>
      <c r="Q65" s="442"/>
      <c r="R65" s="442"/>
      <c r="S65" s="442"/>
      <c r="U65" s="441"/>
      <c r="V65" s="442"/>
      <c r="W65" s="442"/>
      <c r="X65" s="442"/>
      <c r="Y65" s="442"/>
      <c r="Z65" s="442"/>
      <c r="AA65" s="442"/>
      <c r="AB65" s="442"/>
      <c r="AC65" s="442"/>
      <c r="AD65" s="442"/>
      <c r="AE65" s="442"/>
      <c r="AF65" s="442"/>
      <c r="AH65" s="431"/>
      <c r="AN65" s="430"/>
    </row>
    <row r="66" spans="2:40" x14ac:dyDescent="0.3">
      <c r="B66" s="358"/>
      <c r="C66" s="357"/>
      <c r="D66" s="357"/>
      <c r="E66" s="357"/>
      <c r="F66" s="357"/>
      <c r="G66" s="357"/>
      <c r="H66" s="445"/>
      <c r="I66" s="442"/>
      <c r="J66" s="442"/>
      <c r="K66" s="442"/>
      <c r="L66" s="442"/>
      <c r="M66" s="442"/>
      <c r="N66" s="442"/>
      <c r="O66" s="442"/>
      <c r="P66" s="442"/>
      <c r="Q66" s="442"/>
      <c r="R66" s="442"/>
      <c r="S66" s="442"/>
      <c r="U66" s="441"/>
      <c r="V66" s="442"/>
      <c r="W66" s="442"/>
      <c r="X66" s="442"/>
      <c r="Y66" s="442"/>
      <c r="Z66" s="442"/>
      <c r="AA66" s="442"/>
      <c r="AB66" s="442"/>
      <c r="AC66" s="442"/>
      <c r="AD66" s="442"/>
      <c r="AE66" s="442"/>
      <c r="AF66" s="442"/>
      <c r="AH66" s="431"/>
      <c r="AN66" s="430"/>
    </row>
    <row r="67" spans="2:40" x14ac:dyDescent="0.3">
      <c r="B67" s="358"/>
      <c r="C67" s="357"/>
      <c r="D67" s="357"/>
      <c r="E67" s="357"/>
      <c r="F67" s="357"/>
      <c r="G67" s="357"/>
      <c r="H67" s="445"/>
      <c r="K67" s="441"/>
      <c r="L67" s="442"/>
      <c r="M67" s="442"/>
      <c r="N67" s="442"/>
      <c r="O67" s="442"/>
      <c r="P67" s="442"/>
      <c r="Q67" s="442"/>
      <c r="R67" s="442"/>
      <c r="S67" s="442"/>
      <c r="T67" s="442"/>
      <c r="U67" s="442"/>
      <c r="V67" s="442"/>
      <c r="X67" s="441"/>
      <c r="Y67" s="442"/>
      <c r="Z67" s="442"/>
      <c r="AA67" s="442"/>
      <c r="AB67" s="442"/>
      <c r="AC67" s="442"/>
      <c r="AD67" s="442"/>
      <c r="AE67" s="442"/>
      <c r="AF67" s="442"/>
      <c r="AG67" s="442"/>
      <c r="AH67" s="442"/>
      <c r="AI67" s="442"/>
      <c r="AK67" s="431"/>
      <c r="AN67" s="430"/>
    </row>
    <row r="68" spans="2:40" x14ac:dyDescent="0.3">
      <c r="B68" s="358"/>
      <c r="C68" s="357"/>
      <c r="D68" s="357"/>
      <c r="E68" s="357"/>
      <c r="F68" s="357"/>
      <c r="G68" s="357"/>
      <c r="H68" s="357"/>
      <c r="I68" s="357"/>
      <c r="J68" s="357"/>
      <c r="K68" s="445"/>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B69" s="349"/>
      <c r="C69" s="349"/>
      <c r="D69" s="349"/>
      <c r="E69" s="349"/>
      <c r="F69" s="349"/>
      <c r="G69" s="349"/>
      <c r="H69" s="349"/>
      <c r="I69" s="349"/>
      <c r="J69" s="349"/>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N71" s="441"/>
      <c r="O71" s="442"/>
      <c r="P71" s="442"/>
      <c r="Q71" s="442"/>
      <c r="R71" s="442"/>
      <c r="S71" s="442"/>
      <c r="T71" s="442"/>
      <c r="U71" s="442"/>
      <c r="V71" s="442"/>
      <c r="W71" s="442"/>
      <c r="X71" s="442"/>
      <c r="Y71" s="442"/>
      <c r="AA71" s="441"/>
      <c r="AB71" s="442"/>
      <c r="AC71" s="442"/>
      <c r="AD71" s="442"/>
      <c r="AE71" s="442"/>
      <c r="AF71" s="442"/>
      <c r="AG71" s="442"/>
      <c r="AH71" s="442"/>
      <c r="AI71" s="442"/>
      <c r="AJ71" s="442"/>
      <c r="AK71" s="442"/>
      <c r="AL71" s="442"/>
    </row>
    <row r="72" spans="2:40" x14ac:dyDescent="0.3">
      <c r="N72" s="441"/>
      <c r="O72" s="442"/>
      <c r="P72" s="442"/>
      <c r="Q72" s="442"/>
      <c r="R72" s="442"/>
      <c r="S72" s="442"/>
      <c r="T72" s="442"/>
      <c r="U72" s="442"/>
      <c r="V72" s="442"/>
      <c r="W72" s="442"/>
      <c r="X72" s="442"/>
      <c r="Y72" s="442"/>
      <c r="AA72" s="441"/>
      <c r="AB72" s="442"/>
      <c r="AC72" s="442"/>
      <c r="AD72" s="442"/>
      <c r="AE72" s="442"/>
      <c r="AF72" s="442"/>
      <c r="AG72" s="442"/>
      <c r="AH72" s="442"/>
      <c r="AI72" s="442"/>
      <c r="AJ72" s="442"/>
      <c r="AK72" s="442"/>
      <c r="AL72" s="442"/>
    </row>
    <row r="73" spans="2:40" x14ac:dyDescent="0.3">
      <c r="O73" s="431"/>
      <c r="P73" s="431"/>
    </row>
    <row r="74" spans="2:40" x14ac:dyDescent="0.3">
      <c r="B74" s="446"/>
      <c r="C74" s="435"/>
      <c r="D74" s="435"/>
      <c r="E74" s="435"/>
      <c r="F74" s="435"/>
      <c r="G74" s="435"/>
      <c r="H74" s="435"/>
      <c r="I74" s="435"/>
      <c r="J74" s="435"/>
      <c r="K74" s="435"/>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B77" s="435"/>
      <c r="C77" s="447"/>
      <c r="D77" s="447"/>
      <c r="E77" s="447"/>
      <c r="F77" s="447"/>
      <c r="G77" s="447"/>
      <c r="H77" s="447"/>
      <c r="I77" s="447"/>
      <c r="J77" s="447"/>
      <c r="K77" s="447"/>
      <c r="O77" s="431"/>
      <c r="P77" s="431"/>
    </row>
    <row r="78" spans="2:40" x14ac:dyDescent="0.3">
      <c r="B78" s="435"/>
      <c r="C78" s="447"/>
      <c r="D78" s="447"/>
      <c r="E78" s="447"/>
      <c r="F78" s="447"/>
      <c r="G78" s="447"/>
      <c r="H78" s="447"/>
      <c r="I78" s="447"/>
      <c r="J78" s="447"/>
      <c r="K78" s="447"/>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row r="135" spans="15:16" x14ac:dyDescent="0.3">
      <c r="O135" s="431"/>
      <c r="P135" s="431"/>
    </row>
    <row r="136" spans="15:16" x14ac:dyDescent="0.3">
      <c r="O136" s="431"/>
      <c r="P136" s="431"/>
    </row>
  </sheetData>
  <mergeCells count="1">
    <mergeCell ref="B19:H33"/>
  </mergeCells>
  <pageMargins left="0" right="0" top="0" bottom="0" header="0" footer="0"/>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7BC143"/>
  </sheetPr>
  <dimension ref="A1:AN132"/>
  <sheetViews>
    <sheetView topLeftCell="D12" zoomScale="67" zoomScaleNormal="60" zoomScalePageLayoutView="200" workbookViewId="0">
      <selection activeCell="B18" sqref="B18"/>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58" t="s">
        <v>1129</v>
      </c>
      <c r="E44" s="358" t="s">
        <v>1130</v>
      </c>
      <c r="F44" s="358" t="s">
        <v>1131</v>
      </c>
      <c r="G44" s="358" t="s">
        <v>850</v>
      </c>
      <c r="H44" s="358" t="str">
        <f>C58</f>
        <v>Private car - ICE (central estimate)</v>
      </c>
      <c r="I44" s="476" t="str">
        <f>C59</f>
        <v>Metro/urban train (central estimate)</v>
      </c>
      <c r="L44" s="441"/>
      <c r="M44" s="442"/>
      <c r="N44" s="442"/>
      <c r="O44" s="442"/>
      <c r="P44" s="442"/>
      <c r="Q44" s="442"/>
      <c r="R44" s="442"/>
      <c r="S44" s="442"/>
      <c r="U44" s="441"/>
      <c r="V44" s="442"/>
      <c r="W44" s="442"/>
      <c r="X44" s="442"/>
      <c r="Y44" s="442"/>
      <c r="Z44" s="442"/>
      <c r="AA44" s="442"/>
      <c r="AB44" s="442"/>
      <c r="AC44" s="442"/>
      <c r="AD44" s="442"/>
      <c r="AE44" s="442"/>
      <c r="AF44" s="442"/>
      <c r="AH44" s="431"/>
      <c r="AN44" s="430"/>
    </row>
    <row r="45" spans="1:40" x14ac:dyDescent="0.3">
      <c r="A45" s="442" t="str">
        <f>'0_Total'!EC2</f>
        <v>Metro/urban train (ridership per train up by 50%)</v>
      </c>
      <c r="B45" s="470"/>
      <c r="C45" s="358" t="str">
        <f>"R"&amp;MID(A45,21,LEN(A45)-21)</f>
        <v>Ridership per train up by 50%</v>
      </c>
      <c r="D45" s="357">
        <f ca="1">HLOOKUP($A45,'0_Total'!$D$2:$ED$117,ROW('0_Total'!$A$99)-ROW('0_Total'!$A$2)+1,FALSE)+
HLOOKUP($A45,'0_Total'!$D$2:$ED$117,ROW('0_Total'!$A$100)-ROW('0_Total'!$A$2)+1,FALSE)</f>
        <v>1.6226086256394694</v>
      </c>
      <c r="E45" s="357">
        <f>HLOOKUP($A45,'0_Total'!$D$2:$ED$117,ROW('0_Total'!$A$101)-ROW('0_Total'!$A$2)+1,FALSE)</f>
        <v>9.6587189443191974</v>
      </c>
      <c r="F45" s="357">
        <f>HLOOKUP($A45,'0_Total'!$D$2:$ED$117,ROW('0_Total'!$A$103)-ROW('0_Total'!$A$2)+1,FALSE)</f>
        <v>8.8027234028980494</v>
      </c>
      <c r="G45" s="357">
        <f>HLOOKUP($A45,'0_Total'!$D$2:$ED$117,ROW('0_Total'!$A$102)-ROW('0_Total'!$A$2)+1,FALSE)</f>
        <v>0</v>
      </c>
      <c r="H45" s="448">
        <f t="shared" ref="H45:H50" ca="1" si="0">H$58</f>
        <v>161.97203672281782</v>
      </c>
      <c r="I45" s="454">
        <f t="shared" ref="I45:I50" ca="1" si="1">I$59</f>
        <v>25.105063716070894</v>
      </c>
      <c r="L45" s="454"/>
      <c r="M45" s="442">
        <f t="shared" ref="M45:M50" ca="1" si="2">SUM(D45:G45)</f>
        <v>20.084050972856716</v>
      </c>
      <c r="N45" s="442">
        <f t="shared" ref="N45:N50" ca="1" si="3">M45/$I$59</f>
        <v>0.8</v>
      </c>
      <c r="O45" s="442"/>
      <c r="P45" s="442"/>
      <c r="Q45" s="442"/>
      <c r="R45" s="442"/>
      <c r="S45" s="442"/>
      <c r="U45" s="441"/>
      <c r="V45" s="442"/>
      <c r="W45" s="442"/>
      <c r="X45" s="442"/>
      <c r="Y45" s="442"/>
      <c r="Z45" s="442"/>
      <c r="AA45" s="442"/>
      <c r="AB45" s="442"/>
      <c r="AC45" s="442"/>
      <c r="AD45" s="442"/>
      <c r="AE45" s="442"/>
      <c r="AF45" s="442"/>
      <c r="AH45" s="431"/>
      <c r="AN45" s="430"/>
    </row>
    <row r="46" spans="1:40" x14ac:dyDescent="0.3">
      <c r="A46" s="442" t="str">
        <f>'0_Total'!EA2</f>
        <v>Metro/urban train (network usage frequency up by 25%)</v>
      </c>
      <c r="B46" s="470"/>
      <c r="C46" s="358" t="str">
        <f>"N"&amp;MID(A46,21,LEN(A46)-21)</f>
        <v>Network usage frequency up by 25%</v>
      </c>
      <c r="D46" s="357">
        <f ca="1">HLOOKUP($A46,'0_Total'!$D$2:$ED$117,ROW('0_Total'!$A$99)-ROW('0_Total'!$A$2)+1,FALSE)+
HLOOKUP($A46,'0_Total'!$D$2:$ED$117,ROW('0_Total'!$A$100)-ROW('0_Total'!$A$2)+1,FALSE)</f>
        <v>2.0282607820493368</v>
      </c>
      <c r="E46" s="357">
        <f>HLOOKUP($A46,'0_Total'!$D$2:$ED$117,ROW('0_Total'!$A$101)-ROW('0_Total'!$A$2)+1,FALSE)</f>
        <v>12.073398680398997</v>
      </c>
      <c r="F46" s="357">
        <f>HLOOKUP($A46,'0_Total'!$D$2:$ED$117,ROW('0_Total'!$A$103)-ROW('0_Total'!$A$2)+1,FALSE)</f>
        <v>8.8027234028980494</v>
      </c>
      <c r="G46" s="357">
        <f>HLOOKUP($A46,'0_Total'!$D$2:$ED$117,ROW('0_Total'!$A$102)-ROW('0_Total'!$A$2)+1,FALSE)</f>
        <v>0</v>
      </c>
      <c r="H46" s="448">
        <f t="shared" ca="1" si="0"/>
        <v>161.97203672281782</v>
      </c>
      <c r="I46" s="454">
        <f t="shared" ca="1" si="1"/>
        <v>25.105063716070894</v>
      </c>
      <c r="L46" s="454"/>
      <c r="M46" s="442">
        <f t="shared" ca="1" si="2"/>
        <v>22.904382865346385</v>
      </c>
      <c r="N46" s="442">
        <f t="shared" ca="1" si="3"/>
        <v>0.91234115652469927</v>
      </c>
      <c r="O46" s="442"/>
      <c r="P46" s="442"/>
      <c r="Q46" s="442"/>
      <c r="R46" s="442"/>
      <c r="S46" s="442"/>
      <c r="U46" s="441"/>
      <c r="V46" s="442"/>
      <c r="W46" s="442"/>
      <c r="X46" s="442"/>
      <c r="Y46" s="442"/>
      <c r="Z46" s="442"/>
      <c r="AA46" s="442"/>
      <c r="AB46" s="442"/>
      <c r="AC46" s="442"/>
      <c r="AD46" s="442"/>
      <c r="AE46" s="442"/>
      <c r="AF46" s="442"/>
      <c r="AH46" s="431"/>
      <c r="AN46" s="430"/>
    </row>
    <row r="47" spans="1:40" x14ac:dyDescent="0.3">
      <c r="A47" s="442" t="str">
        <f>'0_Total'!DX2</f>
        <v>Metro/urban train (infrastructure lifetime 25% higher)</v>
      </c>
      <c r="B47" s="470"/>
      <c r="C47" s="358" t="str">
        <f>"I"&amp;MID(A47,21,LEN(A47)-21)</f>
        <v>Infrastructure lifetime 25% higher</v>
      </c>
      <c r="D47" s="357">
        <f ca="1">HLOOKUP($A47,'0_Total'!$D$2:$ED$117,ROW('0_Total'!$A$99)-ROW('0_Total'!$A$2)+1,FALSE)+
HLOOKUP($A47,'0_Total'!$D$2:$ED$117,ROW('0_Total'!$A$100)-ROW('0_Total'!$A$2)+1,FALSE)</f>
        <v>2.0282607820493368</v>
      </c>
      <c r="E47" s="357">
        <f>HLOOKUP($A47,'0_Total'!$D$2:$ED$117,ROW('0_Total'!$A$101)-ROW('0_Total'!$A$2)+1,FALSE)</f>
        <v>12.073398680398997</v>
      </c>
      <c r="F47" s="357">
        <f>HLOOKUP($A47,'0_Total'!$D$2:$ED$117,ROW('0_Total'!$A$103)-ROW('0_Total'!$A$2)+1,FALSE)</f>
        <v>8.8027234028980494</v>
      </c>
      <c r="G47" s="357">
        <f>HLOOKUP($A47,'0_Total'!$D$2:$ED$117,ROW('0_Total'!$A$102)-ROW('0_Total'!$A$2)+1,FALSE)</f>
        <v>0</v>
      </c>
      <c r="H47" s="448">
        <f t="shared" ca="1" si="0"/>
        <v>161.97203672281782</v>
      </c>
      <c r="I47" s="454">
        <f t="shared" ca="1" si="1"/>
        <v>25.105063716070894</v>
      </c>
      <c r="L47" s="454"/>
      <c r="M47" s="442">
        <f t="shared" ca="1" si="2"/>
        <v>22.904382865346385</v>
      </c>
      <c r="N47" s="442">
        <f t="shared" ca="1" si="3"/>
        <v>0.91234115652469927</v>
      </c>
      <c r="O47" s="442"/>
      <c r="P47" s="442"/>
      <c r="Q47" s="442"/>
      <c r="R47" s="442"/>
      <c r="S47" s="442"/>
      <c r="U47" s="441"/>
      <c r="V47" s="442"/>
      <c r="W47" s="442"/>
      <c r="X47" s="442"/>
      <c r="Y47" s="442"/>
      <c r="Z47" s="442"/>
      <c r="AA47" s="442"/>
      <c r="AB47" s="442"/>
      <c r="AC47" s="442"/>
      <c r="AD47" s="442"/>
      <c r="AE47" s="442"/>
      <c r="AF47" s="442"/>
      <c r="AH47" s="431"/>
      <c r="AN47" s="430"/>
    </row>
    <row r="48" spans="1:40" x14ac:dyDescent="0.3">
      <c r="A48" s="442" t="str">
        <f>'0_Total'!DY2</f>
        <v>Metro/urban train (infrastructure lifetime 25% lower)</v>
      </c>
      <c r="B48" s="470"/>
      <c r="C48" s="358" t="str">
        <f>"I"&amp;MID(A48,21,LEN(A48)-21)</f>
        <v>Infrastructure lifetime 25% lower</v>
      </c>
      <c r="D48" s="357">
        <f ca="1">HLOOKUP($A48,'0_Total'!$D$2:$ED$117,ROW('0_Total'!$A$99)-ROW('0_Total'!$A$2)+1,FALSE)+
HLOOKUP($A48,'0_Total'!$D$2:$ED$117,ROW('0_Total'!$A$100)-ROW('0_Total'!$A$2)+1,FALSE)</f>
        <v>2.0282607820493368</v>
      </c>
      <c r="E48" s="357">
        <f>HLOOKUP($A48,'0_Total'!$D$2:$ED$117,ROW('0_Total'!$A$101)-ROW('0_Total'!$A$2)+1,FALSE)</f>
        <v>12.073398680398997</v>
      </c>
      <c r="F48" s="357">
        <f>HLOOKUP($A48,'0_Total'!$D$2:$ED$117,ROW('0_Total'!$A$103)-ROW('0_Total'!$A$2)+1,FALSE)</f>
        <v>14.671205671496748</v>
      </c>
      <c r="G48" s="357">
        <f>HLOOKUP($A48,'0_Total'!$D$2:$ED$117,ROW('0_Total'!$A$102)-ROW('0_Total'!$A$2)+1,FALSE)</f>
        <v>0</v>
      </c>
      <c r="H48" s="448">
        <f t="shared" ca="1" si="0"/>
        <v>161.97203672281782</v>
      </c>
      <c r="I48" s="454">
        <f t="shared" ca="1" si="1"/>
        <v>25.105063716070894</v>
      </c>
      <c r="L48" s="454"/>
      <c r="M48" s="442">
        <f t="shared" ca="1" si="2"/>
        <v>28.772865133945082</v>
      </c>
      <c r="N48" s="442">
        <f t="shared" ca="1" si="3"/>
        <v>1.1460980724588348</v>
      </c>
      <c r="O48" s="442"/>
      <c r="P48" s="442"/>
      <c r="Q48" s="442"/>
      <c r="R48" s="442"/>
      <c r="S48" s="442"/>
      <c r="U48" s="441"/>
      <c r="V48" s="442"/>
      <c r="W48" s="442"/>
      <c r="X48" s="442"/>
      <c r="Y48" s="442"/>
      <c r="Z48" s="442"/>
      <c r="AA48" s="442"/>
      <c r="AB48" s="442"/>
      <c r="AC48" s="442"/>
      <c r="AD48" s="442"/>
      <c r="AE48" s="442"/>
      <c r="AF48" s="442"/>
      <c r="AH48" s="431"/>
      <c r="AN48" s="430"/>
    </row>
    <row r="49" spans="1:40" x14ac:dyDescent="0.3">
      <c r="A49" s="442" t="str">
        <f>'0_Total'!DZ2</f>
        <v>Metro/urban train (network usage frequency down by 25%)</v>
      </c>
      <c r="B49" s="470"/>
      <c r="C49" s="358" t="str">
        <f>"N"&amp;MID(A49,21,LEN(A49)-21)</f>
        <v>Network usage frequency down by 25%</v>
      </c>
      <c r="D49" s="357">
        <f ca="1">HLOOKUP($A49,'0_Total'!$D$2:$ED$117,ROW('0_Total'!$A$99)-ROW('0_Total'!$A$2)+1,FALSE)+
HLOOKUP($A49,'0_Total'!$D$2:$ED$117,ROW('0_Total'!$A$100)-ROW('0_Total'!$A$2)+1,FALSE)</f>
        <v>2.0282607820493368</v>
      </c>
      <c r="E49" s="357">
        <f>HLOOKUP($A49,'0_Total'!$D$2:$ED$117,ROW('0_Total'!$A$101)-ROW('0_Total'!$A$2)+1,FALSE)</f>
        <v>12.073398680398997</v>
      </c>
      <c r="F49" s="357">
        <f>HLOOKUP($A49,'0_Total'!$D$2:$ED$117,ROW('0_Total'!$A$103)-ROW('0_Total'!$A$2)+1,FALSE)</f>
        <v>14.671205671496748</v>
      </c>
      <c r="G49" s="357">
        <f>HLOOKUP($A49,'0_Total'!$D$2:$ED$117,ROW('0_Total'!$A$102)-ROW('0_Total'!$A$2)+1,FALSE)</f>
        <v>0</v>
      </c>
      <c r="H49" s="448">
        <f t="shared" ca="1" si="0"/>
        <v>161.97203672281782</v>
      </c>
      <c r="I49" s="454">
        <f t="shared" ca="1" si="1"/>
        <v>25.105063716070894</v>
      </c>
      <c r="L49" s="454"/>
      <c r="M49" s="442">
        <f t="shared" ca="1" si="2"/>
        <v>28.772865133945082</v>
      </c>
      <c r="N49" s="442">
        <f t="shared" ca="1" si="3"/>
        <v>1.1460980724588348</v>
      </c>
      <c r="O49" s="442"/>
      <c r="P49" s="442"/>
      <c r="Q49" s="442"/>
      <c r="R49" s="442"/>
      <c r="S49" s="442"/>
      <c r="U49" s="441"/>
      <c r="V49" s="442"/>
      <c r="W49" s="442"/>
      <c r="X49" s="442"/>
      <c r="Y49" s="442"/>
      <c r="Z49" s="442"/>
      <c r="AA49" s="442"/>
      <c r="AB49" s="442"/>
      <c r="AC49" s="442"/>
      <c r="AD49" s="442"/>
      <c r="AE49" s="442"/>
      <c r="AF49" s="442"/>
      <c r="AH49" s="431"/>
      <c r="AN49" s="430"/>
    </row>
    <row r="50" spans="1:40" x14ac:dyDescent="0.3">
      <c r="A50" s="442" t="str">
        <f>'0_Total'!EB2</f>
        <v>Metro/urban train (ridership per train down by 50%)</v>
      </c>
      <c r="B50" s="470"/>
      <c r="C50" s="358" t="str">
        <f>"R"&amp;MID(A50,21,LEN(A50)-21)</f>
        <v>Ridership per train down by 50%</v>
      </c>
      <c r="D50" s="357">
        <f ca="1">HLOOKUP($A50,'0_Total'!$D$2:$ED$117,ROW('0_Total'!$A$99)-ROW('0_Total'!$A$2)+1,FALSE)+
HLOOKUP($A50,'0_Total'!$D$2:$ED$117,ROW('0_Total'!$A$100)-ROW('0_Total'!$A$2)+1,FALSE)</f>
        <v>2.7043477093991153</v>
      </c>
      <c r="E50" s="357">
        <f>HLOOKUP($A50,'0_Total'!$D$2:$ED$117,ROW('0_Total'!$A$101)-ROW('0_Total'!$A$2)+1,FALSE)</f>
        <v>16.097864907198662</v>
      </c>
      <c r="F50" s="357">
        <f>HLOOKUP($A50,'0_Total'!$D$2:$ED$117,ROW('0_Total'!$A$103)-ROW('0_Total'!$A$2)+1,FALSE)</f>
        <v>14.671205671496748</v>
      </c>
      <c r="G50" s="357">
        <f>HLOOKUP($A50,'0_Total'!$D$2:$ED$117,ROW('0_Total'!$A$102)-ROW('0_Total'!$A$2)+1,FALSE)</f>
        <v>0</v>
      </c>
      <c r="H50" s="448">
        <f t="shared" ca="1" si="0"/>
        <v>161.97203672281782</v>
      </c>
      <c r="I50" s="454">
        <f t="shared" ca="1" si="1"/>
        <v>25.105063716070894</v>
      </c>
      <c r="L50" s="454"/>
      <c r="M50" s="442">
        <f t="shared" ca="1" si="2"/>
        <v>33.473418288094528</v>
      </c>
      <c r="N50" s="442">
        <f t="shared" ca="1" si="3"/>
        <v>1.3333333333333335</v>
      </c>
      <c r="O50" s="442"/>
      <c r="P50" s="442"/>
      <c r="Q50" s="442"/>
      <c r="R50" s="442"/>
      <c r="S50" s="442"/>
      <c r="U50" s="441"/>
      <c r="V50" s="442"/>
      <c r="W50" s="442"/>
      <c r="X50" s="442"/>
      <c r="Y50" s="442"/>
      <c r="Z50" s="442"/>
      <c r="AA50" s="442"/>
      <c r="AB50" s="442"/>
      <c r="AC50" s="442"/>
      <c r="AD50" s="442"/>
      <c r="AE50" s="442"/>
      <c r="AF50" s="442"/>
      <c r="AH50" s="431"/>
      <c r="AN50" s="430"/>
    </row>
    <row r="51" spans="1:40" x14ac:dyDescent="0.3">
      <c r="B51" s="470"/>
      <c r="C51" s="469"/>
      <c r="D51" s="357"/>
      <c r="E51" s="357"/>
      <c r="F51" s="357"/>
      <c r="G51" s="357"/>
      <c r="H51" s="448"/>
      <c r="I51" s="454"/>
      <c r="L51" s="454"/>
      <c r="M51" s="442"/>
      <c r="N51" s="442"/>
      <c r="O51" s="442"/>
      <c r="P51" s="442"/>
      <c r="Q51" s="442"/>
      <c r="R51" s="442"/>
      <c r="S51" s="442"/>
      <c r="U51" s="441"/>
      <c r="V51" s="442"/>
      <c r="W51" s="442"/>
      <c r="X51" s="442"/>
      <c r="Y51" s="442"/>
      <c r="Z51" s="442"/>
      <c r="AA51" s="442"/>
      <c r="AB51" s="442"/>
      <c r="AC51" s="442"/>
      <c r="AD51" s="442"/>
      <c r="AE51" s="442"/>
      <c r="AF51" s="442"/>
      <c r="AH51" s="431"/>
      <c r="AN51" s="430"/>
    </row>
    <row r="52" spans="1:40" x14ac:dyDescent="0.3">
      <c r="B52" s="470"/>
      <c r="C52" s="466"/>
      <c r="D52" s="357"/>
      <c r="E52" s="357"/>
      <c r="F52" s="357"/>
      <c r="G52" s="357"/>
      <c r="H52" s="448"/>
      <c r="I52" s="454"/>
      <c r="L52" s="454"/>
      <c r="M52" s="442"/>
      <c r="N52" s="442"/>
      <c r="O52" s="442"/>
      <c r="P52" s="442"/>
      <c r="Q52" s="442"/>
      <c r="R52" s="442"/>
      <c r="S52" s="442"/>
      <c r="U52" s="441"/>
      <c r="V52" s="442"/>
      <c r="W52" s="442"/>
      <c r="X52" s="442"/>
      <c r="Y52" s="442"/>
      <c r="Z52" s="442"/>
      <c r="AA52" s="442"/>
      <c r="AB52" s="442"/>
      <c r="AC52" s="442"/>
      <c r="AD52" s="442"/>
      <c r="AE52" s="442"/>
      <c r="AF52" s="442"/>
      <c r="AH52" s="431"/>
      <c r="AN52" s="430"/>
    </row>
    <row r="53" spans="1:40" x14ac:dyDescent="0.3">
      <c r="B53" s="470"/>
      <c r="C53" s="469"/>
      <c r="D53" s="357"/>
      <c r="E53" s="357"/>
      <c r="F53" s="357"/>
      <c r="G53" s="357"/>
      <c r="H53" s="448"/>
      <c r="I53" s="454"/>
      <c r="L53" s="454"/>
      <c r="M53" s="442"/>
      <c r="N53" s="442"/>
      <c r="O53" s="442"/>
      <c r="P53" s="442"/>
      <c r="Q53" s="442"/>
      <c r="R53" s="442"/>
      <c r="S53" s="442"/>
      <c r="U53" s="441"/>
      <c r="V53" s="442"/>
      <c r="W53" s="442"/>
      <c r="X53" s="442"/>
      <c r="Y53" s="442"/>
      <c r="Z53" s="442"/>
      <c r="AA53" s="442"/>
      <c r="AB53" s="442"/>
      <c r="AC53" s="442"/>
      <c r="AD53" s="442"/>
      <c r="AE53" s="442"/>
      <c r="AF53" s="442"/>
      <c r="AH53" s="431"/>
      <c r="AN53" s="430"/>
    </row>
    <row r="54" spans="1:40" x14ac:dyDescent="0.3">
      <c r="B54" s="470"/>
      <c r="C54" s="469"/>
      <c r="D54" s="357"/>
      <c r="E54" s="357"/>
      <c r="F54" s="357"/>
      <c r="G54" s="357"/>
      <c r="H54" s="448"/>
      <c r="I54" s="454"/>
      <c r="L54" s="454"/>
      <c r="M54" s="442"/>
      <c r="N54" s="442"/>
      <c r="O54" s="442"/>
      <c r="P54" s="442"/>
      <c r="Q54" s="442"/>
      <c r="R54" s="442"/>
      <c r="S54" s="442"/>
      <c r="U54" s="441"/>
      <c r="V54" s="442"/>
      <c r="W54" s="442"/>
      <c r="X54" s="442"/>
      <c r="Y54" s="442"/>
      <c r="Z54" s="442"/>
      <c r="AA54" s="442"/>
      <c r="AB54" s="442"/>
      <c r="AC54" s="442"/>
      <c r="AD54" s="442"/>
      <c r="AE54" s="442"/>
      <c r="AF54" s="442"/>
      <c r="AH54" s="431"/>
      <c r="AN54" s="430"/>
    </row>
    <row r="55" spans="1:40" x14ac:dyDescent="0.3">
      <c r="B55" s="470"/>
      <c r="C55" s="467"/>
      <c r="D55" s="357"/>
      <c r="E55" s="357"/>
      <c r="F55" s="357"/>
      <c r="G55" s="357"/>
      <c r="H55" s="448"/>
      <c r="I55" s="454"/>
      <c r="L55" s="454"/>
      <c r="M55" s="442"/>
      <c r="N55" s="442"/>
      <c r="O55" s="442"/>
      <c r="P55" s="442"/>
      <c r="Q55" s="442"/>
      <c r="R55" s="442"/>
      <c r="S55" s="442"/>
      <c r="U55" s="441"/>
      <c r="V55" s="442"/>
      <c r="W55" s="442"/>
      <c r="X55" s="442"/>
      <c r="Y55" s="442"/>
      <c r="Z55" s="442"/>
      <c r="AA55" s="442"/>
      <c r="AB55" s="442"/>
      <c r="AC55" s="442"/>
      <c r="AD55" s="442"/>
      <c r="AE55" s="442"/>
      <c r="AF55" s="442"/>
      <c r="AH55" s="431"/>
      <c r="AN55" s="430"/>
    </row>
    <row r="56" spans="1:40" x14ac:dyDescent="0.3">
      <c r="B56" s="470"/>
      <c r="C56" s="468"/>
      <c r="D56" s="357"/>
      <c r="E56" s="357"/>
      <c r="F56" s="357"/>
      <c r="G56" s="357"/>
      <c r="H56" s="448"/>
      <c r="I56" s="454"/>
      <c r="L56" s="454"/>
      <c r="M56" s="442"/>
      <c r="N56" s="442"/>
      <c r="O56" s="442"/>
      <c r="P56" s="442"/>
      <c r="Q56" s="442"/>
      <c r="R56" s="442"/>
      <c r="S56" s="442"/>
      <c r="U56" s="441"/>
      <c r="V56" s="442"/>
      <c r="W56" s="442"/>
      <c r="X56" s="442"/>
      <c r="Y56" s="442"/>
      <c r="Z56" s="442"/>
      <c r="AA56" s="442"/>
      <c r="AB56" s="442"/>
      <c r="AC56" s="442"/>
      <c r="AD56" s="442"/>
      <c r="AE56" s="442"/>
      <c r="AF56" s="442"/>
      <c r="AH56" s="431"/>
      <c r="AN56" s="430"/>
    </row>
    <row r="57" spans="1:40" x14ac:dyDescent="0.3">
      <c r="C57" s="358"/>
      <c r="D57" s="357"/>
      <c r="E57" s="357"/>
      <c r="F57" s="357"/>
      <c r="G57" s="357"/>
      <c r="H57" s="448"/>
      <c r="L57" s="454"/>
      <c r="M57" s="442"/>
      <c r="N57" s="442"/>
      <c r="O57" s="442"/>
      <c r="P57" s="442"/>
      <c r="Q57" s="442"/>
      <c r="R57" s="442"/>
      <c r="S57" s="442"/>
      <c r="U57" s="441"/>
      <c r="V57" s="442"/>
      <c r="W57" s="442"/>
      <c r="X57" s="442"/>
      <c r="Y57" s="442"/>
      <c r="Z57" s="442"/>
      <c r="AA57" s="442"/>
      <c r="AB57" s="442"/>
      <c r="AC57" s="442"/>
      <c r="AD57" s="442"/>
      <c r="AE57" s="442"/>
      <c r="AF57" s="442"/>
      <c r="AH57" s="431"/>
      <c r="AN57" s="430"/>
    </row>
    <row r="58" spans="1:40" x14ac:dyDescent="0.3">
      <c r="A58" s="430" t="str">
        <f>'0_Total'!AO2</f>
        <v>Private car - ICE</v>
      </c>
      <c r="C58" s="358" t="str">
        <f>A58&amp;" (central estimate)"</f>
        <v>Private car - ICE (central estimate)</v>
      </c>
      <c r="D58" s="357"/>
      <c r="E58" s="357"/>
      <c r="F58" s="357"/>
      <c r="G58" s="357"/>
      <c r="H58" s="444">
        <f ca="1">HLOOKUP($A58,'0_Total'!$D$2:$ED$117,ROW('0_Total'!$A$98)-ROW('0_Total'!$A$2)+1,FALSE)</f>
        <v>161.97203672281782</v>
      </c>
      <c r="M58" s="442"/>
      <c r="N58" s="442"/>
      <c r="O58" s="442"/>
      <c r="P58" s="442"/>
      <c r="Q58" s="442"/>
      <c r="R58" s="442"/>
      <c r="S58" s="442"/>
      <c r="U58" s="441"/>
      <c r="V58" s="442"/>
      <c r="W58" s="442"/>
      <c r="X58" s="442"/>
      <c r="Y58" s="442"/>
      <c r="Z58" s="442"/>
      <c r="AA58" s="442"/>
      <c r="AB58" s="442"/>
      <c r="AC58" s="442"/>
      <c r="AD58" s="442"/>
      <c r="AE58" s="442"/>
      <c r="AF58" s="442"/>
      <c r="AH58" s="431"/>
      <c r="AN58" s="430"/>
    </row>
    <row r="59" spans="1:40" x14ac:dyDescent="0.3">
      <c r="A59" s="430" t="str">
        <f>'0_Total'!ED2</f>
        <v>Metro/urban train</v>
      </c>
      <c r="C59" s="358" t="str">
        <f>A59&amp;" (central estimate)"</f>
        <v>Metro/urban train (central estimate)</v>
      </c>
      <c r="D59" s="357"/>
      <c r="E59" s="357"/>
      <c r="F59" s="357"/>
      <c r="G59" s="448"/>
      <c r="H59" s="449"/>
      <c r="I59" s="475">
        <f ca="1">HLOOKUP($A59,'0_Total'!$D$2:$ED$117,ROW('0_Total'!$A$98)-ROW('0_Total'!$A$2)+1,FALSE)</f>
        <v>25.105063716070894</v>
      </c>
      <c r="J59" s="442"/>
      <c r="K59" s="442"/>
      <c r="L59" s="442"/>
      <c r="M59" s="442"/>
      <c r="N59" s="442"/>
      <c r="O59" s="442"/>
      <c r="P59" s="442"/>
      <c r="Q59" s="442"/>
      <c r="R59" s="442"/>
      <c r="S59" s="442"/>
      <c r="U59" s="441"/>
      <c r="V59" s="442"/>
      <c r="W59" s="442"/>
      <c r="X59" s="442"/>
      <c r="Y59" s="442"/>
      <c r="Z59" s="442"/>
      <c r="AA59" s="442"/>
      <c r="AB59" s="442"/>
      <c r="AC59" s="442"/>
      <c r="AD59" s="442"/>
      <c r="AE59" s="442"/>
      <c r="AF59" s="442"/>
      <c r="AH59" s="431"/>
      <c r="AN59" s="430"/>
    </row>
    <row r="60" spans="1:40" x14ac:dyDescent="0.3">
      <c r="B60" s="358"/>
      <c r="C60" s="357"/>
      <c r="D60" s="357"/>
      <c r="E60" s="357"/>
      <c r="F60" s="357"/>
      <c r="G60" s="448"/>
      <c r="H60" s="449"/>
      <c r="I60" s="454"/>
      <c r="J60" s="442"/>
      <c r="K60" s="442"/>
      <c r="L60" s="442"/>
      <c r="M60" s="442"/>
      <c r="N60" s="442"/>
      <c r="O60" s="442"/>
      <c r="P60" s="442"/>
      <c r="Q60" s="442"/>
      <c r="R60" s="442"/>
      <c r="S60" s="442"/>
      <c r="U60" s="441"/>
      <c r="V60" s="442"/>
      <c r="W60" s="442"/>
      <c r="X60" s="442"/>
      <c r="Y60" s="442"/>
      <c r="Z60" s="442"/>
      <c r="AA60" s="442"/>
      <c r="AB60" s="442"/>
      <c r="AC60" s="442"/>
      <c r="AD60" s="442"/>
      <c r="AE60" s="442"/>
      <c r="AF60" s="442"/>
      <c r="AH60" s="431"/>
      <c r="AN60" s="430"/>
    </row>
    <row r="61" spans="1:40" x14ac:dyDescent="0.3">
      <c r="B61" s="358"/>
      <c r="C61" s="357"/>
      <c r="D61" s="357"/>
      <c r="E61" s="357"/>
      <c r="F61" s="357"/>
      <c r="G61" s="448"/>
      <c r="H61" s="449"/>
      <c r="I61" s="454"/>
      <c r="J61" s="442"/>
      <c r="K61" s="442"/>
      <c r="L61" s="442"/>
      <c r="M61" s="442"/>
      <c r="N61" s="442"/>
      <c r="O61" s="442"/>
      <c r="P61" s="442"/>
      <c r="Q61" s="442"/>
      <c r="R61" s="442"/>
      <c r="S61" s="442"/>
      <c r="U61" s="441"/>
      <c r="V61" s="442"/>
      <c r="W61" s="442"/>
      <c r="X61" s="442"/>
      <c r="Y61" s="442"/>
      <c r="Z61" s="442"/>
      <c r="AA61" s="442"/>
      <c r="AB61" s="442"/>
      <c r="AC61" s="442"/>
      <c r="AD61" s="442"/>
      <c r="AE61" s="442"/>
      <c r="AF61" s="442"/>
      <c r="AH61" s="431"/>
      <c r="AN61" s="430"/>
    </row>
    <row r="62" spans="1:40" x14ac:dyDescent="0.3">
      <c r="B62" s="358"/>
      <c r="C62" s="357"/>
      <c r="D62" s="357"/>
      <c r="E62" s="357"/>
      <c r="F62" s="357"/>
      <c r="G62" s="357"/>
      <c r="H62" s="445"/>
      <c r="I62" s="442"/>
      <c r="J62" s="442"/>
      <c r="K62" s="442"/>
      <c r="L62" s="442"/>
      <c r="M62" s="442"/>
      <c r="N62" s="442"/>
      <c r="O62" s="442"/>
      <c r="P62" s="442"/>
      <c r="Q62" s="442"/>
      <c r="R62" s="442"/>
      <c r="S62" s="442"/>
      <c r="U62" s="441"/>
      <c r="V62" s="442"/>
      <c r="W62" s="442"/>
      <c r="X62" s="442"/>
      <c r="Y62" s="442"/>
      <c r="Z62" s="442"/>
      <c r="AA62" s="442"/>
      <c r="AB62" s="442"/>
      <c r="AC62" s="442"/>
      <c r="AD62" s="442"/>
      <c r="AE62" s="442"/>
      <c r="AF62" s="442"/>
      <c r="AH62" s="431"/>
      <c r="AN62" s="430"/>
    </row>
    <row r="63" spans="1:40" x14ac:dyDescent="0.3">
      <c r="B63" s="358"/>
      <c r="C63" s="357"/>
      <c r="D63" s="357"/>
      <c r="E63" s="357"/>
      <c r="F63" s="357"/>
      <c r="G63" s="357"/>
      <c r="H63" s="445"/>
      <c r="K63" s="441"/>
      <c r="L63" s="442"/>
      <c r="M63" s="442"/>
      <c r="N63" s="442"/>
      <c r="O63" s="442"/>
      <c r="P63" s="442"/>
      <c r="Q63" s="442"/>
      <c r="R63" s="442"/>
      <c r="S63" s="442"/>
      <c r="T63" s="442"/>
      <c r="U63" s="442"/>
      <c r="V63" s="442"/>
      <c r="X63" s="441"/>
      <c r="Y63" s="442"/>
      <c r="Z63" s="442"/>
      <c r="AA63" s="442"/>
      <c r="AB63" s="442"/>
      <c r="AC63" s="442"/>
      <c r="AD63" s="442"/>
      <c r="AE63" s="442"/>
      <c r="AF63" s="442"/>
      <c r="AG63" s="442"/>
      <c r="AH63" s="442"/>
      <c r="AI63" s="442"/>
      <c r="AK63" s="431"/>
      <c r="AN63" s="430"/>
    </row>
    <row r="64" spans="1:40" x14ac:dyDescent="0.3">
      <c r="B64" s="358"/>
      <c r="C64" s="357"/>
      <c r="D64" s="357"/>
      <c r="E64" s="357"/>
      <c r="F64" s="357"/>
      <c r="G64" s="357"/>
      <c r="H64" s="357"/>
      <c r="I64" s="357"/>
      <c r="J64" s="357"/>
      <c r="K64" s="445"/>
      <c r="N64" s="441"/>
      <c r="O64" s="442"/>
      <c r="P64" s="442"/>
      <c r="Q64" s="442"/>
      <c r="R64" s="442"/>
      <c r="S64" s="442"/>
      <c r="T64" s="442"/>
      <c r="U64" s="442"/>
      <c r="V64" s="442"/>
      <c r="W64" s="442"/>
      <c r="X64" s="442"/>
      <c r="Y64" s="442"/>
      <c r="AA64" s="441"/>
      <c r="AB64" s="442"/>
      <c r="AC64" s="442"/>
      <c r="AD64" s="442"/>
      <c r="AE64" s="442"/>
      <c r="AF64" s="442"/>
      <c r="AG64" s="442"/>
      <c r="AH64" s="442"/>
      <c r="AI64" s="442"/>
      <c r="AJ64" s="442"/>
      <c r="AK64" s="442"/>
      <c r="AL64" s="442"/>
    </row>
    <row r="65" spans="2:38" x14ac:dyDescent="0.3">
      <c r="B65" s="349"/>
      <c r="C65" s="349"/>
      <c r="D65" s="349"/>
      <c r="E65" s="349"/>
      <c r="F65" s="349"/>
      <c r="G65" s="349"/>
      <c r="H65" s="349"/>
      <c r="I65" s="349"/>
      <c r="J65" s="349"/>
      <c r="N65" s="441"/>
      <c r="O65" s="442"/>
      <c r="P65" s="442"/>
      <c r="Q65" s="442"/>
      <c r="R65" s="442"/>
      <c r="S65" s="442"/>
      <c r="T65" s="442"/>
      <c r="U65" s="442"/>
      <c r="V65" s="442"/>
      <c r="W65" s="442"/>
      <c r="X65" s="442"/>
      <c r="Y65" s="442"/>
      <c r="AA65" s="441"/>
      <c r="AB65" s="442"/>
      <c r="AC65" s="442"/>
      <c r="AD65" s="442"/>
      <c r="AE65" s="442"/>
      <c r="AF65" s="442"/>
      <c r="AG65" s="442"/>
      <c r="AH65" s="442"/>
      <c r="AI65" s="442"/>
      <c r="AJ65" s="442"/>
      <c r="AK65" s="442"/>
      <c r="AL65" s="442"/>
    </row>
    <row r="66" spans="2:38" x14ac:dyDescent="0.3">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38" x14ac:dyDescent="0.3">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38"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38" x14ac:dyDescent="0.3">
      <c r="O69" s="431"/>
      <c r="P69" s="431"/>
    </row>
    <row r="70" spans="2:38" x14ac:dyDescent="0.3">
      <c r="B70" s="446"/>
      <c r="C70" s="435"/>
      <c r="D70" s="435"/>
      <c r="E70" s="435"/>
      <c r="F70" s="435"/>
      <c r="G70" s="435"/>
      <c r="H70" s="435"/>
      <c r="I70" s="435"/>
      <c r="J70" s="435"/>
      <c r="K70" s="435"/>
      <c r="O70" s="431"/>
      <c r="P70" s="431"/>
    </row>
    <row r="71" spans="2:38" x14ac:dyDescent="0.3">
      <c r="B71" s="435"/>
      <c r="C71" s="447"/>
      <c r="D71" s="447"/>
      <c r="E71" s="447"/>
      <c r="F71" s="447"/>
      <c r="G71" s="447"/>
      <c r="H71" s="447"/>
      <c r="I71" s="447"/>
      <c r="J71" s="447"/>
      <c r="K71" s="447"/>
      <c r="O71" s="431"/>
      <c r="P71" s="431"/>
    </row>
    <row r="72" spans="2:38" x14ac:dyDescent="0.3">
      <c r="B72" s="435"/>
      <c r="C72" s="447"/>
      <c r="D72" s="447"/>
      <c r="E72" s="447"/>
      <c r="F72" s="447"/>
      <c r="G72" s="447"/>
      <c r="H72" s="447"/>
      <c r="I72" s="447"/>
      <c r="J72" s="447"/>
      <c r="K72" s="447"/>
      <c r="O72" s="431"/>
      <c r="P72" s="431"/>
    </row>
    <row r="73" spans="2:38" x14ac:dyDescent="0.3">
      <c r="B73" s="435"/>
      <c r="C73" s="447"/>
      <c r="D73" s="447"/>
      <c r="E73" s="447"/>
      <c r="F73" s="447"/>
      <c r="G73" s="447"/>
      <c r="H73" s="447"/>
      <c r="I73" s="447"/>
      <c r="J73" s="447"/>
      <c r="K73" s="447"/>
      <c r="O73" s="431"/>
      <c r="P73" s="431"/>
    </row>
    <row r="74" spans="2:38" x14ac:dyDescent="0.3">
      <c r="B74" s="435"/>
      <c r="C74" s="447"/>
      <c r="D74" s="447"/>
      <c r="E74" s="447"/>
      <c r="F74" s="447"/>
      <c r="G74" s="447"/>
      <c r="H74" s="447"/>
      <c r="I74" s="447"/>
      <c r="J74" s="447"/>
      <c r="K74" s="447"/>
      <c r="O74" s="431"/>
      <c r="P74" s="431"/>
    </row>
    <row r="75" spans="2:38" x14ac:dyDescent="0.3">
      <c r="O75" s="431"/>
      <c r="P75" s="431"/>
    </row>
    <row r="76" spans="2:38" x14ac:dyDescent="0.3">
      <c r="O76" s="431"/>
      <c r="P76" s="431"/>
    </row>
    <row r="77" spans="2:38" x14ac:dyDescent="0.3">
      <c r="O77" s="431"/>
      <c r="P77" s="431"/>
    </row>
    <row r="78" spans="2:38" x14ac:dyDescent="0.3">
      <c r="O78" s="431"/>
      <c r="P78" s="431"/>
    </row>
    <row r="79" spans="2:38" x14ac:dyDescent="0.3">
      <c r="O79" s="431"/>
      <c r="P79" s="431"/>
    </row>
    <row r="80" spans="2:38"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sheetData>
  <mergeCells count="1">
    <mergeCell ref="B19:H33"/>
  </mergeCells>
  <pageMargins left="0" right="0" top="0" bottom="0" header="0" footer="0"/>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7BC143"/>
  </sheetPr>
  <dimension ref="B1:CA112"/>
  <sheetViews>
    <sheetView topLeftCell="C1" zoomScale="80" zoomScaleNormal="80" zoomScalePageLayoutView="200" workbookViewId="0">
      <selection activeCell="E70" sqref="E70"/>
    </sheetView>
  </sheetViews>
  <sheetFormatPr defaultColWidth="8.88671875" defaultRowHeight="14.4" x14ac:dyDescent="0.3"/>
  <cols>
    <col min="1" max="1" width="3.44140625" style="349" customWidth="1"/>
    <col min="2" max="2" width="27" style="349" customWidth="1"/>
    <col min="3" max="13" width="8.88671875" style="349" customWidth="1"/>
    <col min="14" max="14" width="8.88671875" style="350" customWidth="1"/>
    <col min="15"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R3" s="417"/>
    </row>
    <row r="5" spans="2:41" x14ac:dyDescent="0.3">
      <c r="B5" s="350" t="s">
        <v>1084</v>
      </c>
      <c r="C5" s="358" t="s">
        <v>1083</v>
      </c>
    </row>
    <row r="6" spans="2:41" x14ac:dyDescent="0.3">
      <c r="B6" s="350" t="s">
        <v>1082</v>
      </c>
      <c r="C6" s="358" t="s">
        <v>1081</v>
      </c>
    </row>
    <row r="7" spans="2:41" x14ac:dyDescent="0.3">
      <c r="B7" s="350" t="s">
        <v>1080</v>
      </c>
      <c r="C7" s="358" t="s">
        <v>1079</v>
      </c>
    </row>
    <row r="8" spans="2:41" x14ac:dyDescent="0.3">
      <c r="B8" s="350" t="s">
        <v>1078</v>
      </c>
      <c r="C8" s="358" t="s">
        <v>1077</v>
      </c>
    </row>
    <row r="9" spans="2:41" ht="16.2" x14ac:dyDescent="0.3">
      <c r="B9" s="350"/>
      <c r="J9" s="366" t="s">
        <v>1076</v>
      </c>
    </row>
    <row r="10" spans="2:41" x14ac:dyDescent="0.3">
      <c r="B10" s="350" t="s">
        <v>1075</v>
      </c>
    </row>
    <row r="11" spans="2:41" x14ac:dyDescent="0.3">
      <c r="B11" s="350" t="s">
        <v>1074</v>
      </c>
      <c r="C11" s="358" t="s">
        <v>1073</v>
      </c>
    </row>
    <row r="12" spans="2:41" x14ac:dyDescent="0.3">
      <c r="B12" s="350" t="s">
        <v>1072</v>
      </c>
      <c r="C12" s="358" t="str">
        <f>'0_Total'!A98&amp;" "&amp;'0_Total'!B98</f>
        <v>GHG emissions per pkm [g CO₂/pkm]</v>
      </c>
    </row>
    <row r="13" spans="2:41" x14ac:dyDescent="0.3">
      <c r="B13" s="350"/>
      <c r="C13" s="352"/>
    </row>
    <row r="14" spans="2:41" x14ac:dyDescent="0.3">
      <c r="B14" s="350" t="s">
        <v>1071</v>
      </c>
      <c r="C14" s="352"/>
    </row>
    <row r="15" spans="2:41" x14ac:dyDescent="0.3">
      <c r="B15" s="350" t="s">
        <v>1070</v>
      </c>
      <c r="C15" s="365" t="s">
        <v>1069</v>
      </c>
    </row>
    <row r="16" spans="2:41" x14ac:dyDescent="0.3">
      <c r="B16" s="350" t="s">
        <v>1068</v>
      </c>
      <c r="C16" s="365" t="s">
        <v>1067</v>
      </c>
    </row>
    <row r="17" spans="2:39" x14ac:dyDescent="0.3">
      <c r="B17" s="350"/>
      <c r="C17" s="352"/>
    </row>
    <row r="18" spans="2:39" x14ac:dyDescent="0.3">
      <c r="B18" s="350" t="s">
        <v>1066</v>
      </c>
      <c r="W18" s="361"/>
      <c r="X18" s="361"/>
    </row>
    <row r="19" spans="2:39" x14ac:dyDescent="0.3">
      <c r="B19" s="624" t="s">
        <v>1065</v>
      </c>
      <c r="C19" s="625"/>
      <c r="D19" s="625"/>
      <c r="E19" s="625"/>
      <c r="F19" s="625"/>
      <c r="G19" s="625"/>
      <c r="H19" s="626"/>
      <c r="W19" s="361"/>
      <c r="X19" s="361"/>
    </row>
    <row r="20" spans="2:39" x14ac:dyDescent="0.3">
      <c r="B20" s="627"/>
      <c r="C20" s="628"/>
      <c r="D20" s="628"/>
      <c r="E20" s="628"/>
      <c r="F20" s="628"/>
      <c r="G20" s="628"/>
      <c r="H20" s="629"/>
      <c r="W20" s="361"/>
      <c r="X20" s="361"/>
    </row>
    <row r="21" spans="2:39" x14ac:dyDescent="0.3">
      <c r="B21" s="627"/>
      <c r="C21" s="628"/>
      <c r="D21" s="628"/>
      <c r="E21" s="628"/>
      <c r="F21" s="628"/>
      <c r="G21" s="628"/>
      <c r="H21" s="629"/>
      <c r="W21" s="361"/>
      <c r="X21" s="361"/>
    </row>
    <row r="22" spans="2:39" x14ac:dyDescent="0.3">
      <c r="B22" s="627"/>
      <c r="C22" s="628"/>
      <c r="D22" s="628"/>
      <c r="E22" s="628"/>
      <c r="F22" s="628"/>
      <c r="G22" s="628"/>
      <c r="H22" s="629"/>
      <c r="W22" s="361"/>
      <c r="X22" s="361"/>
      <c r="Y22" s="350"/>
      <c r="Z22" s="350"/>
    </row>
    <row r="23" spans="2:39" x14ac:dyDescent="0.3">
      <c r="B23" s="627"/>
      <c r="C23" s="628"/>
      <c r="D23" s="628"/>
      <c r="E23" s="628"/>
      <c r="F23" s="628"/>
      <c r="G23" s="628"/>
      <c r="H23" s="629"/>
      <c r="W23" s="361"/>
      <c r="X23" s="361"/>
      <c r="Y23" s="350"/>
      <c r="Z23" s="350"/>
    </row>
    <row r="24" spans="2:39" ht="15.6" x14ac:dyDescent="0.3">
      <c r="B24" s="627"/>
      <c r="C24" s="628"/>
      <c r="D24" s="628"/>
      <c r="E24" s="628"/>
      <c r="F24" s="628"/>
      <c r="G24" s="628"/>
      <c r="H24" s="629"/>
      <c r="N24" s="364"/>
      <c r="W24" s="361"/>
      <c r="X24" s="361"/>
      <c r="AB24" s="364"/>
    </row>
    <row r="25" spans="2:39" s="350" customFormat="1" x14ac:dyDescent="0.3">
      <c r="B25" s="627"/>
      <c r="C25" s="628"/>
      <c r="D25" s="628"/>
      <c r="E25" s="628"/>
      <c r="F25" s="628"/>
      <c r="G25" s="628"/>
      <c r="H25" s="629"/>
      <c r="N25" s="363"/>
      <c r="W25" s="361"/>
      <c r="X25" s="361"/>
      <c r="AB25" s="362"/>
    </row>
    <row r="26" spans="2:39" x14ac:dyDescent="0.3">
      <c r="B26" s="627"/>
      <c r="C26" s="628"/>
      <c r="D26" s="628"/>
      <c r="E26" s="628"/>
      <c r="F26" s="628"/>
      <c r="G26" s="628"/>
      <c r="H26" s="629"/>
      <c r="N26" s="355"/>
      <c r="W26" s="361"/>
      <c r="X26" s="361"/>
      <c r="Y26" s="354"/>
      <c r="Z26" s="354"/>
      <c r="AB26" s="355"/>
      <c r="AC26" s="354"/>
      <c r="AD26" s="354"/>
      <c r="AE26" s="354"/>
      <c r="AF26" s="354"/>
      <c r="AG26" s="354"/>
      <c r="AH26" s="354"/>
      <c r="AI26" s="354"/>
      <c r="AJ26" s="354"/>
      <c r="AK26" s="354"/>
      <c r="AL26" s="354"/>
      <c r="AM26" s="354"/>
    </row>
    <row r="27" spans="2:39" x14ac:dyDescent="0.3">
      <c r="B27" s="627"/>
      <c r="C27" s="628"/>
      <c r="D27" s="628"/>
      <c r="E27" s="628"/>
      <c r="F27" s="628"/>
      <c r="G27" s="628"/>
      <c r="H27" s="629"/>
      <c r="N27" s="355"/>
      <c r="W27" s="361"/>
      <c r="X27" s="361"/>
      <c r="Y27" s="354"/>
      <c r="Z27" s="354"/>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N28" s="355"/>
      <c r="W28" s="361"/>
      <c r="X28" s="361"/>
      <c r="Y28" s="354"/>
      <c r="Z28" s="354"/>
      <c r="AB28" s="355"/>
      <c r="AC28" s="354"/>
      <c r="AD28" s="354"/>
      <c r="AE28" s="354"/>
      <c r="AF28" s="354"/>
      <c r="AG28" s="354"/>
      <c r="AH28" s="354"/>
      <c r="AI28" s="354"/>
      <c r="AJ28" s="354"/>
      <c r="AK28" s="354"/>
      <c r="AL28" s="354"/>
      <c r="AM28" s="354"/>
    </row>
    <row r="29" spans="2:39" x14ac:dyDescent="0.3">
      <c r="B29" s="627"/>
      <c r="C29" s="628"/>
      <c r="D29" s="628"/>
      <c r="E29" s="628"/>
      <c r="F29" s="628"/>
      <c r="G29" s="628"/>
      <c r="H29" s="629"/>
      <c r="N29" s="355"/>
      <c r="W29" s="361"/>
      <c r="X29" s="361"/>
      <c r="Y29" s="354"/>
      <c r="Z29" s="354"/>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N30" s="355"/>
      <c r="W30" s="361"/>
      <c r="X30" s="361"/>
      <c r="Y30" s="354"/>
      <c r="Z30" s="354"/>
      <c r="AB30" s="355"/>
      <c r="AC30" s="354"/>
      <c r="AD30" s="354"/>
      <c r="AE30" s="354"/>
      <c r="AF30" s="354"/>
      <c r="AG30" s="354"/>
      <c r="AH30" s="354"/>
      <c r="AI30" s="354"/>
      <c r="AJ30" s="354"/>
      <c r="AK30" s="354"/>
      <c r="AL30" s="354"/>
      <c r="AM30" s="354"/>
    </row>
    <row r="31" spans="2:39" x14ac:dyDescent="0.3">
      <c r="B31" s="627"/>
      <c r="C31" s="628"/>
      <c r="D31" s="628"/>
      <c r="E31" s="628"/>
      <c r="F31" s="628"/>
      <c r="G31" s="628"/>
      <c r="H31" s="629"/>
      <c r="N31" s="355"/>
      <c r="W31" s="361"/>
      <c r="X31" s="361"/>
      <c r="Y31" s="354"/>
      <c r="Z31" s="354"/>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N32" s="355"/>
      <c r="W32" s="361"/>
      <c r="X32" s="361"/>
      <c r="Y32" s="354"/>
      <c r="Z32" s="354"/>
      <c r="AB32" s="355"/>
      <c r="AC32" s="354"/>
      <c r="AD32" s="354"/>
      <c r="AE32" s="354"/>
      <c r="AF32" s="354"/>
      <c r="AG32" s="354"/>
      <c r="AH32" s="354"/>
      <c r="AI32" s="354"/>
      <c r="AJ32" s="354"/>
      <c r="AK32" s="354"/>
      <c r="AL32" s="354"/>
      <c r="AM32" s="354"/>
    </row>
    <row r="33" spans="2:79" x14ac:dyDescent="0.3">
      <c r="B33" s="630"/>
      <c r="C33" s="631"/>
      <c r="D33" s="631"/>
      <c r="E33" s="631"/>
      <c r="F33" s="631"/>
      <c r="G33" s="631"/>
      <c r="H33" s="632"/>
      <c r="N33" s="355"/>
      <c r="O33" s="361"/>
      <c r="P33" s="361"/>
      <c r="Q33" s="361"/>
      <c r="R33" s="361"/>
      <c r="S33" s="361"/>
      <c r="T33" s="361"/>
      <c r="U33" s="361"/>
      <c r="V33" s="361"/>
      <c r="W33" s="361"/>
      <c r="X33" s="361"/>
      <c r="Y33" s="354"/>
      <c r="Z33" s="354"/>
      <c r="AB33" s="355"/>
      <c r="AC33" s="354"/>
      <c r="AD33" s="354"/>
      <c r="AE33" s="354"/>
      <c r="AF33" s="354"/>
      <c r="AG33" s="354"/>
      <c r="AH33" s="354"/>
      <c r="AI33" s="354"/>
      <c r="AJ33" s="354"/>
      <c r="AK33" s="354"/>
      <c r="AL33" s="354"/>
      <c r="AM33" s="354"/>
    </row>
    <row r="34" spans="2:79" x14ac:dyDescent="0.3">
      <c r="N34" s="355"/>
      <c r="O34" s="354"/>
      <c r="P34" s="354"/>
      <c r="Q34" s="354"/>
      <c r="R34" s="354"/>
      <c r="S34" s="354"/>
      <c r="T34" s="354"/>
      <c r="U34" s="354"/>
      <c r="V34" s="354"/>
      <c r="W34" s="354"/>
      <c r="X34" s="354"/>
      <c r="Y34" s="354"/>
      <c r="Z34" s="354"/>
      <c r="AB34" s="355"/>
      <c r="AC34" s="354"/>
      <c r="AD34" s="354"/>
      <c r="AE34" s="354"/>
      <c r="AF34" s="354"/>
      <c r="AG34" s="354"/>
      <c r="AH34" s="354"/>
      <c r="AI34" s="354"/>
      <c r="AJ34" s="354"/>
      <c r="AK34" s="354"/>
      <c r="AL34" s="354"/>
      <c r="AM34" s="354"/>
    </row>
    <row r="35" spans="2:79" x14ac:dyDescent="0.3">
      <c r="N35" s="355"/>
      <c r="O35" s="354"/>
      <c r="P35" s="354"/>
      <c r="Q35" s="354"/>
      <c r="R35" s="354"/>
      <c r="S35" s="354"/>
      <c r="T35" s="354"/>
      <c r="U35" s="354"/>
      <c r="V35" s="354"/>
      <c r="W35" s="354"/>
      <c r="X35" s="354"/>
      <c r="Y35" s="354"/>
      <c r="Z35" s="354"/>
      <c r="AB35" s="355"/>
      <c r="AC35" s="354"/>
      <c r="AD35" s="354"/>
      <c r="AE35" s="354"/>
      <c r="AF35" s="354"/>
      <c r="AG35" s="354"/>
      <c r="AH35" s="354"/>
      <c r="AI35" s="354"/>
      <c r="AJ35" s="354"/>
      <c r="AK35" s="354"/>
      <c r="AL35" s="354"/>
      <c r="AM35" s="354"/>
    </row>
    <row r="36" spans="2:79" x14ac:dyDescent="0.3">
      <c r="N36" s="355"/>
      <c r="O36" s="354"/>
      <c r="P36" s="354"/>
      <c r="Q36" s="354"/>
      <c r="R36" s="354"/>
      <c r="S36" s="354"/>
      <c r="T36" s="354"/>
      <c r="U36" s="354"/>
      <c r="V36" s="354"/>
      <c r="W36" s="354"/>
      <c r="X36" s="354"/>
      <c r="Y36" s="354"/>
      <c r="Z36" s="354"/>
      <c r="AB36" s="355"/>
      <c r="AC36" s="354"/>
      <c r="AD36" s="354"/>
      <c r="AE36" s="354"/>
      <c r="AF36" s="354"/>
      <c r="AG36" s="354"/>
      <c r="AH36" s="354"/>
      <c r="AI36" s="354"/>
      <c r="AJ36" s="354"/>
      <c r="AK36" s="354"/>
      <c r="AL36" s="354"/>
      <c r="AM36" s="354"/>
    </row>
    <row r="37" spans="2:79" x14ac:dyDescent="0.3">
      <c r="N37" s="355"/>
      <c r="O37" s="354"/>
      <c r="P37" s="354"/>
      <c r="Q37" s="354"/>
      <c r="R37" s="354"/>
      <c r="S37" s="354"/>
      <c r="T37" s="354"/>
      <c r="U37" s="354"/>
      <c r="V37" s="354"/>
      <c r="W37" s="354"/>
      <c r="X37" s="354"/>
      <c r="Y37" s="354"/>
      <c r="Z37" s="354"/>
      <c r="AB37" s="355"/>
      <c r="AC37" s="354"/>
      <c r="AD37" s="354"/>
      <c r="AE37" s="354"/>
      <c r="AF37" s="354"/>
      <c r="AG37" s="354"/>
      <c r="AH37" s="354"/>
      <c r="AI37" s="354"/>
      <c r="AJ37" s="354"/>
      <c r="AK37" s="354"/>
      <c r="AL37" s="354"/>
      <c r="AM37" s="354"/>
    </row>
    <row r="38" spans="2:79" x14ac:dyDescent="0.3">
      <c r="N38" s="355"/>
      <c r="O38" s="354"/>
      <c r="P38" s="354"/>
      <c r="Q38" s="354"/>
      <c r="R38" s="354"/>
      <c r="S38" s="354"/>
      <c r="T38" s="354"/>
      <c r="U38" s="354"/>
      <c r="V38" s="354"/>
      <c r="W38" s="354"/>
      <c r="X38" s="354"/>
      <c r="Y38" s="354"/>
      <c r="Z38" s="354"/>
      <c r="AB38" s="355"/>
      <c r="AC38" s="354"/>
      <c r="AD38" s="354"/>
      <c r="AE38" s="354"/>
      <c r="AF38" s="354"/>
      <c r="AG38" s="354"/>
      <c r="AH38" s="354"/>
      <c r="AI38" s="354"/>
      <c r="AJ38" s="354"/>
      <c r="AK38" s="354"/>
      <c r="AL38" s="354"/>
      <c r="AM38" s="354"/>
    </row>
    <row r="39" spans="2:79"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79"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79"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79"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79"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79" s="525" customFormat="1" ht="129.6" x14ac:dyDescent="0.25">
      <c r="B44" s="595"/>
      <c r="C44" s="595" t="str">
        <f>$AC70&amp;" ("&amp;C56*100&amp;"%) + "&amp;$S70&amp;" ("&amp;(1-C56)*100&amp;"%)"</f>
        <v>Metro/urban train (50%) + Ridesourcing - car - ICE (50%)</v>
      </c>
      <c r="D44" s="595" t="str">
        <f>$AC70&amp;" ("&amp;D56*100&amp;"%) + "&amp;$S70&amp;" ("&amp;(1-D56)*100&amp;"%)"</f>
        <v>Metro/urban train (80%) + Ridesourcing - car - ICE (20%)</v>
      </c>
      <c r="E44" s="595" t="str">
        <f>AC70&amp;" ("&amp;E56*100&amp;"%) + "&amp;M70&amp;" ("&amp;(1-E56)*100&amp;"%)"</f>
        <v>Metro/urban train (80%) + Shared moped - BEV (20%)</v>
      </c>
      <c r="F44" s="595" t="str">
        <f>AC70&amp;" ("&amp;F56*100&amp;"%) + "&amp;I70&amp;" ("&amp;(1-F56)*100&amp;"%)"</f>
        <v>Metro/urban train (80%) + Shared e-bike (20%)</v>
      </c>
      <c r="G44" s="595" t="str">
        <f>AC70&amp;" ("&amp;G56*100&amp;"%) + "&amp;G70&amp;" ("&amp;(1-G56)*100&amp;"%)"</f>
        <v>Metro/urban train (80%) + Shared bike (20%)</v>
      </c>
      <c r="H44" s="595" t="str">
        <f>$AC70&amp;" ("&amp;H56*100&amp;"%) + "&amp;D70&amp;" ("&amp;(1-H56)*100&amp;"%)"</f>
        <v>Metro/urban train (80%) + Shared e-scooter (new generation) (20%)</v>
      </c>
      <c r="I44" s="595" t="str">
        <f>$AC70&amp;" ("&amp;I56*100&amp;"%) + "&amp;E70&amp;" ("&amp;(1-I56)*100&amp;"%)"</f>
        <v>Metro/urban train (80%) + Shared e-scooter (first generation) (20%)</v>
      </c>
      <c r="J44" s="595" t="str">
        <f>$Y70&amp;" ("&amp;J56*100&amp;"%) + "&amp;$S70&amp;" ("&amp;(1-J56)*100&amp;"%)"</f>
        <v>Bus - ICE (60%) + Ridesourcing - car - ICE (40%)</v>
      </c>
      <c r="K44" s="595" t="str">
        <f>$Y70&amp;" ("&amp;K56*100&amp;"%) + "&amp;$S70&amp;" ("&amp;(1-K56)*100&amp;"%)"</f>
        <v>Bus - ICE (80%) + Ridesourcing - car - ICE (20%)</v>
      </c>
      <c r="L44" s="595" t="str">
        <f>Y70&amp;" ("&amp;L56*100&amp;"%) + "&amp;M70&amp;" ("&amp;(1-L56)*100&amp;"%)"</f>
        <v>Bus - ICE (80%) + Shared moped - BEV (20%)</v>
      </c>
      <c r="M44" s="595" t="str">
        <f>Y70&amp;" ("&amp;M56*100&amp;"%) + "&amp;I70&amp;" ("&amp;(1-M56)*100&amp;"%)"</f>
        <v>Bus - ICE (80%) + Shared e-bike (20%)</v>
      </c>
      <c r="N44" s="595" t="str">
        <f>Y70&amp;" ("&amp;N56*100&amp;"%) + "&amp;G70&amp;" ("&amp;(1-N56)*100&amp;"%)"</f>
        <v>Bus - ICE (80%) + Shared bike (20%)</v>
      </c>
      <c r="O44" s="595" t="str">
        <f>$Y70&amp;" ("&amp;O56*100&amp;"%) + "&amp;D70&amp;" ("&amp;(1-O56)*100&amp;"% of all trip distance)"</f>
        <v>Bus - ICE (80%) + Shared e-scooter (new generation) (20% of all trip distance)</v>
      </c>
      <c r="P44" s="595" t="str">
        <f>$Y70&amp;" ("&amp;P56*100&amp;"%) + "&amp;E70&amp;" ("&amp;(1-P56)*100&amp;"% of all trip distance)"</f>
        <v>Bus - ICE (80%) + Shared e-scooter (first generation) (20% of all trip distance)</v>
      </c>
      <c r="Q44" s="595" t="str">
        <f>AC70</f>
        <v>Metro/urban train</v>
      </c>
      <c r="R44" s="595" t="str">
        <f>Y70</f>
        <v>Bus - ICE</v>
      </c>
      <c r="S44" s="595" t="str">
        <f>N70</f>
        <v>Private car - ICE</v>
      </c>
      <c r="T44" s="595"/>
      <c r="U44" s="595"/>
      <c r="V44" s="595"/>
      <c r="W44" s="595"/>
      <c r="X44" s="595"/>
      <c r="Y44" s="595"/>
      <c r="Z44" s="595"/>
      <c r="AA44" s="595"/>
      <c r="AB44" s="595"/>
      <c r="AC44" s="595"/>
      <c r="AD44" s="595"/>
      <c r="AE44" s="595"/>
      <c r="AJ44" s="595"/>
      <c r="AK44" s="595"/>
      <c r="AL44" s="595"/>
      <c r="AM44" s="595"/>
      <c r="AN44" s="595"/>
      <c r="AO44" s="595"/>
      <c r="AP44" s="595"/>
      <c r="BI44" s="595"/>
      <c r="BJ44" s="595"/>
      <c r="BK44" s="595"/>
      <c r="BL44" s="595"/>
      <c r="BM44" s="595"/>
      <c r="BN44" s="595"/>
      <c r="BO44" s="595"/>
      <c r="BP44" s="595"/>
      <c r="BQ44" s="595"/>
      <c r="BR44" s="595"/>
      <c r="BV44" s="595"/>
      <c r="BX44" s="595"/>
      <c r="BY44" s="595"/>
      <c r="BZ44" s="595"/>
      <c r="CA44" s="595"/>
    </row>
    <row r="45" spans="2:79" x14ac:dyDescent="0.3">
      <c r="B45" s="358" t="s">
        <v>1199</v>
      </c>
      <c r="C45" s="501">
        <f t="shared" ref="C45:I45" ca="1" si="0">$Q45*C56</f>
        <v>12.552531858035447</v>
      </c>
      <c r="D45" s="501">
        <f t="shared" ca="1" si="0"/>
        <v>20.084050972856716</v>
      </c>
      <c r="E45" s="501">
        <f t="shared" ca="1" si="0"/>
        <v>20.084050972856716</v>
      </c>
      <c r="F45" s="501">
        <f t="shared" ca="1" si="0"/>
        <v>20.084050972856716</v>
      </c>
      <c r="G45" s="501">
        <f t="shared" ca="1" si="0"/>
        <v>20.084050972856716</v>
      </c>
      <c r="H45" s="501">
        <f t="shared" ca="1" si="0"/>
        <v>20.084050972856716</v>
      </c>
      <c r="I45" s="501">
        <f t="shared" ca="1" si="0"/>
        <v>20.084050972856716</v>
      </c>
      <c r="J45" s="501">
        <f t="shared" ref="J45:P45" ca="1" si="1">$R45*J56</f>
        <v>54.860113001360077</v>
      </c>
      <c r="K45" s="501">
        <f t="shared" ca="1" si="1"/>
        <v>73.146817335146778</v>
      </c>
      <c r="L45" s="501">
        <f t="shared" ca="1" si="1"/>
        <v>73.146817335146778</v>
      </c>
      <c r="M45" s="501">
        <f t="shared" ca="1" si="1"/>
        <v>73.146817335146778</v>
      </c>
      <c r="N45" s="501">
        <f t="shared" ca="1" si="1"/>
        <v>73.146817335146778</v>
      </c>
      <c r="O45" s="501">
        <f t="shared" ca="1" si="1"/>
        <v>73.146817335146778</v>
      </c>
      <c r="P45" s="501">
        <f t="shared" ca="1" si="1"/>
        <v>73.146817335146778</v>
      </c>
      <c r="Q45" s="501">
        <f ca="1">AC72</f>
        <v>25.105063716070894</v>
      </c>
      <c r="R45" s="501">
        <f ca="1">Y72</f>
        <v>91.433521668933466</v>
      </c>
      <c r="S45" s="501">
        <f ca="1">N72</f>
        <v>161.97203672281782</v>
      </c>
      <c r="T45" s="357"/>
      <c r="U45" s="357"/>
      <c r="V45" s="357"/>
      <c r="W45" s="357"/>
      <c r="X45" s="357"/>
      <c r="Y45" s="357"/>
      <c r="Z45" s="357"/>
      <c r="AA45" s="357"/>
      <c r="AB45" s="357"/>
      <c r="AC45" s="357"/>
      <c r="AD45" s="357"/>
      <c r="AE45" s="357"/>
      <c r="AJ45" s="357"/>
      <c r="AK45" s="357"/>
      <c r="AL45" s="357"/>
      <c r="AM45" s="357"/>
      <c r="AN45" s="357"/>
      <c r="AO45" s="357"/>
      <c r="AP45" s="357"/>
      <c r="BB45" s="350"/>
      <c r="BI45" s="357"/>
      <c r="BJ45" s="357"/>
      <c r="BK45" s="357"/>
      <c r="BL45" s="357"/>
      <c r="BM45" s="357"/>
      <c r="BN45" s="357"/>
      <c r="BO45" s="357"/>
      <c r="BP45" s="357"/>
      <c r="BQ45" s="357"/>
      <c r="BR45" s="357"/>
      <c r="BV45" s="357"/>
      <c r="BX45" s="357"/>
      <c r="BY45" s="357"/>
      <c r="BZ45" s="357"/>
      <c r="CA45" s="357"/>
    </row>
    <row r="46" spans="2:79" x14ac:dyDescent="0.3">
      <c r="B46" s="358" t="s">
        <v>1200</v>
      </c>
      <c r="C46" s="412">
        <f ca="1">$S72*(1-C56)</f>
        <v>137.97306198328033</v>
      </c>
      <c r="D46" s="412">
        <f ca="1">$S72*(1-D56)</f>
        <v>55.189224793312121</v>
      </c>
      <c r="E46" s="412">
        <f ca="1">$M72*(1-E56)</f>
        <v>12.79307771937467</v>
      </c>
      <c r="F46" s="412">
        <f ca="1">$I72*(1-F56)</f>
        <v>14.811007035789984</v>
      </c>
      <c r="G46" s="412">
        <f ca="1">$G72*(1-G56)</f>
        <v>11.501007449379975</v>
      </c>
      <c r="H46" s="412">
        <f ca="1">$D72*(1-H56)</f>
        <v>20.26045037418065</v>
      </c>
      <c r="I46" s="412">
        <f ca="1">$E72*(1-I56)</f>
        <v>23.409607869065351</v>
      </c>
      <c r="J46" s="412">
        <f ca="1">$S72*(1-J56)</f>
        <v>110.37844958662427</v>
      </c>
      <c r="K46" s="412">
        <f ca="1">$S72*(1-K56)</f>
        <v>55.189224793312121</v>
      </c>
      <c r="L46" s="412">
        <f ca="1">$M72*(1-L56)</f>
        <v>12.79307771937467</v>
      </c>
      <c r="M46" s="412">
        <f ca="1">$I72*(1-M56)</f>
        <v>14.811007035789984</v>
      </c>
      <c r="N46" s="412">
        <f ca="1">$G72*(1-N56)</f>
        <v>11.501007449379975</v>
      </c>
      <c r="O46" s="412">
        <f ca="1">$D72*(1-O56)</f>
        <v>20.26045037418065</v>
      </c>
      <c r="P46" s="412">
        <f ca="1">$E72*(1-P56)</f>
        <v>23.409607869065351</v>
      </c>
      <c r="Q46" s="502"/>
      <c r="R46" s="502"/>
      <c r="S46" s="502"/>
      <c r="T46" s="500"/>
      <c r="U46" s="500"/>
      <c r="V46" s="500"/>
      <c r="W46" s="500"/>
      <c r="X46" s="500"/>
      <c r="Y46" s="500"/>
      <c r="Z46" s="500"/>
      <c r="AA46" s="500"/>
      <c r="AB46" s="500"/>
      <c r="AC46" s="500"/>
      <c r="AD46" s="500"/>
      <c r="AE46" s="500"/>
      <c r="AF46" s="500"/>
      <c r="AG46" s="500"/>
      <c r="AJ46" s="357"/>
      <c r="AK46" s="357"/>
      <c r="AL46" s="357"/>
      <c r="AM46" s="357"/>
      <c r="AN46" s="357"/>
      <c r="AO46" s="357"/>
      <c r="AP46" s="357"/>
      <c r="BB46" s="350"/>
      <c r="BI46" s="357"/>
      <c r="BJ46" s="357"/>
      <c r="BK46" s="357"/>
      <c r="BL46" s="357"/>
      <c r="BM46" s="357"/>
      <c r="BN46" s="357"/>
      <c r="BO46" s="357"/>
      <c r="BP46" s="357"/>
      <c r="BQ46" s="357"/>
      <c r="BR46" s="357"/>
      <c r="BV46" s="357"/>
      <c r="BX46" s="357"/>
      <c r="BY46" s="357"/>
      <c r="BZ46" s="357"/>
      <c r="CA46" s="357"/>
    </row>
    <row r="47" spans="2:79" x14ac:dyDescent="0.3">
      <c r="B47" s="358"/>
      <c r="C47" s="500"/>
      <c r="D47" s="500"/>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0"/>
      <c r="AJ47" s="357"/>
      <c r="AK47" s="357"/>
      <c r="AL47" s="357"/>
      <c r="AM47" s="357"/>
      <c r="AN47" s="357"/>
      <c r="AO47" s="357"/>
      <c r="AP47" s="357"/>
      <c r="BB47" s="350"/>
      <c r="BI47" s="357"/>
      <c r="BJ47" s="357"/>
      <c r="BK47" s="357"/>
      <c r="BL47" s="357"/>
      <c r="BM47" s="357"/>
      <c r="BN47" s="357"/>
      <c r="BO47" s="357"/>
      <c r="BP47" s="357"/>
      <c r="BQ47" s="357"/>
      <c r="BR47" s="357"/>
      <c r="BV47" s="357"/>
      <c r="BX47" s="357"/>
      <c r="BY47" s="357"/>
      <c r="BZ47" s="357"/>
      <c r="CA47" s="357"/>
    </row>
    <row r="48" spans="2:79" x14ac:dyDescent="0.3">
      <c r="B48" s="358"/>
      <c r="C48" s="500"/>
      <c r="D48" s="500"/>
      <c r="E48" s="500"/>
      <c r="F48" s="500"/>
      <c r="G48" s="500"/>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0"/>
      <c r="AJ48" s="357"/>
      <c r="AK48" s="357"/>
      <c r="AL48" s="357"/>
      <c r="AM48" s="357"/>
      <c r="AN48" s="357"/>
      <c r="AO48" s="357"/>
      <c r="AP48" s="357"/>
      <c r="BB48" s="350"/>
      <c r="BI48" s="357"/>
      <c r="BJ48" s="357"/>
      <c r="BK48" s="357"/>
      <c r="BL48" s="357"/>
      <c r="BM48" s="357"/>
      <c r="BN48" s="357"/>
      <c r="BO48" s="357"/>
      <c r="BP48" s="357"/>
      <c r="BQ48" s="357"/>
      <c r="BR48" s="357"/>
      <c r="BV48" s="357"/>
      <c r="BX48" s="357"/>
      <c r="BY48" s="357"/>
      <c r="BZ48" s="357"/>
      <c r="CA48" s="357"/>
    </row>
    <row r="49" spans="2:46" hidden="1" x14ac:dyDescent="0.3">
      <c r="B49" s="358" t="s">
        <v>1062</v>
      </c>
      <c r="C49" s="354"/>
      <c r="D49" s="354"/>
      <c r="E49" s="355"/>
      <c r="H49" s="357"/>
      <c r="J49" s="357">
        <v>198.6553751289735</v>
      </c>
      <c r="K49" s="357">
        <v>198.6553751289735</v>
      </c>
      <c r="L49" s="357">
        <v>170.94671713201515</v>
      </c>
      <c r="M49" s="357">
        <v>146.93726718801878</v>
      </c>
      <c r="N49" s="357">
        <v>134.5247173832434</v>
      </c>
      <c r="O49" s="357"/>
      <c r="P49" s="357">
        <v>109.74665673023698</v>
      </c>
      <c r="Q49" s="357">
        <v>109.2715625573851</v>
      </c>
      <c r="R49" s="357">
        <v>92.000625319612908</v>
      </c>
      <c r="S49" s="357">
        <v>225.8831960379388</v>
      </c>
      <c r="T49" s="354"/>
      <c r="U49" s="354"/>
      <c r="V49" s="354"/>
      <c r="W49" s="354"/>
      <c r="X49" s="354"/>
      <c r="Y49" s="354"/>
      <c r="Z49" s="354"/>
      <c r="AA49" s="354"/>
      <c r="AB49" s="354"/>
      <c r="AC49" s="354"/>
      <c r="AD49" s="354"/>
      <c r="AG49" s="355"/>
      <c r="AH49" s="354"/>
      <c r="AI49" s="354"/>
      <c r="AJ49" s="354"/>
      <c r="AK49" s="354"/>
      <c r="AL49" s="354"/>
      <c r="AM49" s="354"/>
      <c r="AN49" s="354"/>
      <c r="AO49" s="354"/>
      <c r="AP49" s="354"/>
      <c r="AQ49" s="354"/>
      <c r="AR49" s="354"/>
      <c r="AT49" s="350"/>
    </row>
    <row r="50" spans="2:46" hidden="1" x14ac:dyDescent="0.3">
      <c r="B50" s="358" t="s">
        <v>1061</v>
      </c>
      <c r="C50" s="354"/>
      <c r="D50" s="354"/>
      <c r="E50" s="355"/>
      <c r="H50" s="357"/>
      <c r="J50" s="357">
        <v>190.45060506651421</v>
      </c>
      <c r="K50" s="357">
        <v>190.45060506651421</v>
      </c>
      <c r="L50" s="357">
        <v>147.75164600715308</v>
      </c>
      <c r="M50" s="357">
        <v>123.41082373994841</v>
      </c>
      <c r="N50" s="357">
        <v>92.462424726943624</v>
      </c>
      <c r="O50" s="357"/>
      <c r="P50" s="357">
        <v>47.360170627588715</v>
      </c>
      <c r="Q50" s="357">
        <v>29.082532108575009</v>
      </c>
      <c r="R50" s="357">
        <v>20.138098699878793</v>
      </c>
      <c r="S50" s="357">
        <v>235.34686736744837</v>
      </c>
      <c r="T50" s="354"/>
      <c r="U50" s="354"/>
      <c r="V50" s="354"/>
      <c r="W50" s="354"/>
      <c r="X50" s="354"/>
      <c r="Y50" s="354"/>
      <c r="Z50" s="354"/>
      <c r="AA50" s="354"/>
      <c r="AB50" s="354"/>
      <c r="AC50" s="354"/>
      <c r="AD50" s="354"/>
      <c r="AG50" s="355"/>
      <c r="AH50" s="354"/>
      <c r="AI50" s="354"/>
      <c r="AJ50" s="354"/>
      <c r="AK50" s="354"/>
      <c r="AL50" s="354"/>
      <c r="AM50" s="354"/>
      <c r="AN50" s="354"/>
      <c r="AO50" s="354"/>
      <c r="AP50" s="354"/>
      <c r="AQ50" s="354"/>
      <c r="AR50" s="354"/>
      <c r="AT50" s="350"/>
    </row>
    <row r="51" spans="2:46" hidden="1" x14ac:dyDescent="0.3">
      <c r="B51" s="358" t="s">
        <v>1060</v>
      </c>
      <c r="C51" s="354"/>
      <c r="D51" s="354"/>
      <c r="E51" s="355"/>
      <c r="H51" s="357"/>
      <c r="J51" s="357">
        <v>130.467437832401</v>
      </c>
      <c r="K51" s="357">
        <v>130.467437832401</v>
      </c>
      <c r="L51" s="357">
        <v>106.35742590613199</v>
      </c>
      <c r="M51" s="357">
        <v>82.788852695901895</v>
      </c>
      <c r="N51" s="357">
        <v>87.042263228114194</v>
      </c>
      <c r="O51" s="357"/>
      <c r="P51" s="357">
        <v>73.1615339584623</v>
      </c>
      <c r="Q51" s="357">
        <v>66.108608232937002</v>
      </c>
      <c r="R51" s="357">
        <v>57.028326808897397</v>
      </c>
      <c r="S51" s="357">
        <v>169.63000923799299</v>
      </c>
      <c r="T51" s="354"/>
      <c r="U51" s="354"/>
      <c r="V51" s="354"/>
      <c r="W51" s="354"/>
      <c r="X51" s="354"/>
      <c r="Y51" s="354"/>
      <c r="Z51" s="354"/>
      <c r="AA51" s="354"/>
      <c r="AB51" s="354"/>
      <c r="AC51" s="354"/>
      <c r="AD51" s="354"/>
      <c r="AG51" s="355"/>
      <c r="AH51" s="354"/>
      <c r="AI51" s="354"/>
      <c r="AJ51" s="354"/>
      <c r="AK51" s="354"/>
      <c r="AL51" s="354"/>
      <c r="AM51" s="354"/>
      <c r="AN51" s="354"/>
      <c r="AO51" s="354"/>
      <c r="AP51" s="354"/>
      <c r="AQ51" s="354"/>
      <c r="AR51" s="354"/>
      <c r="AT51" s="350"/>
    </row>
    <row r="52" spans="2:46" hidden="1" x14ac:dyDescent="0.3">
      <c r="B52" s="358" t="s">
        <v>1059</v>
      </c>
      <c r="C52" s="354"/>
      <c r="D52" s="354"/>
      <c r="E52" s="355"/>
      <c r="H52" s="357"/>
      <c r="J52" s="357">
        <v>94.288071043957402</v>
      </c>
      <c r="K52" s="357">
        <v>94.288071043957402</v>
      </c>
      <c r="L52" s="357">
        <v>77.511185806366001</v>
      </c>
      <c r="M52" s="357">
        <v>56.436216180368902</v>
      </c>
      <c r="N52" s="357">
        <v>76.416043285393002</v>
      </c>
      <c r="O52" s="357"/>
      <c r="P52" s="357">
        <v>74.833619113601898</v>
      </c>
      <c r="Q52" s="357">
        <v>72.039757217874197</v>
      </c>
      <c r="R52" s="357">
        <v>64.575287204428093</v>
      </c>
      <c r="S52" s="357">
        <v>129.54562060471599</v>
      </c>
      <c r="T52" s="354"/>
      <c r="U52" s="354"/>
      <c r="V52" s="354"/>
      <c r="W52" s="354"/>
      <c r="X52" s="354"/>
      <c r="Y52" s="354"/>
      <c r="Z52" s="354"/>
      <c r="AA52" s="354"/>
      <c r="AB52" s="354"/>
      <c r="AC52" s="354"/>
      <c r="AD52" s="354"/>
      <c r="AG52" s="355"/>
      <c r="AH52" s="354"/>
      <c r="AI52" s="354"/>
      <c r="AJ52" s="354"/>
      <c r="AK52" s="354"/>
      <c r="AL52" s="354"/>
      <c r="AM52" s="354"/>
      <c r="AN52" s="354"/>
      <c r="AO52" s="354"/>
      <c r="AP52" s="354"/>
      <c r="AQ52" s="354"/>
      <c r="AR52" s="354"/>
      <c r="AT52" s="350"/>
    </row>
    <row r="53" spans="2:46" hidden="1" x14ac:dyDescent="0.3">
      <c r="B53" s="358" t="s">
        <v>1058</v>
      </c>
      <c r="C53" s="354"/>
      <c r="D53" s="354"/>
      <c r="E53" s="355"/>
      <c r="H53" s="357"/>
      <c r="J53" s="357">
        <v>58.108704255513402</v>
      </c>
      <c r="K53" s="357">
        <v>58.108704255513402</v>
      </c>
      <c r="L53" s="357">
        <v>48.664945706598999</v>
      </c>
      <c r="M53" s="357">
        <v>30.0835796648349</v>
      </c>
      <c r="N53" s="357">
        <v>65.789823342671895</v>
      </c>
      <c r="O53" s="357"/>
      <c r="P53" s="357">
        <v>76.505704268741596</v>
      </c>
      <c r="Q53" s="357">
        <v>77.970906202811506</v>
      </c>
      <c r="R53" s="357">
        <v>72.122247599958797</v>
      </c>
      <c r="S53" s="357">
        <v>89.461231971439403</v>
      </c>
      <c r="T53" s="354"/>
      <c r="U53" s="354"/>
      <c r="V53" s="354"/>
      <c r="W53" s="354"/>
      <c r="X53" s="354"/>
      <c r="Y53" s="354"/>
      <c r="Z53" s="354"/>
      <c r="AA53" s="354"/>
      <c r="AB53" s="354"/>
      <c r="AC53" s="354"/>
      <c r="AD53" s="354"/>
      <c r="AG53" s="355"/>
      <c r="AH53" s="354"/>
      <c r="AI53" s="354"/>
      <c r="AJ53" s="354"/>
      <c r="AK53" s="354"/>
      <c r="AL53" s="354"/>
      <c r="AM53" s="354"/>
      <c r="AN53" s="354"/>
      <c r="AO53" s="354"/>
      <c r="AP53" s="354"/>
      <c r="AQ53" s="354"/>
      <c r="AR53" s="354"/>
      <c r="AT53" s="350"/>
    </row>
    <row r="54" spans="2:46" hidden="1" x14ac:dyDescent="0.3">
      <c r="B54" s="358" t="str">
        <f>"Very long trip ("&amp;C$63&amp;" km)"</f>
        <v>Very long trip ( km)</v>
      </c>
      <c r="C54" s="354"/>
      <c r="D54" s="354"/>
      <c r="E54" s="355"/>
      <c r="H54" s="357"/>
      <c r="J54" s="357">
        <v>21.929337467069399</v>
      </c>
      <c r="K54" s="357">
        <v>21.929337467069399</v>
      </c>
      <c r="L54" s="357">
        <v>19.818705606832999</v>
      </c>
      <c r="M54" s="357">
        <v>3.7309431493018801</v>
      </c>
      <c r="N54" s="357">
        <v>55.163603399950702</v>
      </c>
      <c r="O54" s="357"/>
      <c r="P54" s="357">
        <v>78.177789423881194</v>
      </c>
      <c r="Q54" s="357">
        <v>83.9020551877488</v>
      </c>
      <c r="R54" s="357">
        <v>79.669207995489501</v>
      </c>
      <c r="S54" s="357">
        <v>49.376843338162402</v>
      </c>
      <c r="T54" s="354"/>
      <c r="U54" s="354"/>
      <c r="V54" s="354"/>
      <c r="W54" s="354"/>
      <c r="X54" s="354"/>
      <c r="Y54" s="354"/>
      <c r="Z54" s="354"/>
      <c r="AA54" s="354"/>
      <c r="AB54" s="354"/>
      <c r="AC54" s="354"/>
      <c r="AD54" s="354"/>
      <c r="AG54" s="355"/>
      <c r="AH54" s="354"/>
      <c r="AI54" s="354"/>
      <c r="AJ54" s="354"/>
      <c r="AK54" s="354"/>
      <c r="AL54" s="354"/>
      <c r="AM54" s="354"/>
      <c r="AN54" s="354"/>
      <c r="AO54" s="354"/>
      <c r="AP54" s="354"/>
      <c r="AQ54" s="354"/>
      <c r="AR54" s="354"/>
      <c r="AT54" s="350"/>
    </row>
    <row r="55" spans="2:46" x14ac:dyDescent="0.3">
      <c r="B55" s="358"/>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4"/>
      <c r="AI55" s="354"/>
      <c r="AJ55" s="354"/>
      <c r="AK55" s="354"/>
      <c r="AL55" s="354"/>
      <c r="AM55" s="354"/>
      <c r="AN55" s="354"/>
      <c r="AO55" s="354"/>
      <c r="AP55" s="354"/>
      <c r="AQ55" s="354"/>
      <c r="AR55" s="354"/>
      <c r="AT55" s="350"/>
    </row>
    <row r="56" spans="2:46" x14ac:dyDescent="0.3">
      <c r="C56" s="349">
        <v>0.5</v>
      </c>
      <c r="D56" s="349">
        <f>E56</f>
        <v>0.8</v>
      </c>
      <c r="E56" s="349">
        <f>F56</f>
        <v>0.8</v>
      </c>
      <c r="F56" s="349">
        <f>G56</f>
        <v>0.8</v>
      </c>
      <c r="G56" s="349">
        <f>I56</f>
        <v>0.8</v>
      </c>
      <c r="H56" s="349">
        <v>0.8</v>
      </c>
      <c r="I56" s="349">
        <f>K56</f>
        <v>0.8</v>
      </c>
      <c r="J56" s="349">
        <v>0.6</v>
      </c>
      <c r="K56" s="349">
        <f>L56</f>
        <v>0.8</v>
      </c>
      <c r="L56" s="349">
        <f>M56</f>
        <v>0.8</v>
      </c>
      <c r="M56" s="349">
        <f>N56</f>
        <v>0.8</v>
      </c>
      <c r="N56" s="349">
        <f>P56</f>
        <v>0.8</v>
      </c>
      <c r="O56" s="349">
        <v>0.8</v>
      </c>
      <c r="P56" s="349">
        <v>0.8</v>
      </c>
      <c r="T56" s="354"/>
      <c r="U56" s="354"/>
      <c r="V56" s="354"/>
      <c r="W56" s="354"/>
      <c r="X56" s="354"/>
      <c r="Y56" s="354"/>
      <c r="Z56" s="354"/>
      <c r="AA56" s="354"/>
      <c r="AB56" s="354"/>
      <c r="AC56" s="354"/>
      <c r="AD56" s="354"/>
      <c r="AG56" s="355"/>
      <c r="AH56" s="354"/>
      <c r="AI56" s="354"/>
      <c r="AJ56" s="354"/>
      <c r="AK56" s="354"/>
      <c r="AL56" s="354"/>
      <c r="AM56" s="354"/>
      <c r="AN56" s="354"/>
      <c r="AO56" s="354"/>
      <c r="AP56" s="354"/>
      <c r="AQ56" s="354"/>
      <c r="AR56" s="354"/>
      <c r="AT56" s="350"/>
    </row>
    <row r="57" spans="2:46" x14ac:dyDescent="0.3">
      <c r="C57" s="354"/>
      <c r="K57" s="355"/>
      <c r="N57" s="354"/>
      <c r="P57" s="354"/>
      <c r="Q57" s="354"/>
      <c r="T57" s="354"/>
      <c r="U57" s="354"/>
      <c r="V57" s="354"/>
      <c r="W57" s="354"/>
      <c r="X57" s="354"/>
      <c r="Y57" s="354"/>
      <c r="Z57" s="354"/>
      <c r="AA57" s="354"/>
      <c r="AB57" s="354"/>
      <c r="AE57" s="355"/>
      <c r="AF57" s="354"/>
      <c r="AG57" s="354"/>
      <c r="AH57" s="354"/>
      <c r="AI57" s="354"/>
      <c r="AJ57" s="354"/>
      <c r="AK57" s="354"/>
      <c r="AL57" s="354"/>
      <c r="AM57" s="354"/>
      <c r="AN57" s="354"/>
      <c r="AO57" s="354"/>
      <c r="AP57" s="354"/>
      <c r="AR57" s="350"/>
    </row>
    <row r="58" spans="2:46" x14ac:dyDescent="0.3">
      <c r="C58" s="354"/>
      <c r="N58" s="355"/>
      <c r="O58" s="354"/>
      <c r="P58" s="354"/>
      <c r="Q58" s="354"/>
      <c r="R58" s="354"/>
      <c r="T58" s="354"/>
      <c r="U58" s="354"/>
      <c r="V58" s="354"/>
      <c r="W58" s="354"/>
      <c r="X58" s="354"/>
      <c r="Y58" s="354"/>
      <c r="Z58" s="354"/>
      <c r="AB58" s="349"/>
      <c r="AC58" s="355"/>
      <c r="AD58" s="354"/>
      <c r="AE58" s="354"/>
      <c r="AF58" s="354"/>
      <c r="AG58" s="354"/>
      <c r="AH58" s="354"/>
      <c r="AI58" s="354"/>
      <c r="AJ58" s="354"/>
      <c r="AK58" s="354"/>
      <c r="AL58" s="354"/>
      <c r="AM58" s="354"/>
      <c r="AN58" s="354"/>
      <c r="AO58" s="349"/>
      <c r="AP58" s="350"/>
    </row>
    <row r="59" spans="2:46" x14ac:dyDescent="0.3">
      <c r="O59" s="350"/>
      <c r="P59" s="350"/>
      <c r="AB59" s="349"/>
      <c r="AC59" s="350"/>
      <c r="AO59" s="349"/>
      <c r="AP59" s="350"/>
    </row>
    <row r="60" spans="2:46" x14ac:dyDescent="0.3">
      <c r="B60" s="353"/>
      <c r="C60" s="352"/>
      <c r="D60" s="352"/>
      <c r="E60" s="352"/>
      <c r="F60" s="352"/>
      <c r="G60" s="352"/>
      <c r="H60" s="352"/>
      <c r="I60" s="352"/>
      <c r="M60" s="350"/>
      <c r="O60" s="350"/>
      <c r="AB60" s="349"/>
      <c r="AC60" s="350"/>
      <c r="AO60" s="349"/>
      <c r="AP60" s="350"/>
    </row>
    <row r="61" spans="2:46" x14ac:dyDescent="0.3">
      <c r="B61" s="352"/>
      <c r="C61" s="351"/>
      <c r="E61" s="351"/>
      <c r="F61" s="351"/>
      <c r="G61" s="351"/>
      <c r="H61" s="352"/>
      <c r="I61" s="351"/>
      <c r="J61" s="351"/>
      <c r="O61" s="350"/>
      <c r="P61" s="350"/>
      <c r="AB61" s="349"/>
      <c r="AC61" s="350"/>
      <c r="AO61" s="349"/>
      <c r="AP61" s="350"/>
    </row>
    <row r="62" spans="2:46" x14ac:dyDescent="0.3">
      <c r="B62" s="352"/>
      <c r="D62" s="351"/>
      <c r="E62" s="351"/>
      <c r="F62" s="351"/>
      <c r="G62" s="351"/>
      <c r="H62" s="352"/>
      <c r="I62" s="351"/>
      <c r="J62" s="351"/>
      <c r="O62" s="350"/>
      <c r="P62" s="350"/>
      <c r="AB62" s="349"/>
      <c r="AC62" s="350"/>
      <c r="AO62" s="349"/>
      <c r="AP62" s="350"/>
    </row>
    <row r="63" spans="2:46" x14ac:dyDescent="0.3">
      <c r="B63" s="352"/>
      <c r="D63" s="351"/>
      <c r="E63" s="351"/>
      <c r="F63" s="352"/>
      <c r="G63" s="351"/>
      <c r="H63" s="351"/>
      <c r="I63" s="351"/>
      <c r="J63" s="351"/>
      <c r="O63" s="350"/>
      <c r="P63" s="350"/>
      <c r="AB63" s="349"/>
      <c r="AC63" s="350"/>
      <c r="AO63" s="349"/>
      <c r="AP63" s="350"/>
    </row>
    <row r="64" spans="2:46" x14ac:dyDescent="0.3">
      <c r="B64" s="352"/>
      <c r="C64" s="351"/>
      <c r="D64" s="351"/>
      <c r="E64" s="351"/>
      <c r="F64" s="351"/>
      <c r="G64" s="351"/>
      <c r="H64" s="351"/>
      <c r="I64" s="351"/>
      <c r="J64" s="351"/>
      <c r="O64" s="350"/>
      <c r="P64" s="350"/>
      <c r="AB64" s="349"/>
      <c r="AC64" s="350"/>
      <c r="AO64" s="349"/>
      <c r="AP64" s="350"/>
    </row>
    <row r="65" spans="2:77" x14ac:dyDescent="0.3">
      <c r="O65" s="350"/>
      <c r="P65" s="350"/>
      <c r="AB65" s="349"/>
      <c r="AC65" s="350"/>
      <c r="AO65" s="349"/>
      <c r="AP65" s="350"/>
    </row>
    <row r="66" spans="2:77" x14ac:dyDescent="0.3">
      <c r="O66" s="350"/>
      <c r="P66" s="350"/>
      <c r="AB66" s="349"/>
      <c r="AC66" s="350"/>
      <c r="AO66" s="349"/>
      <c r="AP66" s="350"/>
    </row>
    <row r="67" spans="2:77" x14ac:dyDescent="0.3">
      <c r="N67" s="349"/>
      <c r="AB67" s="349"/>
      <c r="AC67" s="350"/>
      <c r="AO67" s="349"/>
      <c r="AP67" s="350"/>
    </row>
    <row r="68" spans="2:77"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C68" s="402"/>
      <c r="AP68" s="402"/>
    </row>
    <row r="69" spans="2:77" x14ac:dyDescent="0.3">
      <c r="B69" s="405"/>
      <c r="C69" s="407"/>
      <c r="D69" s="407"/>
      <c r="E69" s="407"/>
      <c r="F69" s="407"/>
      <c r="G69" s="407"/>
      <c r="H69" s="407"/>
      <c r="I69" s="407"/>
      <c r="J69" s="407"/>
      <c r="K69" s="407"/>
      <c r="L69" s="407"/>
      <c r="M69" s="409"/>
      <c r="N69" s="409"/>
      <c r="O69" s="409"/>
      <c r="P69" s="409"/>
      <c r="Q69" s="409"/>
      <c r="R69" s="409"/>
      <c r="S69" s="409"/>
      <c r="T69" s="409"/>
      <c r="U69" s="409"/>
      <c r="V69" s="409"/>
      <c r="W69" s="409"/>
      <c r="X69" s="409"/>
      <c r="Y69" s="409"/>
      <c r="Z69" s="409"/>
      <c r="AA69" s="407"/>
      <c r="AB69" s="349"/>
      <c r="AC69" s="350"/>
      <c r="AO69" s="349"/>
      <c r="AP69" s="350"/>
    </row>
    <row r="70" spans="2:77" s="403" customFormat="1" ht="116.25" customHeight="1" x14ac:dyDescent="0.3">
      <c r="C70" s="403" t="str">
        <f>'0_Total'!D2</f>
        <v>Private e-scooter</v>
      </c>
      <c r="D70" s="403" t="str">
        <f>LEFT('0_Total'!AE2,32)&amp;")"</f>
        <v>Shared e-scooter (new generation)</v>
      </c>
      <c r="E70" s="403" t="s">
        <v>1450</v>
      </c>
      <c r="F70" s="403" t="str">
        <f>'0_Total'!AG2</f>
        <v>Private bike</v>
      </c>
      <c r="G70" s="403" t="str">
        <f>'0_Total'!AI2</f>
        <v>Shared bike</v>
      </c>
      <c r="H70" s="403" t="str">
        <f>'0_Total'!AH2</f>
        <v>Private e-bike</v>
      </c>
      <c r="I70" s="403" t="str">
        <f>'0_Total'!AJ2</f>
        <v>Shared e-bike</v>
      </c>
      <c r="J70" s="403" t="str">
        <f>'0_Total'!AK2</f>
        <v>Private moped - ICE</v>
      </c>
      <c r="K70" s="403" t="str">
        <f>'0_Total'!AL2</f>
        <v>Private moped - BEV</v>
      </c>
      <c r="L70" s="403" t="str">
        <f>'0_Total'!AM2</f>
        <v>Shared moped - ICE</v>
      </c>
      <c r="M70" s="403" t="str">
        <f>'0_Total'!AN2</f>
        <v>Shared moped - BEV</v>
      </c>
      <c r="N70" s="403" t="str">
        <f>'0_Total'!AO2</f>
        <v>Private car - ICE</v>
      </c>
      <c r="O70" s="403" t="str">
        <f>'0_Total'!AP2</f>
        <v>Private car - HEV</v>
      </c>
      <c r="P70" s="403" t="str">
        <f>'0_Total'!AQ2</f>
        <v>Private car - PHEV</v>
      </c>
      <c r="Q70" s="403" t="str">
        <f>'0_Total'!AX2</f>
        <v>Private car - BEV</v>
      </c>
      <c r="R70" s="403" t="str">
        <f>'0_Total'!BB2</f>
        <v>Private car - FCEV</v>
      </c>
      <c r="S70" s="403" t="str">
        <f>'0_Total'!BI2</f>
        <v>Ridesourcing - car - ICE</v>
      </c>
      <c r="T70" s="403" t="str">
        <f>'0_Total'!BJ2</f>
        <v>Ridesourcing - car - HEV</v>
      </c>
      <c r="U70" s="403" t="str">
        <f>'0_Total'!BK2</f>
        <v>Ridesourcing - car - PHEV</v>
      </c>
      <c r="V70" s="403" t="str">
        <f>'0_Total'!BT2</f>
        <v>Ridesourcing - car - BEV</v>
      </c>
      <c r="W70" s="403" t="str">
        <f>'0_Total'!CC2</f>
        <v>Ridesourcing - car - BEV (two packs)</v>
      </c>
      <c r="X70" s="403" t="str">
        <f>'0_Total'!CG2</f>
        <v>Ridesourcing - car - FCEV</v>
      </c>
      <c r="Y70" s="403" t="str">
        <f>'0_Total'!DQ2</f>
        <v>Bus - ICE</v>
      </c>
      <c r="Z70" s="403" t="str">
        <f>'0_Total'!DR2</f>
        <v>Bus - HEV</v>
      </c>
      <c r="AA70" s="403" t="str">
        <f>'0_Total'!DU2</f>
        <v>Bus - BEV</v>
      </c>
      <c r="AB70" s="403" t="str">
        <f>'0_Total'!DT2</f>
        <v>Bus - BEV (two packs)</v>
      </c>
      <c r="AC70" s="403" t="str">
        <f>'0_Total'!ED2</f>
        <v>Metro/urban train</v>
      </c>
    </row>
    <row r="71" spans="2:77" s="405" customFormat="1" x14ac:dyDescent="0.3">
      <c r="B71" s="405" t="s">
        <v>1192</v>
      </c>
      <c r="C71" s="406">
        <f ca="1">'0_Total'!D105</f>
        <v>37.029179275461942</v>
      </c>
      <c r="D71" s="406">
        <f ca="1">'0_Total'!AE105</f>
        <v>101.30225187090326</v>
      </c>
      <c r="E71" s="406">
        <f ca="1">'0_Total'!W105</f>
        <v>117.04803934532677</v>
      </c>
      <c r="F71" s="406">
        <f ca="1">'0_Total'!AG105</f>
        <v>16.93824515660598</v>
      </c>
      <c r="G71" s="406">
        <f ca="1">'0_Total'!AI105</f>
        <v>57.505037246899882</v>
      </c>
      <c r="H71" s="406">
        <f ca="1">'0_Total'!AH105</f>
        <v>24.735671254209745</v>
      </c>
      <c r="I71" s="406">
        <f ca="1">'0_Total'!AJ105</f>
        <v>74.055035178949936</v>
      </c>
      <c r="J71" s="406">
        <f ca="1">'0_Total'!AK105</f>
        <v>73.116667945061394</v>
      </c>
      <c r="K71" s="406">
        <f ca="1">'0_Total'!AL105</f>
        <v>25.685414916413087</v>
      </c>
      <c r="L71" s="406">
        <f ca="1">'0_Total'!AM105</f>
        <v>85.084207329638076</v>
      </c>
      <c r="M71" s="406">
        <f ca="1">'0_Total'!AN105</f>
        <v>63.965388596873368</v>
      </c>
      <c r="N71" s="406">
        <f ca="1">'0_Total'!AO105</f>
        <v>242.95805508422671</v>
      </c>
      <c r="O71" s="406">
        <f ca="1">'0_Total'!AP105</f>
        <v>198.41664951334906</v>
      </c>
      <c r="P71" s="406">
        <f ca="1">'0_Total'!AQ105</f>
        <v>131.03579889280746</v>
      </c>
      <c r="Q71" s="406">
        <f ca="1">'0_Total'!AX105</f>
        <v>105.40940965441584</v>
      </c>
      <c r="R71" s="406">
        <f ca="1">'0_Total'!BB105</f>
        <v>200.1132106258072</v>
      </c>
      <c r="S71" s="406">
        <f ca="1">'0_Total'!BI105</f>
        <v>222.96032365470072</v>
      </c>
      <c r="T71" s="406">
        <f ca="1">'0_Total'!BJ105</f>
        <v>176.74790331496078</v>
      </c>
      <c r="U71" s="406">
        <f ca="1">'0_Total'!BK105</f>
        <v>139.50475911329761</v>
      </c>
      <c r="V71" s="406">
        <f ca="1">'0_Total'!BT105</f>
        <v>71.890095032257506</v>
      </c>
      <c r="W71" s="406">
        <f ca="1">'0_Total'!CC105</f>
        <v>91.168482671730686</v>
      </c>
      <c r="X71" s="406">
        <f ca="1">'0_Total'!CG105</f>
        <v>167.40102377908784</v>
      </c>
      <c r="Y71" s="406">
        <f ca="1">'0_Total'!DQ105</f>
        <v>1398.9328815346823</v>
      </c>
      <c r="Z71" s="406">
        <f ca="1">'0_Total'!DR105</f>
        <v>1075.7020346772742</v>
      </c>
      <c r="AA71" s="406">
        <f ca="1">'0_Total'!DU105</f>
        <v>448.0055406520334</v>
      </c>
      <c r="AB71" s="406">
        <f ca="1">'0_Total'!DT105</f>
        <v>498.96763133695219</v>
      </c>
      <c r="AC71" s="406">
        <f ca="1">'0_Total'!ED105</f>
        <v>4769.9621060534701</v>
      </c>
      <c r="AE71" s="406"/>
      <c r="AH71" s="406"/>
      <c r="AI71" s="406"/>
      <c r="AJ71" s="406"/>
      <c r="AK71" s="406"/>
      <c r="AL71" s="406"/>
      <c r="AM71" s="406"/>
      <c r="AN71" s="406"/>
      <c r="BG71" s="406"/>
      <c r="BH71" s="406"/>
      <c r="BI71" s="406"/>
      <c r="BJ71" s="406"/>
      <c r="BK71" s="406"/>
      <c r="BL71" s="406"/>
      <c r="BM71" s="406"/>
      <c r="BN71" s="406"/>
      <c r="BO71" s="406"/>
      <c r="BP71" s="406"/>
      <c r="BT71" s="406"/>
      <c r="BV71" s="406"/>
      <c r="BW71" s="406"/>
      <c r="BX71" s="406"/>
      <c r="BY71" s="406"/>
    </row>
    <row r="72" spans="2:77" s="405" customFormat="1" x14ac:dyDescent="0.3">
      <c r="B72" s="405" t="s">
        <v>1197</v>
      </c>
      <c r="C72" s="406">
        <f ca="1">'0_Total'!D98</f>
        <v>37.029179275461942</v>
      </c>
      <c r="D72" s="406">
        <f ca="1">'0_Total'!AE98</f>
        <v>101.30225187090326</v>
      </c>
      <c r="E72" s="406">
        <f ca="1">'0_Total'!W98</f>
        <v>117.04803934532677</v>
      </c>
      <c r="F72" s="406">
        <f ca="1">'0_Total'!AG98</f>
        <v>16.93824515660598</v>
      </c>
      <c r="G72" s="406">
        <f ca="1">'0_Total'!AI98</f>
        <v>57.505037246899882</v>
      </c>
      <c r="H72" s="406">
        <f ca="1">'0_Total'!AH98</f>
        <v>24.735671254209745</v>
      </c>
      <c r="I72" s="406">
        <f ca="1">'0_Total'!AJ98</f>
        <v>74.055035178949936</v>
      </c>
      <c r="J72" s="406">
        <f ca="1">'0_Total'!AK98</f>
        <v>73.116667945061394</v>
      </c>
      <c r="K72" s="406">
        <f ca="1">'0_Total'!AL98</f>
        <v>25.685414916413087</v>
      </c>
      <c r="L72" s="406">
        <f ca="1">'0_Total'!AM98</f>
        <v>85.084207329638076</v>
      </c>
      <c r="M72" s="406">
        <f ca="1">'0_Total'!AN98</f>
        <v>63.965388596873368</v>
      </c>
      <c r="N72" s="406">
        <f ca="1">'0_Total'!AO98</f>
        <v>161.97203672281782</v>
      </c>
      <c r="O72" s="406">
        <f ca="1">'0_Total'!AP98</f>
        <v>132.2777663422327</v>
      </c>
      <c r="P72" s="406">
        <f ca="1">'0_Total'!AQ98</f>
        <v>87.357199261871642</v>
      </c>
      <c r="Q72" s="406">
        <f ca="1">'0_Total'!AX98</f>
        <v>70.272939769610559</v>
      </c>
      <c r="R72" s="406">
        <f ca="1">'0_Total'!BB98</f>
        <v>133.40880708387149</v>
      </c>
      <c r="S72" s="406">
        <f ca="1">'0_Total'!BI98</f>
        <v>275.94612396656066</v>
      </c>
      <c r="T72" s="406">
        <f ca="1">'0_Total'!BJ98</f>
        <v>218.75147129098434</v>
      </c>
      <c r="U72" s="406">
        <f ca="1">'0_Total'!BK98</f>
        <v>172.65761423912247</v>
      </c>
      <c r="V72" s="406">
        <f ca="1">'0_Total'!BT98</f>
        <v>88.974543768881489</v>
      </c>
      <c r="W72" s="406">
        <f ca="1">'0_Total'!CC98</f>
        <v>112.8343779233935</v>
      </c>
      <c r="X72" s="406">
        <f ca="1">'0_Total'!CG98</f>
        <v>207.18333604239646</v>
      </c>
      <c r="Y72" s="406">
        <f ca="1">'0_Total'!DQ98</f>
        <v>91.433521668933466</v>
      </c>
      <c r="Z72" s="406">
        <f ca="1">'0_Total'!DR98</f>
        <v>70.307322527926416</v>
      </c>
      <c r="AA72" s="406">
        <f ca="1">'0_Total'!DU98</f>
        <v>29.281407885753818</v>
      </c>
      <c r="AB72" s="406">
        <f ca="1">'0_Total'!DT98</f>
        <v>32.612263486075307</v>
      </c>
      <c r="AC72" s="406">
        <f ca="1">'0_Total'!ED98</f>
        <v>25.105063716070894</v>
      </c>
      <c r="AE72" s="406"/>
      <c r="AH72" s="406"/>
      <c r="AI72" s="406"/>
      <c r="AJ72" s="406"/>
      <c r="AK72" s="406"/>
      <c r="AL72" s="406"/>
      <c r="AM72" s="406"/>
      <c r="AN72" s="406"/>
      <c r="BG72" s="406"/>
      <c r="BH72" s="406"/>
      <c r="BI72" s="406"/>
      <c r="BJ72" s="406"/>
      <c r="BK72" s="406"/>
      <c r="BL72" s="406"/>
      <c r="BM72" s="406"/>
      <c r="BN72" s="406"/>
      <c r="BO72" s="406"/>
      <c r="BP72" s="406"/>
      <c r="BT72" s="406"/>
      <c r="BV72" s="406"/>
      <c r="BW72" s="406"/>
      <c r="BX72" s="406"/>
      <c r="BY72" s="406"/>
    </row>
    <row r="73" spans="2:77"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D73" s="350"/>
      <c r="AO73" s="349"/>
      <c r="AQ73" s="350"/>
    </row>
    <row r="74" spans="2:77" x14ac:dyDescent="0.3">
      <c r="B74" s="405"/>
      <c r="C74" s="408"/>
      <c r="D74" s="408"/>
      <c r="E74" s="408"/>
      <c r="F74" s="408"/>
      <c r="G74" s="408"/>
      <c r="H74" s="408"/>
      <c r="I74" s="408"/>
      <c r="J74" s="408"/>
      <c r="K74" s="408"/>
      <c r="L74" s="408"/>
      <c r="M74" s="408"/>
      <c r="N74" s="407"/>
      <c r="O74" s="407"/>
      <c r="P74" s="406"/>
      <c r="Q74" s="406"/>
      <c r="R74" s="407"/>
      <c r="S74" s="406"/>
      <c r="T74" s="406"/>
      <c r="U74" s="406"/>
      <c r="V74" s="406"/>
      <c r="W74" s="406"/>
      <c r="X74" s="407"/>
      <c r="Y74" s="406"/>
      <c r="Z74" s="406"/>
      <c r="AA74" s="406"/>
      <c r="AB74" s="406"/>
      <c r="AD74" s="350"/>
      <c r="AO74" s="349"/>
      <c r="AQ74" s="350"/>
    </row>
    <row r="75" spans="2:77"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7"/>
      <c r="Y75" s="406"/>
      <c r="Z75" s="406"/>
      <c r="AA75" s="406"/>
      <c r="AB75" s="406"/>
      <c r="AD75" s="350"/>
      <c r="AO75" s="349"/>
      <c r="AQ75" s="350"/>
    </row>
    <row r="76" spans="2:77"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349"/>
      <c r="AC76" s="350"/>
      <c r="AO76" s="349"/>
      <c r="AP76" s="350"/>
    </row>
    <row r="77" spans="2:77"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349"/>
      <c r="AC77" s="350"/>
      <c r="AO77" s="349"/>
      <c r="AP77" s="350"/>
    </row>
    <row r="78" spans="2:77"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349"/>
      <c r="AC78" s="350"/>
      <c r="AO78" s="349"/>
      <c r="AP78" s="350"/>
    </row>
    <row r="79" spans="2:77"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row>
    <row r="80" spans="2:77" x14ac:dyDescent="0.3">
      <c r="B80" s="405"/>
      <c r="C80" s="406"/>
      <c r="O80" s="350"/>
      <c r="P80" s="350"/>
    </row>
    <row r="81" spans="2:16" x14ac:dyDescent="0.3">
      <c r="B81" s="405"/>
      <c r="C81" s="406"/>
      <c r="O81" s="350"/>
      <c r="P81" s="350"/>
    </row>
    <row r="82" spans="2:16" x14ac:dyDescent="0.3">
      <c r="O82" s="350"/>
      <c r="P82" s="350"/>
    </row>
    <row r="83" spans="2:16" x14ac:dyDescent="0.3">
      <c r="B83" s="405"/>
      <c r="C83" s="406"/>
      <c r="O83" s="350"/>
      <c r="P83" s="350"/>
    </row>
    <row r="84" spans="2:16" x14ac:dyDescent="0.3">
      <c r="O84" s="350"/>
      <c r="P84" s="350"/>
    </row>
    <row r="85" spans="2:16" x14ac:dyDescent="0.3">
      <c r="O85" s="350"/>
      <c r="P85" s="350"/>
    </row>
    <row r="86" spans="2:16" x14ac:dyDescent="0.3">
      <c r="B86" s="411"/>
      <c r="C86" s="412"/>
      <c r="D86" s="411"/>
      <c r="E86" s="412"/>
      <c r="F86" s="412"/>
      <c r="O86" s="350"/>
      <c r="P86" s="350"/>
    </row>
    <row r="87" spans="2:16" x14ac:dyDescent="0.3">
      <c r="C87" s="412"/>
      <c r="D87" s="411"/>
      <c r="E87" s="412"/>
      <c r="F87" s="412"/>
      <c r="O87" s="350"/>
      <c r="P87" s="350"/>
    </row>
    <row r="88" spans="2:16" x14ac:dyDescent="0.3">
      <c r="C88" s="412"/>
      <c r="D88" s="411"/>
      <c r="E88" s="412"/>
      <c r="F88" s="412"/>
      <c r="O88" s="350"/>
      <c r="P88" s="350"/>
    </row>
    <row r="89" spans="2:16" x14ac:dyDescent="0.3">
      <c r="B89" s="411"/>
      <c r="C89" s="412"/>
      <c r="D89" s="411"/>
      <c r="E89" s="412"/>
      <c r="F89" s="412"/>
      <c r="O89" s="350"/>
      <c r="P89" s="350"/>
    </row>
    <row r="90" spans="2:16" x14ac:dyDescent="0.3">
      <c r="C90" s="412"/>
      <c r="D90" s="411"/>
      <c r="E90" s="412"/>
      <c r="F90" s="412"/>
      <c r="O90" s="350"/>
      <c r="P90" s="350"/>
    </row>
    <row r="91" spans="2:16" x14ac:dyDescent="0.3">
      <c r="C91" s="412"/>
      <c r="D91" s="411"/>
      <c r="E91" s="412"/>
      <c r="F91" s="412"/>
      <c r="O91" s="350"/>
      <c r="P91" s="350"/>
    </row>
    <row r="92" spans="2:16" x14ac:dyDescent="0.3">
      <c r="C92" s="412"/>
      <c r="D92" s="411"/>
      <c r="E92" s="412"/>
      <c r="F92" s="412"/>
      <c r="O92" s="350"/>
      <c r="P92" s="350"/>
    </row>
    <row r="93" spans="2:16" x14ac:dyDescent="0.3">
      <c r="C93" s="412"/>
      <c r="D93" s="411"/>
      <c r="E93" s="412"/>
      <c r="F93" s="412"/>
      <c r="O93" s="350"/>
      <c r="P93" s="350"/>
    </row>
    <row r="94" spans="2:16" x14ac:dyDescent="0.3">
      <c r="C94" s="412"/>
      <c r="D94" s="411"/>
      <c r="E94" s="412"/>
      <c r="F94" s="412"/>
      <c r="O94" s="350"/>
      <c r="P94" s="350"/>
    </row>
    <row r="95" spans="2:16" x14ac:dyDescent="0.3">
      <c r="C95" s="412"/>
      <c r="D95" s="411"/>
      <c r="E95" s="411"/>
      <c r="F95" s="412"/>
      <c r="O95" s="350"/>
      <c r="P95" s="350"/>
    </row>
    <row r="96" spans="2:16" x14ac:dyDescent="0.3">
      <c r="O96" s="350"/>
      <c r="P96" s="350"/>
    </row>
    <row r="97" spans="2:16" x14ac:dyDescent="0.3">
      <c r="O97" s="350"/>
      <c r="P97" s="350"/>
    </row>
    <row r="98" spans="2:16" x14ac:dyDescent="0.3">
      <c r="B98" s="411"/>
      <c r="C98" s="411"/>
      <c r="D98" s="354"/>
      <c r="O98" s="350"/>
      <c r="P98" s="350"/>
    </row>
    <row r="99" spans="2:16" x14ac:dyDescent="0.3">
      <c r="C99" s="411"/>
      <c r="D99" s="354"/>
      <c r="O99" s="350"/>
      <c r="P99" s="350"/>
    </row>
    <row r="100" spans="2:16" x14ac:dyDescent="0.3">
      <c r="C100" s="411"/>
      <c r="D100" s="412"/>
      <c r="O100" s="350"/>
      <c r="P100" s="350"/>
    </row>
    <row r="101" spans="2:16" x14ac:dyDescent="0.3">
      <c r="B101" s="349" t="s">
        <v>235</v>
      </c>
      <c r="C101" s="411">
        <f>ROUND(P73+D101/$C$110,-1)</f>
        <v>0</v>
      </c>
      <c r="D101" s="411">
        <f>P74</f>
        <v>0</v>
      </c>
      <c r="O101" s="350"/>
      <c r="P101" s="350"/>
    </row>
    <row r="102" spans="2:16" x14ac:dyDescent="0.3">
      <c r="B102" s="349" t="s">
        <v>1140</v>
      </c>
      <c r="C102" s="411">
        <f>ROUND(Q73+D102/$C$110,-1)</f>
        <v>0</v>
      </c>
      <c r="D102" s="411">
        <f>Q74</f>
        <v>0</v>
      </c>
      <c r="O102" s="350"/>
      <c r="P102" s="350"/>
    </row>
    <row r="103" spans="2:16" x14ac:dyDescent="0.3">
      <c r="B103" s="349" t="str">
        <f>B93&amp;" - EV"</f>
        <v xml:space="preserve"> - EV</v>
      </c>
      <c r="C103" s="411">
        <f>ROUND(V73+D103/$C$110,-1)</f>
        <v>0</v>
      </c>
      <c r="D103" s="411">
        <f>V74</f>
        <v>0</v>
      </c>
      <c r="O103" s="350"/>
      <c r="P103" s="350"/>
    </row>
    <row r="104" spans="2:16" x14ac:dyDescent="0.3">
      <c r="B104" s="411">
        <f>X68</f>
        <v>0</v>
      </c>
      <c r="C104" s="411">
        <f>ROUND(Z73,-2)</f>
        <v>0</v>
      </c>
      <c r="D104" s="411"/>
      <c r="O104" s="350"/>
      <c r="P104" s="350"/>
    </row>
    <row r="105" spans="2:16" x14ac:dyDescent="0.3">
      <c r="B105" s="411">
        <f>Z68</f>
        <v>0</v>
      </c>
      <c r="C105" s="411">
        <f>ROUND(AA73+D105/$D$110,-2)</f>
        <v>0</v>
      </c>
      <c r="D105" s="411">
        <f>AA74</f>
        <v>0</v>
      </c>
      <c r="O105" s="350"/>
      <c r="P105" s="350"/>
    </row>
    <row r="106" spans="2:16" x14ac:dyDescent="0.3">
      <c r="B106" s="411">
        <f>AA68</f>
        <v>0</v>
      </c>
      <c r="C106" s="411">
        <f>ROUND(AB73,-3)</f>
        <v>0</v>
      </c>
      <c r="O106" s="350"/>
      <c r="P106" s="350"/>
    </row>
    <row r="107" spans="2:16" x14ac:dyDescent="0.3">
      <c r="O107" s="350"/>
      <c r="P107" s="350"/>
    </row>
    <row r="108" spans="2:16" x14ac:dyDescent="0.3">
      <c r="O108" s="350"/>
      <c r="P108" s="350"/>
    </row>
    <row r="109" spans="2:16" x14ac:dyDescent="0.3">
      <c r="C109" s="349" t="str">
        <f>'1_Manufacturing'!EJ28</f>
        <v>NMC111</v>
      </c>
      <c r="D109" s="349" t="str">
        <f>'1_Manufacturing'!EK28</f>
        <v>LFP: hydrothermal</v>
      </c>
      <c r="O109" s="350"/>
      <c r="P109" s="350"/>
    </row>
    <row r="110" spans="2:16" x14ac:dyDescent="0.3">
      <c r="B110" s="413" t="str">
        <f>'1_Manufacturing'!A28&amp;" "&amp;'1_Manufacturing'!B28</f>
        <v>Battery specifc energy [kWh/kg]</v>
      </c>
      <c r="C110" s="349">
        <f>'1_Manufacturing'!EJ29</f>
        <v>0.14262303541417382</v>
      </c>
      <c r="D110" s="349">
        <f>'1_Manufacturing'!EK29</f>
        <v>0.11591337982671381</v>
      </c>
      <c r="O110" s="350"/>
      <c r="P110" s="350"/>
    </row>
    <row r="111" spans="2:16" x14ac:dyDescent="0.3">
      <c r="O111" s="350"/>
      <c r="P111" s="350"/>
    </row>
    <row r="112" spans="2:16" x14ac:dyDescent="0.3">
      <c r="O112" s="350"/>
      <c r="P112" s="350"/>
    </row>
  </sheetData>
  <mergeCells count="1">
    <mergeCell ref="B19:H33"/>
  </mergeCells>
  <pageMargins left="0" right="0" top="0" bottom="0" header="0" footer="0"/>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7BC143"/>
  </sheetPr>
  <dimension ref="A1:H9"/>
  <sheetViews>
    <sheetView workbookViewId="0">
      <selection activeCell="B18" sqref="B18"/>
    </sheetView>
  </sheetViews>
  <sheetFormatPr defaultRowHeight="13.2" x14ac:dyDescent="0.25"/>
  <cols>
    <col min="1" max="2" width="11" customWidth="1"/>
    <col min="3" max="3" width="10.44140625" customWidth="1"/>
    <col min="4" max="4" width="13.109375" customWidth="1"/>
    <col min="5" max="8" width="10.44140625" customWidth="1"/>
  </cols>
  <sheetData>
    <row r="1" spans="1:8" x14ac:dyDescent="0.25">
      <c r="A1" s="647" t="s">
        <v>1410</v>
      </c>
      <c r="B1" s="647" t="s">
        <v>455</v>
      </c>
      <c r="C1" s="645" t="s">
        <v>1411</v>
      </c>
      <c r="D1" s="646"/>
      <c r="E1" s="646"/>
      <c r="F1" s="646"/>
      <c r="G1" s="646"/>
      <c r="H1" s="646"/>
    </row>
    <row r="2" spans="1:8" ht="27.6" x14ac:dyDescent="0.25">
      <c r="A2" s="648"/>
      <c r="B2" s="648"/>
      <c r="C2" s="615" t="s">
        <v>1003</v>
      </c>
      <c r="D2" s="615" t="s">
        <v>1400</v>
      </c>
      <c r="E2" s="615" t="s">
        <v>785</v>
      </c>
      <c r="F2" s="615" t="s">
        <v>1409</v>
      </c>
      <c r="G2" s="615" t="s">
        <v>759</v>
      </c>
      <c r="H2" s="615" t="s">
        <v>1402</v>
      </c>
    </row>
    <row r="3" spans="1:8" ht="27.6" x14ac:dyDescent="0.25">
      <c r="A3" s="642" t="s">
        <v>1399</v>
      </c>
      <c r="B3" s="611" t="s">
        <v>916</v>
      </c>
      <c r="C3" s="616">
        <v>-0.39</v>
      </c>
      <c r="D3" s="616">
        <v>-0.33</v>
      </c>
      <c r="E3" s="616">
        <v>-0.06</v>
      </c>
      <c r="F3" s="616"/>
      <c r="G3" s="616"/>
      <c r="H3" s="616">
        <v>0.08</v>
      </c>
    </row>
    <row r="4" spans="1:8" ht="27.6" x14ac:dyDescent="0.25">
      <c r="A4" s="644"/>
      <c r="B4" s="612" t="s">
        <v>917</v>
      </c>
      <c r="C4" s="617" t="s">
        <v>1404</v>
      </c>
      <c r="D4" s="617" t="s">
        <v>1403</v>
      </c>
      <c r="E4" s="617">
        <v>-0.05</v>
      </c>
      <c r="F4" s="617"/>
      <c r="G4" s="617"/>
      <c r="H4" s="617">
        <f>22%*0.4</f>
        <v>8.8000000000000009E-2</v>
      </c>
    </row>
    <row r="5" spans="1:8" ht="27.6" x14ac:dyDescent="0.25">
      <c r="A5" s="642" t="s">
        <v>1405</v>
      </c>
      <c r="B5" s="611" t="s">
        <v>916</v>
      </c>
      <c r="C5" s="616"/>
      <c r="D5" s="616" t="s">
        <v>1406</v>
      </c>
      <c r="E5" s="616">
        <f>H5</f>
        <v>-0.1</v>
      </c>
      <c r="F5" s="616"/>
      <c r="G5" s="616"/>
      <c r="H5" s="616">
        <v>-0.1</v>
      </c>
    </row>
    <row r="6" spans="1:8" ht="13.8" x14ac:dyDescent="0.25">
      <c r="A6" s="644"/>
      <c r="B6" s="613" t="s">
        <v>917</v>
      </c>
      <c r="C6" s="617"/>
      <c r="D6" s="617" t="s">
        <v>1407</v>
      </c>
      <c r="E6" s="617">
        <f>H6</f>
        <v>-0.1</v>
      </c>
      <c r="F6" s="617"/>
      <c r="G6" s="617"/>
      <c r="H6" s="617">
        <v>-0.1</v>
      </c>
    </row>
    <row r="7" spans="1:8" ht="27.6" x14ac:dyDescent="0.25">
      <c r="A7" s="642" t="s">
        <v>1401</v>
      </c>
      <c r="B7" s="614" t="s">
        <v>916</v>
      </c>
      <c r="C7" s="616">
        <v>-0.15</v>
      </c>
      <c r="D7" s="616">
        <v>-0.1</v>
      </c>
      <c r="E7" s="616">
        <v>-0.15</v>
      </c>
      <c r="F7" s="616">
        <v>-0.37</v>
      </c>
      <c r="G7" s="616">
        <v>-0.09</v>
      </c>
      <c r="H7" s="616">
        <v>0.08</v>
      </c>
    </row>
    <row r="8" spans="1:8" ht="13.8" x14ac:dyDescent="0.25">
      <c r="A8" s="643"/>
      <c r="B8" s="613" t="s">
        <v>917</v>
      </c>
      <c r="C8" s="617" t="s">
        <v>1408</v>
      </c>
      <c r="D8" s="617">
        <v>-0.28999999999999998</v>
      </c>
      <c r="E8" s="617" t="s">
        <v>1408</v>
      </c>
      <c r="F8" s="617">
        <v>-0.47</v>
      </c>
      <c r="G8" s="617">
        <v>-0.12</v>
      </c>
      <c r="H8" s="617">
        <v>0.03</v>
      </c>
    </row>
    <row r="9" spans="1:8" ht="13.8" x14ac:dyDescent="0.25">
      <c r="A9" s="644"/>
      <c r="B9" s="614" t="s">
        <v>918</v>
      </c>
      <c r="C9" s="616">
        <f>-40%*0.64</f>
        <v>-0.25600000000000001</v>
      </c>
      <c r="D9" s="616">
        <f>-8%-6%-6%</f>
        <v>-0.2</v>
      </c>
      <c r="E9" s="616">
        <f>-40%*0.36</f>
        <v>-0.14399999999999999</v>
      </c>
      <c r="F9" s="616">
        <v>-0.52</v>
      </c>
      <c r="G9" s="616"/>
      <c r="H9" s="616"/>
    </row>
  </sheetData>
  <mergeCells count="6">
    <mergeCell ref="A7:A9"/>
    <mergeCell ref="A3:A4"/>
    <mergeCell ref="C1:H1"/>
    <mergeCell ref="A1:A2"/>
    <mergeCell ref="B1:B2"/>
    <mergeCell ref="A5:A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EL121"/>
  <sheetViews>
    <sheetView topLeftCell="DF46" zoomScale="85" zoomScaleNormal="85" workbookViewId="0">
      <selection activeCell="EF88" sqref="EF88"/>
    </sheetView>
  </sheetViews>
  <sheetFormatPr defaultColWidth="9.109375" defaultRowHeight="13.8" x14ac:dyDescent="0.3"/>
  <cols>
    <col min="1" max="1" width="41.21875" style="21" bestFit="1" customWidth="1"/>
    <col min="2" max="2" width="11.5546875" style="21" customWidth="1"/>
    <col min="3" max="3" width="25.77734375" style="21" bestFit="1" customWidth="1"/>
    <col min="4" max="134" width="11" style="21" customWidth="1"/>
    <col min="135" max="16384" width="9.109375" style="21"/>
  </cols>
  <sheetData>
    <row r="1" spans="1:138" x14ac:dyDescent="0.3">
      <c r="D1" s="21" t="s">
        <v>64</v>
      </c>
    </row>
    <row r="2" spans="1:138" s="174" customFormat="1" ht="151.80000000000001" x14ac:dyDescent="0.25">
      <c r="C2" s="174" t="s">
        <v>62</v>
      </c>
      <c r="D2" s="174" t="str">
        <f>'1_Manufacturing'!D2</f>
        <v>Private e-scooter</v>
      </c>
      <c r="E2" s="174" t="str">
        <f>'1_Manufacturing'!E2</f>
        <v>Shared e-scooter (first generation, worst case)</v>
      </c>
      <c r="F2" s="174" t="str">
        <f>'1_Manufacturing'!F2</f>
        <v>Shared e-scooter (first generation, best case)</v>
      </c>
      <c r="G2" s="174" t="str">
        <f>'1_Manufacturing'!G2</f>
        <v>Shared e-scooter (first generation central case, daily distance 50% lower)</v>
      </c>
      <c r="H2" s="174" t="str">
        <f>'1_Manufacturing'!H2</f>
        <v>Shared e-scooter (first generation central case, daily distance 50% higher)</v>
      </c>
      <c r="I2" s="174" t="str">
        <f>'1_Manufacturing'!I2</f>
        <v>Shared e-scooter (first generation central case, low-carbon EVs for operational services)</v>
      </c>
      <c r="J2" s="174" t="str">
        <f>'1_Manufacturing'!J2</f>
        <v>Shared e-scooter (first generation central case, EVs for operational services)</v>
      </c>
      <c r="K2" s="174" t="str">
        <f>'1_Manufacturing'!J2</f>
        <v>Shared e-scooter (first generation central case, EVs for operational services)</v>
      </c>
      <c r="L2" s="174" t="str">
        <f>'1_Manufacturing'!L2</f>
        <v>Shared e-scooter (first generation central case, 50% less vehicles per servcing trip)</v>
      </c>
      <c r="M2" s="174" t="str">
        <f>'1_Manufacturing'!M2</f>
        <v>Shared e-scooter (first generation central case, vehicle servicing distance 50% down)</v>
      </c>
      <c r="N2" s="174" t="str">
        <f>'1_Manufacturing'!N2</f>
        <v>Shared e-scooter (first generation central case, vehicle servicing distance 50% up)</v>
      </c>
      <c r="O2" s="174" t="str">
        <f>'1_Manufacturing'!O2</f>
        <v>Shared e-scooter (first generation central case, 50% higher lifetime)</v>
      </c>
      <c r="P2" s="174" t="str">
        <f>'1_Manufacturing'!P2</f>
        <v>Shared e-scooter (first generation central case, 50% lower lifetime)</v>
      </c>
      <c r="Q2" s="174" t="str">
        <f>'1_Manufacturing'!Q2</f>
        <v>Shared e-scooter (first generation central case, 25% less battery capacity)</v>
      </c>
      <c r="R2" s="174" t="str">
        <f>'1_Manufacturing'!R2</f>
        <v>Shared e-scooter (first generation central case, 25% more battery capacity)</v>
      </c>
      <c r="S2" s="174" t="str">
        <f>'1_Manufacturing'!S2</f>
        <v>Shared e-scooter (first generation central case, 25% heavier vehicle)</v>
      </c>
      <c r="T2" s="174" t="str">
        <f>'1_Manufacturing'!T2</f>
        <v>Shared e-scooter (first generation central case, low carbon Al smelting)</v>
      </c>
      <c r="U2" s="174" t="str">
        <f>'1_Manufacturing'!U2</f>
        <v>Shared e-scooter (first generation central case, high carbon electricity in use phase)</v>
      </c>
      <c r="V2" s="174" t="str">
        <f>'1_Manufacturing'!V2</f>
        <v>Shared e-scooter (first generation central case, low carbon electricity in use phase)</v>
      </c>
      <c r="W2" s="174" t="str">
        <f>'1_Manufacturing'!W2</f>
        <v>Shared e-scooter (first generation, central case)</v>
      </c>
      <c r="X2" s="174" t="str">
        <f>'1_Manufacturing'!X2</f>
        <v>Shared e-scooter (new generation),- All improvements combined</v>
      </c>
      <c r="Y2" s="174" t="str">
        <f>'1_Manufacturing'!Y2</f>
        <v>Shared e-scooter (new generation) - Low-carbon electricity in use phase</v>
      </c>
      <c r="Z2" s="174" t="str">
        <f>'1_Manufacturing'!Z2</f>
        <v>Shared e-scooter (new generation) - 50% lower service distance</v>
      </c>
      <c r="AA2" s="174" t="str">
        <f>'1_Manufacturing'!AA2</f>
        <v>Shared e-scooter (new generation) - 50% higher daily e-scooter distance</v>
      </c>
      <c r="AB2" s="174" t="str">
        <f>'1_Manufacturing'!AB2</f>
        <v>Shared e-scooter (new generation) - Low carbon Al smelting</v>
      </c>
      <c r="AC2" s="174" t="str">
        <f>'1_Manufacturing'!AC2</f>
        <v>Shared e-scooter (new generation) - Low-carbon EVs for operational services</v>
      </c>
      <c r="AD2" s="174" t="str">
        <f>'1_Manufacturing'!AD2</f>
        <v>Shared e-scooter (new generation) - 50% more vehicles per servicing trip</v>
      </c>
      <c r="AE2" s="174" t="str">
        <f>'1_Manufacturing'!AE2</f>
        <v>Shared e-scooter (new generation) - Central case</v>
      </c>
      <c r="AF2" s="174" t="str">
        <f>'1_Manufacturing'!AF2</f>
        <v>Shared e-scooter (Hollingsworth et al. 2019 simulation)</v>
      </c>
      <c r="AG2" s="174" t="str">
        <f>'1_Manufacturing'!AG2</f>
        <v>Private bike</v>
      </c>
      <c r="AH2" s="174" t="str">
        <f>'1_Manufacturing'!AH2</f>
        <v>Private e-bike</v>
      </c>
      <c r="AI2" s="174" t="str">
        <f>'1_Manufacturing'!AI2</f>
        <v>Shared bike</v>
      </c>
      <c r="AJ2" s="174" t="str">
        <f>'1_Manufacturing'!AJ2</f>
        <v>Shared e-bike</v>
      </c>
      <c r="AK2" s="174" t="str">
        <f>'1_Manufacturing'!AK2</f>
        <v>Private moped - ICE</v>
      </c>
      <c r="AL2" s="174" t="str">
        <f>'1_Manufacturing'!AL2</f>
        <v>Private moped - BEV</v>
      </c>
      <c r="AM2" s="174" t="str">
        <f>'1_Manufacturing'!AM2</f>
        <v>Shared moped - ICE</v>
      </c>
      <c r="AN2" s="174" t="str">
        <f>'1_Manufacturing'!AN2</f>
        <v>Shared moped - BEV</v>
      </c>
      <c r="AO2" s="174" t="str">
        <f>'1_Manufacturing'!AO2</f>
        <v>Private car - ICE</v>
      </c>
      <c r="AP2" s="174" t="str">
        <f>'1_Manufacturing'!AP2</f>
        <v>Private car - HEV</v>
      </c>
      <c r="AQ2" s="174" t="str">
        <f>'1_Manufacturing'!AQ2</f>
        <v>Private car - PHEV</v>
      </c>
      <c r="AR2" s="174" t="str">
        <f>'1_Manufacturing'!AR2</f>
        <v>AVAILABLE</v>
      </c>
      <c r="AS2" s="174" t="str">
        <f>'1_Manufacturing'!AS2</f>
        <v>Private car - BEV (high carbon intensity of electricity in use phase)</v>
      </c>
      <c r="AT2" s="174" t="str">
        <f>'1_Manufacturing'!AT2</f>
        <v>Private car - BEV (low carbon intensity of electricity in use phase)</v>
      </c>
      <c r="AU2" s="174" t="str">
        <f>'1_Manufacturing'!AU2</f>
        <v>Private car - BEV (Lower carbon intensity of battery manufacturing)</v>
      </c>
      <c r="AV2" s="174" t="str">
        <f>'1_Manufacturing'!AV2</f>
        <v>Private car - BEV (25% smaller battery)</v>
      </c>
      <c r="AW2" s="174" t="str">
        <f>'1_Manufacturing'!AW2</f>
        <v>Private car - BEV (25% larger battery)</v>
      </c>
      <c r="AX2" s="174" t="str">
        <f>'1_Manufacturing'!AX2</f>
        <v>Private car - BEV</v>
      </c>
      <c r="AY2" s="174" t="str">
        <f>'1_Manufacturing'!AX2</f>
        <v>Private car - BEV</v>
      </c>
      <c r="AZ2" s="174" t="str">
        <f>'1_Manufacturing'!AX2</f>
        <v>Private car - BEV</v>
      </c>
      <c r="BA2" s="174" t="str">
        <f>'1_Manufacturing'!AY2</f>
        <v>Private car - FCEV (hydrogen from electrolysis, 100% natural gas electricity)</v>
      </c>
      <c r="BB2" s="174" t="str">
        <f>'1_Manufacturing'!BB2</f>
        <v>Private car - FCEV</v>
      </c>
      <c r="BC2" s="174" t="str">
        <f>'1_Manufacturing'!AZ2</f>
        <v>Private car - FCEV (hydrogen from electrolysis, 100% renewable electricity)</v>
      </c>
      <c r="BD2" s="174" t="str">
        <f>'1_Manufacturing'!BA2</f>
        <v>Private car - FCEV (hydrogen from electrolysis, global grid mix)</v>
      </c>
      <c r="BE2" s="174" t="str">
        <f>'1_Manufacturing'!BB2</f>
        <v>Private car - FCEV</v>
      </c>
      <c r="BF2" s="174" t="str">
        <f>'1_Manufacturing'!BF2</f>
        <v>Ridesourcing - car - ICE (single passenger on board, no change in deadheading km share)</v>
      </c>
      <c r="BG2" s="174" t="str">
        <f>'1_Manufacturing'!BG2</f>
        <v>Ridesourcing - car - ICE (two passengers on board, no change in deadheading km share)</v>
      </c>
      <c r="BH2" s="174" t="str">
        <f>'1_Manufacturing'!BH2</f>
        <v>Ridesourcing - car - ICE (25% higher average load: 1,94 passengers on board, no change in deadheading km share)</v>
      </c>
      <c r="BI2" s="174" t="str">
        <f>'1_Manufacturing'!BI2</f>
        <v>Ridesourcing - car - ICE</v>
      </c>
      <c r="BJ2" s="174" t="str">
        <f>'1_Manufacturing'!BJ2</f>
        <v>Ridesourcing - car - HEV</v>
      </c>
      <c r="BK2" s="174" t="str">
        <f>'1_Manufacturing'!BK2</f>
        <v>Ridesourcing - car - PHEV</v>
      </c>
      <c r="BL2" s="174" t="str">
        <f>'1_Manufacturing'!BL2</f>
        <v>Ridesourcing - car - BEV single passenger on board, no change in deadheading km share)</v>
      </c>
      <c r="BM2" s="174" t="str">
        <f>'1_Manufacturing'!BM2</f>
        <v>Ridesourcing - car - BEV two passengers on board, no change in deadheading km share)</v>
      </c>
      <c r="BN2" s="174" t="str">
        <f>'1_Manufacturing'!BN2</f>
        <v>Ridesourcing - car - BEV 25% higher average load: 1,94 passengers on board, no change in deadheading km share)</v>
      </c>
      <c r="BO2" s="174" t="str">
        <f>'1_Manufacturing'!BO2</f>
        <v>Ridesourcing - car - BEV (high carbon intensity of electricity in use phase)</v>
      </c>
      <c r="BP2" s="174" t="str">
        <f>'1_Manufacturing'!BP2</f>
        <v>Ridesourcing - car - BEV (low carbon intensity of electricity in use phase)</v>
      </c>
      <c r="BQ2" s="174" t="str">
        <f>'1_Manufacturing'!BQ2</f>
        <v>Ridesourcing - car - BEV (Lower carbon intensity of battery manufacturing)</v>
      </c>
      <c r="BR2" s="174" t="str">
        <f>'1_Manufacturing'!BR2</f>
        <v>Ridesourcing - car - BEV (25% smaller battery)</v>
      </c>
      <c r="BS2" s="174" t="str">
        <f>'1_Manufacturing'!BS2</f>
        <v>Ridesourcing - car - BEV (25% larger battery)</v>
      </c>
      <c r="BT2" s="174" t="str">
        <f>'1_Manufacturing'!BT2</f>
        <v>Ridesourcing - car - BEV</v>
      </c>
      <c r="BU2" s="472" t="str">
        <f>'1_Manufacturing'!BU2</f>
        <v>Ridesourcing - car - BEV (two packs) single passenger on board, no change in deadheading km share)</v>
      </c>
      <c r="BV2" s="472" t="str">
        <f>'1_Manufacturing'!BV2</f>
        <v>Ridesourcing - car - BEV (two packs) two passengers on board, no change in deadheading km share)</v>
      </c>
      <c r="BW2" s="472" t="str">
        <f>'1_Manufacturing'!BW2</f>
        <v>Ridesourcing - car - BEV (two packs) 25% higher average load: 1,94 passengers on board, no change in deadheading km share)</v>
      </c>
      <c r="BX2" s="472" t="str">
        <f>'1_Manufacturing'!BX2</f>
        <v>Ridesourcing - car - BEV (two packs) (high carbon intensity of electricity in use phase)</v>
      </c>
      <c r="BY2" s="472" t="str">
        <f>'1_Manufacturing'!BY2</f>
        <v>Ridesourcing - car - BEV (two packs) (low carbon intensity of electricity in use phase)</v>
      </c>
      <c r="BZ2" s="472" t="str">
        <f>'1_Manufacturing'!BZ2</f>
        <v>Ridesourcing - car - BEV (two packs) (Lower carbon intensity of battery manufacturing)</v>
      </c>
      <c r="CA2" s="472" t="str">
        <f>'1_Manufacturing'!CA2</f>
        <v>Ridesourcing - car - BEV (two packs) (25% smaller battery)</v>
      </c>
      <c r="CB2" s="472" t="str">
        <f>'1_Manufacturing'!CB2</f>
        <v>Ridesourcing - car - BEV (two packs) (25% larger battery)</v>
      </c>
      <c r="CC2" s="472" t="str">
        <f>'1_Manufacturing'!CC2</f>
        <v>Ridesourcing - car - BEV (two packs)</v>
      </c>
      <c r="CD2" s="174" t="str">
        <f>'1_Manufacturing'!CD2</f>
        <v>Ridesourcing car - FCEV (hydrogen from electrolysis, 100% natural gas electricity)</v>
      </c>
      <c r="CE2" s="174" t="str">
        <f>'1_Manufacturing'!CE2</f>
        <v>Ridesourcing car - FCEV (hydrogen from electrolysis, 100% renewable electricity)</v>
      </c>
      <c r="CF2" s="174" t="str">
        <f>'1_Manufacturing'!CF2</f>
        <v>Ridesourcing car - FCEV (hydrogen from electrolysis, global grid mix)</v>
      </c>
      <c r="CG2" s="174" t="str">
        <f>'1_Manufacturing'!CG2</f>
        <v>Ridesourcing - car - FCEV</v>
      </c>
      <c r="CH2" s="174" t="str">
        <f>'1_Manufacturing'!CH2</f>
        <v>Taxi  ICE</v>
      </c>
      <c r="CI2" s="174" t="str">
        <f>'1_Manufacturing'!CI2</f>
        <v>Taxi  HEV</v>
      </c>
      <c r="CJ2" s="174" t="str">
        <f>'1_Manufacturing'!CJ2</f>
        <v>Taxi  PHEV</v>
      </c>
      <c r="CK2" s="174" t="str">
        <f>'1_Manufacturing'!CK2</f>
        <v>Taxi  BEV</v>
      </c>
      <c r="CL2" s="174" t="str">
        <f>'1_Manufacturing'!CL2</f>
        <v>Taxi  BEV (two packs)</v>
      </c>
      <c r="CM2" s="174" t="str">
        <f>'1_Manufacturing'!CM2</f>
        <v>Taxi - FCEV</v>
      </c>
      <c r="CN2" s="174" t="str">
        <f>'1_Manufacturing'!CN2</f>
        <v>Large Private car - ICE</v>
      </c>
      <c r="CO2" s="174" t="str">
        <f>'1_Manufacturing'!CO2</f>
        <v>Large Private car - HEV</v>
      </c>
      <c r="CP2" s="174" t="str">
        <f>'1_Manufacturing'!CP2</f>
        <v>Large Private car - PHEV</v>
      </c>
      <c r="CQ2" s="174" t="str">
        <f>'1_Manufacturing'!CQ2</f>
        <v>Large Private car - BEV</v>
      </c>
      <c r="CR2" s="174" t="str">
        <f>'1_Manufacturing'!CR2</f>
        <v>Large Private car - FCEV</v>
      </c>
      <c r="CS2" s="174" t="str">
        <f>'1_Manufacturing'!CS2</f>
        <v>Ridesourcing - Large car - ICE</v>
      </c>
      <c r="CT2" s="174" t="str">
        <f>'1_Manufacturing'!CT2</f>
        <v>Ridesourcing - Large car - HEV</v>
      </c>
      <c r="CU2" s="174" t="str">
        <f>'1_Manufacturing'!CU2</f>
        <v>Ridesourcing - Large car - PHEV</v>
      </c>
      <c r="CV2" s="174" t="str">
        <f>'1_Manufacturing'!CV2</f>
        <v>Ridesourcing - Large car - BEV</v>
      </c>
      <c r="CW2" s="472" t="str">
        <f>'1_Manufacturing'!CW2</f>
        <v>Ridesourcing - Large car - BEV (two packs)</v>
      </c>
      <c r="CX2" s="174" t="str">
        <f>'1_Manufacturing'!CX2</f>
        <v>Ridesourcing - Large car - FCEV</v>
      </c>
      <c r="CY2" s="174" t="str">
        <f>'1_Manufacturing'!CY2</f>
        <v>Ridesourcing - Shared van - ICE</v>
      </c>
      <c r="CZ2" s="174" t="str">
        <f>'1_Manufacturing'!CZ2</f>
        <v>Ridesourcing - Shared van - HEV</v>
      </c>
      <c r="DA2" s="174" t="str">
        <f>'1_Manufacturing'!DA2</f>
        <v>Ridesourcing - Shared van - PHEV</v>
      </c>
      <c r="DB2" s="174" t="str">
        <f>'1_Manufacturing'!DB2</f>
        <v>Ridesourcing - Shared van - BEV</v>
      </c>
      <c r="DC2" s="472" t="str">
        <f>'1_Manufacturing'!DC2</f>
        <v>Ridesourcing - Shared van - BEV (two packs)</v>
      </c>
      <c r="DD2" s="174" t="str">
        <f>'1_Manufacturing'!DD2</f>
        <v>Ridesourcing - Shared van - FCEV</v>
      </c>
      <c r="DE2" s="174" t="str">
        <f>'1_Manufacturing'!DE2</f>
        <v>Ridesourcing - Shared minibus - ICE</v>
      </c>
      <c r="DF2" s="174" t="str">
        <f>'1_Manufacturing'!DF2</f>
        <v>Ridesourcing - Shared minibus - HEV</v>
      </c>
      <c r="DH2" s="174" t="str">
        <f>'1_Manufacturing'!DH2</f>
        <v>Ridesourcing - Shared minibus - BEV</v>
      </c>
      <c r="DI2" s="472" t="str">
        <f>'1_Manufacturing'!DI2</f>
        <v>Ridesourcing - Shared minibus - BEV (two packs)</v>
      </c>
      <c r="DJ2" s="174" t="str">
        <f>'1_Manufacturing'!DJ2</f>
        <v>Ridesourcing - Shared minibus - FCEV</v>
      </c>
      <c r="DK2" s="174" t="str">
        <f>'1_Manufacturing'!DK2</f>
        <v>Bus - ICE (lifetime 25% lower)</v>
      </c>
      <c r="DL2" s="174" t="str">
        <f>'1_Manufacturing'!DL2</f>
        <v>Bus - ICE (lifetime 25% larger)</v>
      </c>
      <c r="DM2" s="174" t="str">
        <f>'1_Manufacturing'!DM2</f>
        <v>Bus - ICE (100% bus lane)</v>
      </c>
      <c r="DN2" s="174" t="str">
        <f>'1_Manufacturing'!DN2</f>
        <v>Bus - ICE (deadheading doubled)</v>
      </c>
      <c r="DO2" s="174" t="str">
        <f>'1_Manufacturing'!DO2</f>
        <v>Bus - ICE (ridership down by 50%)</v>
      </c>
      <c r="DP2" s="174" t="str">
        <f>'1_Manufacturing'!DP2</f>
        <v>Bus - ICE (ridership up by 50%)</v>
      </c>
      <c r="DQ2" s="174" t="str">
        <f>'1_Manufacturing'!DQ2</f>
        <v>Bus - ICE</v>
      </c>
      <c r="DR2" s="174" t="str">
        <f>'1_Manufacturing'!DR2</f>
        <v>Bus - HEV</v>
      </c>
      <c r="DS2" s="174" t="str">
        <f>'1_Manufacturing'!DS2</f>
        <v>Bus - BEV (two packs, 100% zero-carbon electricity)</v>
      </c>
      <c r="DT2" s="174" t="str">
        <f>'1_Manufacturing'!DT2</f>
        <v>Bus - BEV (two packs)</v>
      </c>
      <c r="DU2" s="174" t="str">
        <f>'1_Manufacturing'!DU2</f>
        <v>Bus - BEV</v>
      </c>
      <c r="DV2" s="174" t="str">
        <f>'1_Manufacturing'!DV2</f>
        <v>Bus - FCEV, hydrogen from electrolysis (100% zero-carbon electricity)</v>
      </c>
      <c r="DW2" s="174" t="str">
        <f>'1_Manufacturing'!DW2</f>
        <v>Bus - FCEV</v>
      </c>
      <c r="DX2" s="174" t="str">
        <f>'1_Manufacturing'!DX2</f>
        <v>Metro/urban train (infrastructure lifetime 25% higher)</v>
      </c>
      <c r="DY2" s="174" t="str">
        <f>'1_Manufacturing'!DY2</f>
        <v>Metro/urban train (infrastructure lifetime 25% lower)</v>
      </c>
      <c r="DZ2" s="174" t="str">
        <f>'1_Manufacturing'!DZ2</f>
        <v>Metro/urban train (network usage frequency down by 25%)</v>
      </c>
      <c r="EA2" s="174" t="str">
        <f>'1_Manufacturing'!EA2</f>
        <v>Metro/urban train (network usage frequency up by 25%)</v>
      </c>
      <c r="EB2" s="174" t="str">
        <f>'1_Manufacturing'!EB2</f>
        <v>Metro/urban train (ridership per train down by 50%)</v>
      </c>
      <c r="EC2" s="174" t="str">
        <f>'1_Manufacturing'!EC2</f>
        <v>Metro/urban train (ridership per train up by 50%)</v>
      </c>
      <c r="ED2" s="174" t="str">
        <f>'1_Manufacturing'!ED2</f>
        <v>Metro/urban train</v>
      </c>
    </row>
    <row r="3" spans="1:138" x14ac:dyDescent="0.3">
      <c r="A3" s="21" t="s">
        <v>61</v>
      </c>
      <c r="B3" s="21" t="s">
        <v>79</v>
      </c>
      <c r="C3" s="21" t="s">
        <v>63</v>
      </c>
      <c r="D3" s="42">
        <v>17.5</v>
      </c>
      <c r="E3" s="42">
        <v>17.5</v>
      </c>
      <c r="F3" s="42">
        <v>17.5</v>
      </c>
      <c r="G3" s="42">
        <v>17.5</v>
      </c>
      <c r="H3" s="42">
        <v>17.5</v>
      </c>
      <c r="I3" s="42">
        <v>17.5</v>
      </c>
      <c r="J3" s="42">
        <v>17.5</v>
      </c>
      <c r="K3" s="42">
        <v>17.5</v>
      </c>
      <c r="L3" s="42">
        <v>17.5</v>
      </c>
      <c r="M3" s="42">
        <v>17.5</v>
      </c>
      <c r="N3" s="42">
        <v>17.5</v>
      </c>
      <c r="O3" s="42">
        <v>17.5</v>
      </c>
      <c r="P3" s="42">
        <v>17.5</v>
      </c>
      <c r="Q3" s="42">
        <v>17.5</v>
      </c>
      <c r="R3" s="42">
        <v>17.5</v>
      </c>
      <c r="S3" s="42">
        <v>17.5</v>
      </c>
      <c r="T3" s="42">
        <v>17.5</v>
      </c>
      <c r="U3" s="42">
        <v>17.5</v>
      </c>
      <c r="V3" s="42">
        <v>17.5</v>
      </c>
      <c r="W3" s="42">
        <v>17.5</v>
      </c>
      <c r="X3" s="589">
        <f>AVERAGE('0_Total'!$AE$10,'0_Total'!X10/'0_Total'!$W$10*$W$3,$AJ$3)</f>
        <v>33.771092260263977</v>
      </c>
      <c r="Y3" s="589">
        <f>AVERAGE('0_Total'!$AE$10,'0_Total'!Y10/'0_Total'!$W$10*$W$3,$AJ$3)</f>
        <v>33.771092260263977</v>
      </c>
      <c r="Z3" s="589">
        <f>AVERAGE('0_Total'!$AE$10,'0_Total'!Z10/'0_Total'!$W$10*$W$3,$AJ$3)</f>
        <v>33.771092260263977</v>
      </c>
      <c r="AA3" s="589">
        <f>AVERAGE('0_Total'!$AE$10,'0_Total'!AA10/'0_Total'!$W$10*$W$3,$AJ$3)</f>
        <v>33.771092260263977</v>
      </c>
      <c r="AB3" s="589">
        <f>AVERAGE('0_Total'!$AE$10,'0_Total'!AB10/'0_Total'!$W$10*$W$3,$AJ$3)</f>
        <v>33.771092260263977</v>
      </c>
      <c r="AC3" s="589">
        <f>AVERAGE('0_Total'!$AE$10,'0_Total'!AC10/'0_Total'!$W$10*$W$3,$AJ$3)</f>
        <v>33.771092260263977</v>
      </c>
      <c r="AD3" s="589">
        <f>AVERAGE('0_Total'!$AE$10,'0_Total'!AD10/'0_Total'!$W$10*$W$3,$AJ$3)</f>
        <v>33.771092260263977</v>
      </c>
      <c r="AE3" s="589">
        <f>AVERAGE('0_Total'!$AE$10,'0_Total'!AE10/'0_Total'!$W$10*$W$3,$AJ$3)</f>
        <v>33.771092260263977</v>
      </c>
      <c r="AF3" s="42">
        <v>17.5</v>
      </c>
      <c r="AG3" s="84">
        <f>Tech_Spec_Bikes!C27*$D$3/Tech_Spec_Escoot!$C$13</f>
        <v>23.34169459724033</v>
      </c>
      <c r="AH3" s="84">
        <f>Tech_Spec_Bikes!E27*$D$3/Tech_Spec_Escoot!$C$13</f>
        <v>31.35220158614392</v>
      </c>
      <c r="AI3" s="84">
        <f>Tech_Spec_Bikes!E27*$D$3/Tech_Spec_Escoot!$C$13</f>
        <v>31.35220158614392</v>
      </c>
      <c r="AJ3" s="84">
        <f>Tech_Spec_Bikes!F27*$D$3/Tech_Spec_Escoot!$C$13</f>
        <v>37.055001970696949</v>
      </c>
      <c r="AK3" s="87">
        <f>'1_Manufacturing'!AK3+IF('1_Manufacturing'!AK4=0,0,'1_Manufacturing'!AK4/'1_Manufacturing'!AK29)</f>
        <v>94</v>
      </c>
      <c r="AL3" s="87">
        <f>'1_Manufacturing'!AL3+IF('1_Manufacturing'!AL4=0,0,'1_Manufacturing'!AL4/'1_Manufacturing'!AL29)</f>
        <v>91.983145214843333</v>
      </c>
      <c r="AM3" s="87">
        <f>'1_Manufacturing'!AM3+IF('1_Manufacturing'!AM4=0,0,'1_Manufacturing'!AM4/'1_Manufacturing'!AM29)</f>
        <v>94</v>
      </c>
      <c r="AN3" s="87">
        <f>'1_Manufacturing'!AN3+IF('1_Manufacturing'!AN4=0,0,'1_Manufacturing'!AN4/'1_Manufacturing'!AN29)</f>
        <v>101.09808233720111</v>
      </c>
      <c r="AO3" s="87">
        <f>'1_Manufacturing'!AO3+IF('1_Manufacturing'!AO4=0,0,'1_Manufacturing'!AO4/'1_Manufacturing'!AO29)</f>
        <v>1494.1010327851752</v>
      </c>
      <c r="AP3" s="87">
        <f>'1_Manufacturing'!AP3+IF('1_Manufacturing'!AP4=0,0,'1_Manufacturing'!AP4/'1_Manufacturing'!AP29)</f>
        <v>1596.4836027735073</v>
      </c>
      <c r="AQ3" s="87">
        <f>'1_Manufacturing'!AQ3+IF('1_Manufacturing'!AQ4=0,0,'1_Manufacturing'!AQ4/'1_Manufacturing'!AQ29)</f>
        <v>1768.560209140046</v>
      </c>
      <c r="AR3" s="87">
        <f>'1_Manufacturing'!AR3+IF('1_Manufacturing'!AR4=0,0,'1_Manufacturing'!AR4/'1_Manufacturing'!AR29)</f>
        <v>1813.2955788453769</v>
      </c>
      <c r="AS3" s="87">
        <f>'1_Manufacturing'!AS3+IF('1_Manufacturing'!AS4=0,0,'1_Manufacturing'!AS4/'1_Manufacturing'!AS29)</f>
        <v>1813.2955788453769</v>
      </c>
      <c r="AT3" s="87">
        <f>'1_Manufacturing'!AT3+IF('1_Manufacturing'!AT4=0,0,'1_Manufacturing'!AT4/'1_Manufacturing'!AT29)</f>
        <v>1813.2955788453769</v>
      </c>
      <c r="AU3" s="87">
        <f>'1_Manufacturing'!AU3+IF('1_Manufacturing'!AU4=0,0,'1_Manufacturing'!AU4/'1_Manufacturing'!AU29)</f>
        <v>1813.2955788453769</v>
      </c>
      <c r="AV3" s="87">
        <f>'1_Manufacturing'!AV3+IF('1_Manufacturing'!AV4=0,0,'1_Manufacturing'!AV4/'1_Manufacturing'!AV29)</f>
        <v>1708.1232274335564</v>
      </c>
      <c r="AW3" s="87">
        <f>'1_Manufacturing'!AW3+IF('1_Manufacturing'!AW4=0,0,'1_Manufacturing'!AW4/'1_Manufacturing'!AW29)</f>
        <v>1918.4679302571972</v>
      </c>
      <c r="AX3" s="87">
        <f>'1_Manufacturing'!AX3+IF('1_Manufacturing'!AX4=0,0,'1_Manufacturing'!AX4/'1_Manufacturing'!AX29)</f>
        <v>1813.2955788453769</v>
      </c>
      <c r="AY3" s="87">
        <f>'1_Manufacturing'!AY3+IF('1_Manufacturing'!AY4=0,0,'1_Manufacturing'!AY4/'1_Manufacturing'!AY29)</f>
        <v>1693.6179715669675</v>
      </c>
      <c r="AZ3" s="87">
        <f>'1_Manufacturing'!AZ3+IF('1_Manufacturing'!AZ4=0,0,'1_Manufacturing'!AZ4/'1_Manufacturing'!AZ29)</f>
        <v>1693.6179715669675</v>
      </c>
      <c r="BA3" s="87">
        <f>'1_Manufacturing'!BA3+IF('1_Manufacturing'!BA4=0,0,'1_Manufacturing'!BA4/'1_Manufacturing'!BA29)</f>
        <v>1693.6179715669675</v>
      </c>
      <c r="BB3" s="87">
        <f>'1_Manufacturing'!BB3+IF('1_Manufacturing'!BB4=0,0,'1_Manufacturing'!BB4/'1_Manufacturing'!BB29)</f>
        <v>1693.6179715669675</v>
      </c>
      <c r="BC3" s="87">
        <f>'1_Manufacturing'!BC3+IF('1_Manufacturing'!BC4=0,0,'1_Manufacturing'!BC4/'1_Manufacturing'!BC29)</f>
        <v>1494.1010327851752</v>
      </c>
      <c r="BD3" s="87">
        <f>'1_Manufacturing'!BD3+IF('1_Manufacturing'!BD4=0,0,'1_Manufacturing'!BD4/'1_Manufacturing'!BD29)</f>
        <v>1494.1010327851752</v>
      </c>
      <c r="BE3" s="87">
        <f>'1_Manufacturing'!BE3+IF('1_Manufacturing'!BE4=0,0,'1_Manufacturing'!BE4/'1_Manufacturing'!BE29)</f>
        <v>1494.1010327851752</v>
      </c>
      <c r="BF3" s="87">
        <f>'1_Manufacturing'!BF3+IF('1_Manufacturing'!BF4=0,0,'1_Manufacturing'!BF4/'1_Manufacturing'!BF29)</f>
        <v>1494.1010327851752</v>
      </c>
      <c r="BG3" s="87">
        <f>'1_Manufacturing'!BG3+IF('1_Manufacturing'!BG4=0,0,'1_Manufacturing'!BG4/'1_Manufacturing'!BG29)</f>
        <v>1494.1010327851752</v>
      </c>
      <c r="BH3" s="87">
        <f>'1_Manufacturing'!BH3+IF('1_Manufacturing'!BH4=0,0,'1_Manufacturing'!BH4/'1_Manufacturing'!BH29)</f>
        <v>1494.1010327851752</v>
      </c>
      <c r="BI3" s="87">
        <f>'1_Manufacturing'!BI3+IF('1_Manufacturing'!BI4=0,0,'1_Manufacturing'!BI4/'1_Manufacturing'!BI29)</f>
        <v>1494.1010327851752</v>
      </c>
      <c r="BJ3" s="87">
        <f>'1_Manufacturing'!BJ3+IF('1_Manufacturing'!BJ4=0,0,'1_Manufacturing'!BJ4/'1_Manufacturing'!BJ29)</f>
        <v>1596.4836027735073</v>
      </c>
      <c r="BK3" s="87">
        <f>'1_Manufacturing'!BK3+IF('1_Manufacturing'!BK4=0,0,'1_Manufacturing'!BK4/'1_Manufacturing'!BK29)</f>
        <v>1768.560209140046</v>
      </c>
      <c r="BL3" s="87">
        <f>'1_Manufacturing'!BL3+IF('1_Manufacturing'!BL4=0,0,'1_Manufacturing'!BL4/'1_Manufacturing'!BL29)</f>
        <v>1883.4104797865905</v>
      </c>
      <c r="BM3" s="87">
        <f>'1_Manufacturing'!BM3+IF('1_Manufacturing'!BM4=0,0,'1_Manufacturing'!BM4/'1_Manufacturing'!BM29)</f>
        <v>1883.4104797865905</v>
      </c>
      <c r="BN3" s="87">
        <f>'1_Manufacturing'!BN3+IF('1_Manufacturing'!BN4=0,0,'1_Manufacturing'!BN4/'1_Manufacturing'!BN29)</f>
        <v>1883.4104797865905</v>
      </c>
      <c r="BO3" s="87">
        <f>'1_Manufacturing'!BO3+IF('1_Manufacturing'!BO4=0,0,'1_Manufacturing'!BO4/'1_Manufacturing'!BO29)</f>
        <v>1883.4104797865905</v>
      </c>
      <c r="BP3" s="87">
        <f>'1_Manufacturing'!BP3+IF('1_Manufacturing'!BP4=0,0,'1_Manufacturing'!BP4/'1_Manufacturing'!BP29)</f>
        <v>1883.4104797865905</v>
      </c>
      <c r="BQ3" s="87">
        <f>'1_Manufacturing'!BQ3+IF('1_Manufacturing'!BQ4=0,0,'1_Manufacturing'!BQ4/'1_Manufacturing'!BQ29)</f>
        <v>1883.4104797865905</v>
      </c>
      <c r="BR3" s="87">
        <f>'1_Manufacturing'!BR3+IF('1_Manufacturing'!BR4=0,0,'1_Manufacturing'!BR4/'1_Manufacturing'!BR29)</f>
        <v>1760.7094031394668</v>
      </c>
      <c r="BS3" s="87">
        <f>'1_Manufacturing'!BS3+IF('1_Manufacturing'!BS4=0,0,'1_Manufacturing'!BS4/'1_Manufacturing'!BS29)</f>
        <v>2006.1115564337142</v>
      </c>
      <c r="BT3" s="87">
        <f>'1_Manufacturing'!BT3+IF('1_Manufacturing'!BT4=0,0,'1_Manufacturing'!BT4/'1_Manufacturing'!BT29)</f>
        <v>1883.4104797865905</v>
      </c>
      <c r="BU3" s="87">
        <f>'1_Manufacturing'!BU3+IF('1_Manufacturing'!BU4=0,0,'1_Manufacturing'!BU4/'1_Manufacturing'!BU29)</f>
        <v>2374.2147863750861</v>
      </c>
      <c r="BV3" s="87">
        <f>'1_Manufacturing'!BV3+IF('1_Manufacturing'!BV4=0,0,'1_Manufacturing'!BV4/'1_Manufacturing'!BV29)</f>
        <v>2374.2147863750861</v>
      </c>
      <c r="BW3" s="87">
        <f>'1_Manufacturing'!BW3+IF('1_Manufacturing'!BW4=0,0,'1_Manufacturing'!BW4/'1_Manufacturing'!BW29)</f>
        <v>2374.2147863750861</v>
      </c>
      <c r="BX3" s="87">
        <f>'1_Manufacturing'!BX3+IF('1_Manufacturing'!BX4=0,0,'1_Manufacturing'!BX4/'1_Manufacturing'!BX29)</f>
        <v>2374.2147863750861</v>
      </c>
      <c r="BY3" s="87">
        <f>'1_Manufacturing'!BY3+IF('1_Manufacturing'!BY4=0,0,'1_Manufacturing'!BY4/'1_Manufacturing'!BY29)</f>
        <v>2374.2147863750861</v>
      </c>
      <c r="BZ3" s="87">
        <f>'1_Manufacturing'!BZ3+IF('1_Manufacturing'!BZ4=0,0,'1_Manufacturing'!BZ4/'1_Manufacturing'!BZ29)</f>
        <v>2374.2147863750861</v>
      </c>
      <c r="CA3" s="87">
        <f>'1_Manufacturing'!CA3+IF('1_Manufacturing'!CA4=0,0,'1_Manufacturing'!CA4/'1_Manufacturing'!CA29)</f>
        <v>2128.8126330808382</v>
      </c>
      <c r="CB3" s="87">
        <f>'1_Manufacturing'!CB3+IF('1_Manufacturing'!CB4=0,0,'1_Manufacturing'!CB4/'1_Manufacturing'!CB29)</f>
        <v>2619.6169396693335</v>
      </c>
      <c r="CC3" s="87">
        <f>'1_Manufacturing'!CC3+IF('1_Manufacturing'!CC4=0,0,'1_Manufacturing'!CC4/'1_Manufacturing'!CC29)</f>
        <v>2374.2147863750861</v>
      </c>
      <c r="CD3" s="87">
        <f>'1_Manufacturing'!CD3+IF('1_Manufacturing'!CD4=0,0,'1_Manufacturing'!CD4/'1_Manufacturing'!CD29)</f>
        <v>1693.6179715669675</v>
      </c>
      <c r="CE3" s="87">
        <f>'1_Manufacturing'!CE3+IF('1_Manufacturing'!CE4=0,0,'1_Manufacturing'!CE4/'1_Manufacturing'!CE29)</f>
        <v>1693.6179715669675</v>
      </c>
      <c r="CF3" s="87">
        <f>'1_Manufacturing'!CF3+IF('1_Manufacturing'!CF4=0,0,'1_Manufacturing'!CF4/'1_Manufacturing'!CF29)</f>
        <v>1693.6179715669675</v>
      </c>
      <c r="CG3" s="87">
        <f>'1_Manufacturing'!CG3+IF('1_Manufacturing'!CG4=0,0,'1_Manufacturing'!CG4/'1_Manufacturing'!CG29)</f>
        <v>1693.6179715669675</v>
      </c>
      <c r="CH3" s="87">
        <f>'1_Manufacturing'!CH3+IF('1_Manufacturing'!CH4=0,0,'1_Manufacturing'!CH4/'1_Manufacturing'!CH29)</f>
        <v>1494.1010327851752</v>
      </c>
      <c r="CI3" s="87">
        <f>'1_Manufacturing'!CI3+IF('1_Manufacturing'!CI4=0,0,'1_Manufacturing'!CI4/'1_Manufacturing'!CI29)</f>
        <v>1596.4836027735073</v>
      </c>
      <c r="CJ3" s="87">
        <f>'1_Manufacturing'!CJ3+IF('1_Manufacturing'!CJ4=0,0,'1_Manufacturing'!CJ4/'1_Manufacturing'!CJ29)</f>
        <v>1768.560209140046</v>
      </c>
      <c r="CK3" s="87">
        <f>'1_Manufacturing'!CK3+IF('1_Manufacturing'!CK4=0,0,'1_Manufacturing'!CK4/'1_Manufacturing'!CK29)</f>
        <v>1883.4104797865905</v>
      </c>
      <c r="CL3" s="87">
        <f>'1_Manufacturing'!CL3+IF('1_Manufacturing'!CL4=0,0,'1_Manufacturing'!CL4/'1_Manufacturing'!CL29)</f>
        <v>2374.2147863750861</v>
      </c>
      <c r="CM3" s="87">
        <f>'1_Manufacturing'!CM3+IF('1_Manufacturing'!CM4=0,0,'1_Manufacturing'!CM4/'1_Manufacturing'!CM29)</f>
        <v>1693.6179715669675</v>
      </c>
      <c r="CN3" s="87">
        <f>'1_Manufacturing'!CN3+IF('1_Manufacturing'!CN4=0,0,'1_Manufacturing'!CN4/'1_Manufacturing'!CN29)</f>
        <v>1898.2080492654404</v>
      </c>
      <c r="CO3" s="87">
        <f>'1_Manufacturing'!CO3+IF('1_Manufacturing'!CO4=0,0,'1_Manufacturing'!CO4/'1_Manufacturing'!CO29)</f>
        <v>2023.473793310146</v>
      </c>
      <c r="CP3" s="87">
        <f>'1_Manufacturing'!CP3+IF('1_Manufacturing'!CP4=0,0,'1_Manufacturing'!CP4/'1_Manufacturing'!CP29)</f>
        <v>2209.9206981645216</v>
      </c>
      <c r="CQ3" s="87">
        <f>'1_Manufacturing'!CQ3+IF('1_Manufacturing'!CQ4=0,0,'1_Manufacturing'!CQ4/'1_Manufacturing'!CQ29)</f>
        <v>2198.1069848616821</v>
      </c>
      <c r="CR3" s="87">
        <f>'1_Manufacturing'!CR3+IF('1_Manufacturing'!CR4=0,0,'1_Manufacturing'!CR4/'1_Manufacturing'!CR29)</f>
        <v>2159.5453786802259</v>
      </c>
      <c r="CS3" s="87">
        <f>'1_Manufacturing'!CS3+IF('1_Manufacturing'!CS4=0,0,'1_Manufacturing'!CS4/'1_Manufacturing'!CS29)</f>
        <v>1898.2080492654404</v>
      </c>
      <c r="CT3" s="87">
        <f>'1_Manufacturing'!CT3+IF('1_Manufacturing'!CT4=0,0,'1_Manufacturing'!CT4/'1_Manufacturing'!CT29)</f>
        <v>2023.473793310146</v>
      </c>
      <c r="CU3" s="87">
        <f>'1_Manufacturing'!CU3+IF('1_Manufacturing'!CU4=0,0,'1_Manufacturing'!CU4/'1_Manufacturing'!CU29)</f>
        <v>2209.9206981645216</v>
      </c>
      <c r="CV3" s="87">
        <f>'1_Manufacturing'!CV3+IF('1_Manufacturing'!CV4=0,0,'1_Manufacturing'!CV4/'1_Manufacturing'!CV29)</f>
        <v>2268.2218858028955</v>
      </c>
      <c r="CW3" s="87">
        <f>'1_Manufacturing'!CW3+IF('1_Manufacturing'!CW4=0,0,'1_Manufacturing'!CW4/'1_Manufacturing'!CW29)</f>
        <v>2759.0261923913913</v>
      </c>
      <c r="CX3" s="87">
        <f>'1_Manufacturing'!CX3+IF('1_Manufacturing'!CX4=0,0,'1_Manufacturing'!CX4/'1_Manufacturing'!CX29)</f>
        <v>2159.5453786802259</v>
      </c>
      <c r="CY3" s="87">
        <f>'1_Manufacturing'!CY3+IF('1_Manufacturing'!CY4=0,0,'1_Manufacturing'!CY4/'1_Manufacturing'!CY29)</f>
        <v>1898.2080492654404</v>
      </c>
      <c r="CZ3" s="87">
        <f>'1_Manufacturing'!CZ3+IF('1_Manufacturing'!CZ4=0,0,'1_Manufacturing'!CZ4/'1_Manufacturing'!CZ29)</f>
        <v>2023.473793310146</v>
      </c>
      <c r="DA3" s="87">
        <f>'1_Manufacturing'!DA3+IF('1_Manufacturing'!DA4=0,0,'1_Manufacturing'!DA4/'1_Manufacturing'!DA29)</f>
        <v>2209.9206981645216</v>
      </c>
      <c r="DB3" s="87">
        <f>'1_Manufacturing'!DB3+IF('1_Manufacturing'!DB4=0,0,'1_Manufacturing'!DB4/'1_Manufacturing'!DB29)</f>
        <v>2268.2218858028955</v>
      </c>
      <c r="DC3" s="87">
        <f>'1_Manufacturing'!DC3+IF('1_Manufacturing'!DC4=0,0,'1_Manufacturing'!DC4/'1_Manufacturing'!DC29)</f>
        <v>2759.0261923913913</v>
      </c>
      <c r="DD3" s="87">
        <f>'1_Manufacturing'!DD3+IF('1_Manufacturing'!DD4=0,0,'1_Manufacturing'!DD4/'1_Manufacturing'!DD29)</f>
        <v>2159.5453786802259</v>
      </c>
      <c r="DE3" s="87">
        <f>'1_Manufacturing'!DE3+IF('1_Manufacturing'!DE4=0,0,'1_Manufacturing'!DE4/'1_Manufacturing'!DE29)</f>
        <v>3554.1797866057218</v>
      </c>
      <c r="DF3" s="87">
        <f>'1_Manufacturing'!DF3+IF('1_Manufacturing'!DF4=0,0,'1_Manufacturing'!DF4/'1_Manufacturing'!DF29)</f>
        <v>3650.5755785269366</v>
      </c>
      <c r="DG3" s="87"/>
      <c r="DH3" s="87">
        <f>'1_Manufacturing'!DH3+IF('1_Manufacturing'!DH4=0,0,'1_Manufacturing'!DH4/'1_Manufacturing'!DH29)</f>
        <v>4744.0947010387226</v>
      </c>
      <c r="DI3" s="87">
        <f>'1_Manufacturing'!DI3+IF('1_Manufacturing'!DI4=0,0,'1_Manufacturing'!DI4/'1_Manufacturing'!DI29)</f>
        <v>5795.8182151569272</v>
      </c>
      <c r="DJ3" s="87">
        <f>'1_Manufacturing'!DJ3+IF('1_Manufacturing'!DJ4=0,0,'1_Manufacturing'!DJ4/'1_Manufacturing'!DJ29)</f>
        <v>4127.2376156780592</v>
      </c>
      <c r="DK3" s="87">
        <f>'1_Manufacturing'!DK3+IF('1_Manufacturing'!DK4=0,0,'1_Manufacturing'!DK4/'1_Manufacturing'!DK29)</f>
        <v>10398</v>
      </c>
      <c r="DL3" s="87">
        <f>'1_Manufacturing'!DL3+IF('1_Manufacturing'!DL4=0,0,'1_Manufacturing'!DL4/'1_Manufacturing'!DL29)</f>
        <v>10398</v>
      </c>
      <c r="DM3" s="87">
        <f>'1_Manufacturing'!DM3+IF('1_Manufacturing'!DM4=0,0,'1_Manufacturing'!DM4/'1_Manufacturing'!DM29)</f>
        <v>10398</v>
      </c>
      <c r="DN3" s="87">
        <f>'1_Manufacturing'!DN3+IF('1_Manufacturing'!DN4=0,0,'1_Manufacturing'!DN4/'1_Manufacturing'!DN29)</f>
        <v>10398</v>
      </c>
      <c r="DO3" s="87">
        <f>'1_Manufacturing'!DO3+IF('1_Manufacturing'!DO4=0,0,'1_Manufacturing'!DO4/'1_Manufacturing'!DO29)</f>
        <v>10398</v>
      </c>
      <c r="DP3" s="87">
        <f>'1_Manufacturing'!DP3+IF('1_Manufacturing'!DP4=0,0,'1_Manufacturing'!DP4/'1_Manufacturing'!DP29)</f>
        <v>10398</v>
      </c>
      <c r="DQ3" s="87">
        <f>'1_Manufacturing'!DQ3+IF('1_Manufacturing'!DQ4=0,0,'1_Manufacturing'!DQ4/'1_Manufacturing'!DQ29)</f>
        <v>10398</v>
      </c>
      <c r="DR3" s="87">
        <f>'1_Manufacturing'!DR3+IF('1_Manufacturing'!DR4=0,0,'1_Manufacturing'!DR4/'1_Manufacturing'!DR29)</f>
        <v>10402.54263511166</v>
      </c>
      <c r="DS3" s="87">
        <f>'1_Manufacturing'!DS3+IF('1_Manufacturing'!DS4=0,0,'1_Manufacturing'!DS4/'1_Manufacturing'!DS29)</f>
        <v>17214.150477131821</v>
      </c>
      <c r="DT3" s="87">
        <f>'1_Manufacturing'!DT3+IF('1_Manufacturing'!DT4=0,0,'1_Manufacturing'!DT4/'1_Manufacturing'!DT29)</f>
        <v>17214.150477131821</v>
      </c>
      <c r="DU3" s="87">
        <f>'1_Manufacturing'!DU3+IF('1_Manufacturing'!DU4=0,0,'1_Manufacturing'!DU4/'1_Manufacturing'!DU29)</f>
        <v>14410.332656567338</v>
      </c>
      <c r="DV3" s="87">
        <f>'1_Manufacturing'!DV3+IF('1_Manufacturing'!DV4=0,0,'1_Manufacturing'!DV4/'1_Manufacturing'!DV29)</f>
        <v>12286.801049560865</v>
      </c>
      <c r="DW3" s="87">
        <f>'1_Manufacturing'!DW3+IF('1_Manufacturing'!DW4=0,0,'1_Manufacturing'!DW4/'1_Manufacturing'!DW29)</f>
        <v>12286.801049560865</v>
      </c>
      <c r="DX3" s="87">
        <f>'1_Manufacturing'!DX3+IF('1_Manufacturing'!DX4=0,0,'1_Manufacturing'!DX4/'1_Manufacturing'!DX29)</f>
        <v>186000</v>
      </c>
      <c r="DY3" s="87">
        <f>'1_Manufacturing'!DY3+IF('1_Manufacturing'!DY4=0,0,'1_Manufacturing'!DY4/'1_Manufacturing'!DY29)</f>
        <v>186000</v>
      </c>
      <c r="DZ3" s="87">
        <f>'1_Manufacturing'!DZ3+IF('1_Manufacturing'!DZ4=0,0,'1_Manufacturing'!DZ4/'1_Manufacturing'!DZ29)</f>
        <v>186000</v>
      </c>
      <c r="EA3" s="87">
        <f>'1_Manufacturing'!EA3+IF('1_Manufacturing'!EA4=0,0,'1_Manufacturing'!EA4/'1_Manufacturing'!EA29)</f>
        <v>186000</v>
      </c>
      <c r="EB3" s="87">
        <f>'1_Manufacturing'!EB3+IF('1_Manufacturing'!EB4=0,0,'1_Manufacturing'!EB4/'1_Manufacturing'!EB29)</f>
        <v>186000</v>
      </c>
      <c r="EC3" s="87">
        <f>'1_Manufacturing'!EC3+IF('1_Manufacturing'!EC4=0,0,'1_Manufacturing'!EC4/'1_Manufacturing'!EC29)</f>
        <v>186000</v>
      </c>
      <c r="ED3" s="87">
        <f>'1_Manufacturing'!ED3+IF('1_Manufacturing'!ED4=0,0,'1_Manufacturing'!ED4/'1_Manufacturing'!ED29)</f>
        <v>186000</v>
      </c>
    </row>
    <row r="4" spans="1:138" x14ac:dyDescent="0.3">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row>
    <row r="5" spans="1:138" x14ac:dyDescent="0.3">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row>
    <row r="6" spans="1:138" x14ac:dyDescent="0.3">
      <c r="A6" s="21" t="s">
        <v>75</v>
      </c>
      <c r="B6" s="21" t="s">
        <v>85</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row>
    <row r="7" spans="1:138" x14ac:dyDescent="0.3">
      <c r="A7" s="21" t="s">
        <v>68</v>
      </c>
      <c r="B7" s="21" t="s">
        <v>71</v>
      </c>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85"/>
      <c r="AH7" s="85"/>
      <c r="AI7" s="85"/>
      <c r="AJ7" s="85"/>
      <c r="AK7" s="85"/>
      <c r="AL7" s="85"/>
      <c r="AM7" s="85"/>
      <c r="AN7" s="85"/>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F7" s="21" t="s">
        <v>82</v>
      </c>
    </row>
    <row r="8" spans="1:138" x14ac:dyDescent="0.3">
      <c r="A8" s="21" t="s">
        <v>24</v>
      </c>
      <c r="B8" s="21" t="s">
        <v>71</v>
      </c>
      <c r="D8" s="42">
        <v>11800</v>
      </c>
      <c r="E8" s="42">
        <v>11800</v>
      </c>
      <c r="F8" s="42">
        <v>11800</v>
      </c>
      <c r="G8" s="42">
        <v>11800</v>
      </c>
      <c r="H8" s="42">
        <v>11800</v>
      </c>
      <c r="I8" s="42">
        <v>11800</v>
      </c>
      <c r="J8" s="42">
        <v>11800</v>
      </c>
      <c r="K8" s="42">
        <v>11800</v>
      </c>
      <c r="L8" s="42">
        <v>11800</v>
      </c>
      <c r="M8" s="42">
        <v>11800</v>
      </c>
      <c r="N8" s="42">
        <v>11800</v>
      </c>
      <c r="O8" s="42">
        <v>11800</v>
      </c>
      <c r="P8" s="42">
        <v>11800</v>
      </c>
      <c r="Q8" s="42">
        <v>11800</v>
      </c>
      <c r="R8" s="42">
        <v>11800</v>
      </c>
      <c r="S8" s="42">
        <v>11800</v>
      </c>
      <c r="T8" s="42">
        <v>11800</v>
      </c>
      <c r="U8" s="42">
        <v>11800</v>
      </c>
      <c r="V8" s="42">
        <v>11800</v>
      </c>
      <c r="W8" s="42">
        <v>11800</v>
      </c>
      <c r="X8" s="42">
        <v>11800</v>
      </c>
      <c r="Y8" s="42">
        <v>11800</v>
      </c>
      <c r="Z8" s="42">
        <v>11800</v>
      </c>
      <c r="AA8" s="42">
        <v>11800</v>
      </c>
      <c r="AB8" s="42">
        <v>11800</v>
      </c>
      <c r="AC8" s="42">
        <v>11800</v>
      </c>
      <c r="AD8" s="42">
        <v>11800</v>
      </c>
      <c r="AE8" s="42">
        <v>11800</v>
      </c>
      <c r="AF8" s="42">
        <v>11800</v>
      </c>
      <c r="AG8" s="85"/>
      <c r="AH8" s="85"/>
      <c r="AI8" s="85"/>
      <c r="AJ8" s="85"/>
      <c r="AK8" s="85"/>
      <c r="AL8" s="85"/>
      <c r="AM8" s="85"/>
      <c r="AN8" s="85"/>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v>5000</v>
      </c>
      <c r="DY8" s="48">
        <v>5000</v>
      </c>
      <c r="DZ8" s="48">
        <v>5000</v>
      </c>
      <c r="EA8" s="48">
        <v>5000</v>
      </c>
      <c r="EB8" s="48">
        <v>5000</v>
      </c>
      <c r="EC8" s="48">
        <v>5000</v>
      </c>
      <c r="ED8" s="48">
        <v>5000</v>
      </c>
      <c r="EF8" s="43" t="s">
        <v>100</v>
      </c>
      <c r="EG8" s="42"/>
      <c r="EH8" s="42"/>
    </row>
    <row r="9" spans="1:138" x14ac:dyDescent="0.3">
      <c r="A9" s="21" t="s">
        <v>69</v>
      </c>
      <c r="B9" s="21" t="s">
        <v>71</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85"/>
      <c r="AH9" s="85"/>
      <c r="AI9" s="85"/>
      <c r="AJ9" s="85"/>
      <c r="AK9" s="85"/>
      <c r="AL9" s="85"/>
      <c r="AM9" s="85"/>
      <c r="AN9" s="85"/>
      <c r="AO9" s="48">
        <v>5000</v>
      </c>
      <c r="AP9" s="48">
        <v>5000</v>
      </c>
      <c r="AQ9" s="48">
        <v>5000</v>
      </c>
      <c r="AR9" s="457">
        <f t="shared" ref="AR9:AW9" si="0">$AX9</f>
        <v>5000</v>
      </c>
      <c r="AS9" s="457">
        <f t="shared" si="0"/>
        <v>5000</v>
      </c>
      <c r="AT9" s="457">
        <f t="shared" si="0"/>
        <v>5000</v>
      </c>
      <c r="AU9" s="457">
        <f t="shared" si="0"/>
        <v>5000</v>
      </c>
      <c r="AV9" s="457">
        <f t="shared" si="0"/>
        <v>5000</v>
      </c>
      <c r="AW9" s="457">
        <f t="shared" si="0"/>
        <v>5000</v>
      </c>
      <c r="AX9" s="48">
        <v>5000</v>
      </c>
      <c r="AY9" s="48">
        <v>5000</v>
      </c>
      <c r="AZ9" s="48">
        <v>5000</v>
      </c>
      <c r="BA9" s="48">
        <v>5000</v>
      </c>
      <c r="BB9" s="48">
        <v>5000</v>
      </c>
      <c r="BC9" s="457">
        <f t="shared" ref="BC9:BH9" si="1">$BI9</f>
        <v>5000</v>
      </c>
      <c r="BD9" s="457">
        <f t="shared" si="1"/>
        <v>5000</v>
      </c>
      <c r="BE9" s="457">
        <f t="shared" si="1"/>
        <v>5000</v>
      </c>
      <c r="BF9" s="457">
        <f t="shared" si="1"/>
        <v>5000</v>
      </c>
      <c r="BG9" s="457">
        <f t="shared" si="1"/>
        <v>5000</v>
      </c>
      <c r="BH9" s="457">
        <f t="shared" si="1"/>
        <v>5000</v>
      </c>
      <c r="BI9" s="48">
        <v>5000</v>
      </c>
      <c r="BJ9" s="48">
        <v>5000</v>
      </c>
      <c r="BK9" s="48">
        <v>5000</v>
      </c>
      <c r="BL9" s="457">
        <f t="shared" ref="BL9:BS9" si="2">$BT9</f>
        <v>5000</v>
      </c>
      <c r="BM9" s="457">
        <f t="shared" si="2"/>
        <v>5000</v>
      </c>
      <c r="BN9" s="457">
        <f t="shared" si="2"/>
        <v>5000</v>
      </c>
      <c r="BO9" s="457">
        <f t="shared" si="2"/>
        <v>5000</v>
      </c>
      <c r="BP9" s="457">
        <f t="shared" si="2"/>
        <v>5000</v>
      </c>
      <c r="BQ9" s="457">
        <f t="shared" si="2"/>
        <v>5000</v>
      </c>
      <c r="BR9" s="457">
        <f t="shared" si="2"/>
        <v>5000</v>
      </c>
      <c r="BS9" s="457">
        <f t="shared" si="2"/>
        <v>5000</v>
      </c>
      <c r="BT9" s="48">
        <v>5000</v>
      </c>
      <c r="BU9" s="457">
        <f t="shared" ref="BU9:CB9" si="3">$CC9</f>
        <v>5000</v>
      </c>
      <c r="BV9" s="457">
        <f t="shared" si="3"/>
        <v>5000</v>
      </c>
      <c r="BW9" s="457">
        <f t="shared" si="3"/>
        <v>5000</v>
      </c>
      <c r="BX9" s="457">
        <f t="shared" si="3"/>
        <v>5000</v>
      </c>
      <c r="BY9" s="457">
        <f t="shared" si="3"/>
        <v>5000</v>
      </c>
      <c r="BZ9" s="457">
        <f t="shared" si="3"/>
        <v>5000</v>
      </c>
      <c r="CA9" s="457">
        <f t="shared" si="3"/>
        <v>5000</v>
      </c>
      <c r="CB9" s="457">
        <f t="shared" si="3"/>
        <v>5000</v>
      </c>
      <c r="CC9" s="48">
        <v>5000</v>
      </c>
      <c r="CD9" s="48">
        <v>5000</v>
      </c>
      <c r="CE9" s="48">
        <v>5000</v>
      </c>
      <c r="CF9" s="48">
        <v>5000</v>
      </c>
      <c r="CG9" s="48">
        <v>5000</v>
      </c>
      <c r="CH9" s="48">
        <v>5000</v>
      </c>
      <c r="CI9" s="48">
        <v>5000</v>
      </c>
      <c r="CJ9" s="48">
        <v>5000</v>
      </c>
      <c r="CK9" s="48">
        <v>5000</v>
      </c>
      <c r="CL9" s="48">
        <v>5000</v>
      </c>
      <c r="CM9" s="48">
        <v>5000</v>
      </c>
      <c r="CN9" s="48">
        <v>5000</v>
      </c>
      <c r="CO9" s="48">
        <v>5000</v>
      </c>
      <c r="CP9" s="48">
        <v>5000</v>
      </c>
      <c r="CQ9" s="48">
        <v>5000</v>
      </c>
      <c r="CR9" s="48">
        <v>5000</v>
      </c>
      <c r="CS9" s="48">
        <v>5000</v>
      </c>
      <c r="CT9" s="48">
        <v>5000</v>
      </c>
      <c r="CU9" s="48">
        <v>5000</v>
      </c>
      <c r="CV9" s="48">
        <v>5000</v>
      </c>
      <c r="CW9" s="48">
        <v>5000</v>
      </c>
      <c r="CX9" s="48">
        <v>5000</v>
      </c>
      <c r="CY9" s="48">
        <v>5000</v>
      </c>
      <c r="CZ9" s="48">
        <v>5000</v>
      </c>
      <c r="DA9" s="48">
        <v>5000</v>
      </c>
      <c r="DB9" s="48">
        <v>5000</v>
      </c>
      <c r="DC9" s="48">
        <v>5000</v>
      </c>
      <c r="DD9" s="48">
        <v>5000</v>
      </c>
      <c r="DE9" s="48">
        <v>5000</v>
      </c>
      <c r="DF9" s="48">
        <v>5000</v>
      </c>
      <c r="DG9" s="48"/>
      <c r="DH9" s="48">
        <v>5000</v>
      </c>
      <c r="DI9" s="48">
        <v>5000</v>
      </c>
      <c r="DJ9" s="48">
        <v>5000</v>
      </c>
      <c r="DK9" s="48">
        <f>CF9</f>
        <v>5000</v>
      </c>
      <c r="DL9" s="48">
        <f>CG9</f>
        <v>5000</v>
      </c>
      <c r="DM9" s="48">
        <f>CG9</f>
        <v>5000</v>
      </c>
      <c r="DN9" s="48">
        <f>CN9</f>
        <v>5000</v>
      </c>
      <c r="DO9" s="48">
        <f>CO9</f>
        <v>5000</v>
      </c>
      <c r="DP9" s="48">
        <f>CP9</f>
        <v>5000</v>
      </c>
      <c r="DQ9" s="48">
        <f>CQ9</f>
        <v>5000</v>
      </c>
      <c r="DR9" s="48">
        <f>DQ9</f>
        <v>5000</v>
      </c>
      <c r="DS9" s="48">
        <f>DP9</f>
        <v>5000</v>
      </c>
      <c r="DT9" s="48">
        <f>DQ9</f>
        <v>5000</v>
      </c>
      <c r="DU9" s="48">
        <f>DR9</f>
        <v>5000</v>
      </c>
      <c r="DV9" s="48">
        <f>DT9</f>
        <v>5000</v>
      </c>
      <c r="DW9" s="48">
        <f>DU9</f>
        <v>5000</v>
      </c>
      <c r="DX9" s="48">
        <f t="shared" ref="DX9:EC9" si="4">CS9</f>
        <v>5000</v>
      </c>
      <c r="DY9" s="48">
        <f t="shared" si="4"/>
        <v>5000</v>
      </c>
      <c r="DZ9" s="48">
        <f t="shared" si="4"/>
        <v>5000</v>
      </c>
      <c r="EA9" s="48">
        <f t="shared" si="4"/>
        <v>5000</v>
      </c>
      <c r="EB9" s="48">
        <f t="shared" si="4"/>
        <v>5000</v>
      </c>
      <c r="EC9" s="48">
        <f t="shared" si="4"/>
        <v>5000</v>
      </c>
      <c r="ED9" s="48">
        <f>DQ9</f>
        <v>5000</v>
      </c>
      <c r="EF9" s="86" t="s">
        <v>220</v>
      </c>
    </row>
    <row r="10" spans="1:138" x14ac:dyDescent="0.3">
      <c r="A10" s="21" t="str">
        <f>A9</f>
        <v xml:space="preserve">   Train</v>
      </c>
      <c r="B10" s="21" t="s">
        <v>70</v>
      </c>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85"/>
      <c r="AH10" s="85"/>
      <c r="AI10" s="85"/>
      <c r="AJ10" s="85"/>
      <c r="AK10" s="85"/>
      <c r="AL10" s="85"/>
      <c r="AM10" s="85"/>
      <c r="AN10" s="85"/>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row>
    <row r="11" spans="1:138" x14ac:dyDescent="0.3">
      <c r="A11" s="21" t="s">
        <v>73</v>
      </c>
      <c r="B11" s="21" t="s">
        <v>71</v>
      </c>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85"/>
      <c r="AH11" s="85"/>
      <c r="AI11" s="85"/>
      <c r="AJ11" s="85"/>
      <c r="AK11" s="85"/>
      <c r="AL11" s="85"/>
      <c r="AM11" s="85"/>
      <c r="AN11" s="85"/>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row>
    <row r="12" spans="1:138" x14ac:dyDescent="0.3">
      <c r="A12" s="21" t="str">
        <f>A11</f>
        <v xml:space="preserve">   Heavy truck</v>
      </c>
      <c r="B12" s="21" t="s">
        <v>70</v>
      </c>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85"/>
      <c r="AH12" s="85"/>
      <c r="AI12" s="85"/>
      <c r="AJ12" s="85"/>
      <c r="AK12" s="85"/>
      <c r="AL12" s="85"/>
      <c r="AM12" s="85"/>
      <c r="AN12" s="85"/>
      <c r="AO12" s="48">
        <v>1000</v>
      </c>
      <c r="AP12" s="48">
        <v>1000</v>
      </c>
      <c r="AQ12" s="48">
        <v>1000</v>
      </c>
      <c r="AR12" s="457">
        <f t="shared" ref="AR12:AW12" si="5">$AX12</f>
        <v>1000</v>
      </c>
      <c r="AS12" s="457">
        <f t="shared" si="5"/>
        <v>1000</v>
      </c>
      <c r="AT12" s="457">
        <f t="shared" si="5"/>
        <v>1000</v>
      </c>
      <c r="AU12" s="457">
        <f t="shared" si="5"/>
        <v>1000</v>
      </c>
      <c r="AV12" s="457">
        <f t="shared" si="5"/>
        <v>1000</v>
      </c>
      <c r="AW12" s="457">
        <f t="shared" si="5"/>
        <v>1000</v>
      </c>
      <c r="AX12" s="48">
        <v>1000</v>
      </c>
      <c r="AY12" s="48">
        <v>1000</v>
      </c>
      <c r="AZ12" s="48">
        <v>1000</v>
      </c>
      <c r="BA12" s="48">
        <v>1000</v>
      </c>
      <c r="BB12" s="48">
        <v>1000</v>
      </c>
      <c r="BC12" s="457">
        <f t="shared" ref="BC12:BH12" si="6">$BI12</f>
        <v>1000</v>
      </c>
      <c r="BD12" s="457">
        <f t="shared" si="6"/>
        <v>1000</v>
      </c>
      <c r="BE12" s="457">
        <f t="shared" si="6"/>
        <v>1000</v>
      </c>
      <c r="BF12" s="457">
        <f t="shared" si="6"/>
        <v>1000</v>
      </c>
      <c r="BG12" s="457">
        <f t="shared" si="6"/>
        <v>1000</v>
      </c>
      <c r="BH12" s="457">
        <f t="shared" si="6"/>
        <v>1000</v>
      </c>
      <c r="BI12" s="48">
        <v>1000</v>
      </c>
      <c r="BJ12" s="48">
        <v>1000</v>
      </c>
      <c r="BK12" s="48">
        <v>1000</v>
      </c>
      <c r="BL12" s="457">
        <f t="shared" ref="BL12:BS12" si="7">$BT12</f>
        <v>1000</v>
      </c>
      <c r="BM12" s="457">
        <f t="shared" si="7"/>
        <v>1000</v>
      </c>
      <c r="BN12" s="457">
        <f t="shared" si="7"/>
        <v>1000</v>
      </c>
      <c r="BO12" s="457">
        <f t="shared" si="7"/>
        <v>1000</v>
      </c>
      <c r="BP12" s="457">
        <f t="shared" si="7"/>
        <v>1000</v>
      </c>
      <c r="BQ12" s="457">
        <f t="shared" si="7"/>
        <v>1000</v>
      </c>
      <c r="BR12" s="457">
        <f t="shared" si="7"/>
        <v>1000</v>
      </c>
      <c r="BS12" s="457">
        <f t="shared" si="7"/>
        <v>1000</v>
      </c>
      <c r="BT12" s="48">
        <v>1000</v>
      </c>
      <c r="BU12" s="457">
        <f t="shared" ref="BU12:CB12" si="8">$CC12</f>
        <v>1000</v>
      </c>
      <c r="BV12" s="457">
        <f t="shared" si="8"/>
        <v>1000</v>
      </c>
      <c r="BW12" s="457">
        <f t="shared" si="8"/>
        <v>1000</v>
      </c>
      <c r="BX12" s="457">
        <f t="shared" si="8"/>
        <v>1000</v>
      </c>
      <c r="BY12" s="457">
        <f t="shared" si="8"/>
        <v>1000</v>
      </c>
      <c r="BZ12" s="457">
        <f t="shared" si="8"/>
        <v>1000</v>
      </c>
      <c r="CA12" s="457">
        <f t="shared" si="8"/>
        <v>1000</v>
      </c>
      <c r="CB12" s="457">
        <f t="shared" si="8"/>
        <v>1000</v>
      </c>
      <c r="CC12" s="48">
        <v>1000</v>
      </c>
      <c r="CD12" s="48">
        <v>1000</v>
      </c>
      <c r="CE12" s="48">
        <v>1000</v>
      </c>
      <c r="CF12" s="48">
        <v>1000</v>
      </c>
      <c r="CG12" s="48">
        <v>1000</v>
      </c>
      <c r="CH12" s="48">
        <v>1000</v>
      </c>
      <c r="CI12" s="48">
        <v>1000</v>
      </c>
      <c r="CJ12" s="48">
        <v>1000</v>
      </c>
      <c r="CK12" s="48">
        <v>1000</v>
      </c>
      <c r="CL12" s="48">
        <v>1000</v>
      </c>
      <c r="CM12" s="48">
        <v>1000</v>
      </c>
      <c r="CN12" s="48">
        <v>1000</v>
      </c>
      <c r="CO12" s="48">
        <v>1000</v>
      </c>
      <c r="CP12" s="48">
        <v>1000</v>
      </c>
      <c r="CQ12" s="48">
        <v>1000</v>
      </c>
      <c r="CR12" s="48">
        <v>1000</v>
      </c>
      <c r="CS12" s="48">
        <v>1000</v>
      </c>
      <c r="CT12" s="48">
        <v>1000</v>
      </c>
      <c r="CU12" s="48">
        <v>1000</v>
      </c>
      <c r="CV12" s="48">
        <v>1000</v>
      </c>
      <c r="CW12" s="48">
        <v>1000</v>
      </c>
      <c r="CX12" s="48">
        <v>1000</v>
      </c>
      <c r="CY12" s="48">
        <v>1000</v>
      </c>
      <c r="CZ12" s="48">
        <v>1000</v>
      </c>
      <c r="DA12" s="48">
        <v>1000</v>
      </c>
      <c r="DB12" s="48">
        <v>1000</v>
      </c>
      <c r="DC12" s="48">
        <v>1000</v>
      </c>
      <c r="DD12" s="48">
        <v>1000</v>
      </c>
      <c r="DE12" s="48">
        <v>1000</v>
      </c>
      <c r="DF12" s="48">
        <v>1000</v>
      </c>
      <c r="DG12" s="48"/>
      <c r="DH12" s="48">
        <v>1000</v>
      </c>
      <c r="DI12" s="48">
        <v>1000</v>
      </c>
      <c r="DJ12" s="48">
        <v>1000</v>
      </c>
      <c r="DK12" s="48">
        <f>CF12</f>
        <v>1000</v>
      </c>
      <c r="DL12" s="48">
        <f>CG12</f>
        <v>1000</v>
      </c>
      <c r="DM12" s="48">
        <f>CG12</f>
        <v>1000</v>
      </c>
      <c r="DN12" s="48">
        <f>CN12</f>
        <v>1000</v>
      </c>
      <c r="DO12" s="48">
        <f>CO12</f>
        <v>1000</v>
      </c>
      <c r="DP12" s="48">
        <f>CP12</f>
        <v>1000</v>
      </c>
      <c r="DQ12" s="48">
        <f>CQ12</f>
        <v>1000</v>
      </c>
      <c r="DR12" s="48">
        <f>DQ12</f>
        <v>1000</v>
      </c>
      <c r="DS12" s="48">
        <f>DP12</f>
        <v>1000</v>
      </c>
      <c r="DT12" s="48">
        <f>DQ12</f>
        <v>1000</v>
      </c>
      <c r="DU12" s="48">
        <f>DR12</f>
        <v>1000</v>
      </c>
      <c r="DV12" s="48">
        <f>DT12</f>
        <v>1000</v>
      </c>
      <c r="DW12" s="48">
        <f>DU12</f>
        <v>1000</v>
      </c>
      <c r="DX12" s="48"/>
      <c r="DY12" s="48"/>
      <c r="DZ12" s="48"/>
      <c r="EA12" s="48"/>
      <c r="EB12" s="48"/>
      <c r="EC12" s="48"/>
      <c r="ED12" s="48"/>
    </row>
    <row r="13" spans="1:138" x14ac:dyDescent="0.3">
      <c r="A13" s="21" t="s">
        <v>72</v>
      </c>
      <c r="B13" s="21" t="s">
        <v>71</v>
      </c>
      <c r="D13" s="42">
        <v>4000</v>
      </c>
      <c r="E13" s="42">
        <v>4000</v>
      </c>
      <c r="F13" s="42">
        <v>4000</v>
      </c>
      <c r="G13" s="42">
        <v>4000</v>
      </c>
      <c r="H13" s="42">
        <v>4000</v>
      </c>
      <c r="I13" s="42">
        <v>4000</v>
      </c>
      <c r="J13" s="42">
        <v>4000</v>
      </c>
      <c r="K13" s="42">
        <v>4000</v>
      </c>
      <c r="L13" s="42">
        <v>4000</v>
      </c>
      <c r="M13" s="42">
        <v>4000</v>
      </c>
      <c r="N13" s="42">
        <v>4000</v>
      </c>
      <c r="O13" s="42">
        <v>4000</v>
      </c>
      <c r="P13" s="42">
        <v>4000</v>
      </c>
      <c r="Q13" s="42">
        <v>4000</v>
      </c>
      <c r="R13" s="42">
        <v>4000</v>
      </c>
      <c r="S13" s="42">
        <v>4000</v>
      </c>
      <c r="T13" s="42">
        <v>4000</v>
      </c>
      <c r="U13" s="42">
        <v>4000</v>
      </c>
      <c r="V13" s="42">
        <v>4000</v>
      </c>
      <c r="W13" s="42">
        <v>4000</v>
      </c>
      <c r="X13" s="42">
        <v>4000</v>
      </c>
      <c r="Y13" s="42">
        <v>4000</v>
      </c>
      <c r="Z13" s="42">
        <v>4000</v>
      </c>
      <c r="AA13" s="42">
        <v>4000</v>
      </c>
      <c r="AB13" s="42">
        <v>4000</v>
      </c>
      <c r="AC13" s="42">
        <v>4000</v>
      </c>
      <c r="AD13" s="42">
        <v>4000</v>
      </c>
      <c r="AE13" s="42">
        <v>4000</v>
      </c>
      <c r="AF13" s="42">
        <v>4000</v>
      </c>
      <c r="AG13" s="85">
        <f>D13</f>
        <v>4000</v>
      </c>
      <c r="AH13" s="85">
        <f t="shared" ref="AH13:AN13" si="9">AG13</f>
        <v>4000</v>
      </c>
      <c r="AI13" s="85">
        <f t="shared" si="9"/>
        <v>4000</v>
      </c>
      <c r="AJ13" s="85">
        <f t="shared" si="9"/>
        <v>4000</v>
      </c>
      <c r="AK13" s="85">
        <f t="shared" si="9"/>
        <v>4000</v>
      </c>
      <c r="AL13" s="85">
        <f t="shared" si="9"/>
        <v>4000</v>
      </c>
      <c r="AM13" s="85">
        <f t="shared" si="9"/>
        <v>4000</v>
      </c>
      <c r="AN13" s="85">
        <f t="shared" si="9"/>
        <v>4000</v>
      </c>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row>
    <row r="14" spans="1:138" x14ac:dyDescent="0.3">
      <c r="A14" s="21" t="str">
        <f>A13</f>
        <v xml:space="preserve">   Medium truck</v>
      </c>
      <c r="B14" s="21" t="s">
        <v>70</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85"/>
      <c r="AH14" s="85"/>
      <c r="AI14" s="85"/>
      <c r="AJ14" s="85"/>
      <c r="AK14" s="85"/>
      <c r="AL14" s="85"/>
      <c r="AM14" s="85"/>
      <c r="AN14" s="85"/>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row>
    <row r="15" spans="1:138" x14ac:dyDescent="0.3">
      <c r="A15" s="21" t="s">
        <v>74</v>
      </c>
      <c r="B15" s="21" t="s">
        <v>71</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85"/>
      <c r="AH15" s="85"/>
      <c r="AI15" s="85"/>
      <c r="AJ15" s="85"/>
      <c r="AK15" s="85"/>
      <c r="AL15" s="85"/>
      <c r="AM15" s="85"/>
      <c r="AN15" s="85"/>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row>
    <row r="16" spans="1:138" x14ac:dyDescent="0.3">
      <c r="A16" s="21" t="str">
        <f>A15</f>
        <v xml:space="preserve">   Delivery van</v>
      </c>
      <c r="B16" s="21" t="s">
        <v>70</v>
      </c>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85"/>
      <c r="AH16" s="85"/>
      <c r="AI16" s="85"/>
      <c r="AJ16" s="85"/>
      <c r="AK16" s="85"/>
      <c r="AL16" s="85"/>
      <c r="AM16" s="85"/>
      <c r="AN16" s="85"/>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row>
    <row r="19" spans="1:134" x14ac:dyDescent="0.3">
      <c r="A19" s="21" t="s">
        <v>76</v>
      </c>
      <c r="B19" s="21" t="s">
        <v>86</v>
      </c>
    </row>
    <row r="20" spans="1:134" x14ac:dyDescent="0.3">
      <c r="A20" s="21" t="s">
        <v>68</v>
      </c>
      <c r="B20" s="21" t="s">
        <v>71</v>
      </c>
      <c r="D20" s="21">
        <f t="shared" ref="D20:D29" si="10">D$3/10^3*D7</f>
        <v>0</v>
      </c>
      <c r="E20" s="21">
        <f t="shared" ref="E20:I29" si="11">E$3/10^3*E7</f>
        <v>0</v>
      </c>
      <c r="F20" s="21">
        <f t="shared" si="11"/>
        <v>0</v>
      </c>
      <c r="G20" s="21">
        <f t="shared" si="11"/>
        <v>0</v>
      </c>
      <c r="H20" s="21">
        <f t="shared" si="11"/>
        <v>0</v>
      </c>
      <c r="I20" s="21">
        <f t="shared" si="11"/>
        <v>0</v>
      </c>
      <c r="J20" s="21">
        <f t="shared" ref="J20:J29" si="12">J$3/10^3*J7</f>
        <v>0</v>
      </c>
      <c r="K20" s="21">
        <f t="shared" ref="K20:K29" si="13">K$3/10^3*K7</f>
        <v>0</v>
      </c>
      <c r="L20" s="21">
        <f t="shared" ref="L20:M29" si="14">L$3/10^3*L7</f>
        <v>0</v>
      </c>
      <c r="M20" s="21">
        <f t="shared" si="14"/>
        <v>0</v>
      </c>
      <c r="N20" s="21">
        <f t="shared" ref="N20:O29" si="15">N$3/10^3*N7</f>
        <v>0</v>
      </c>
      <c r="O20" s="21">
        <f t="shared" si="15"/>
        <v>0</v>
      </c>
      <c r="P20" s="21">
        <f t="shared" ref="P20:S29" si="16">P$3/10^3*P7</f>
        <v>0</v>
      </c>
      <c r="Q20" s="21">
        <f t="shared" si="16"/>
        <v>0</v>
      </c>
      <c r="R20" s="21">
        <f t="shared" si="16"/>
        <v>0</v>
      </c>
      <c r="S20" s="21">
        <f t="shared" si="16"/>
        <v>0</v>
      </c>
      <c r="T20" s="21">
        <f t="shared" ref="T20:V29" si="17">T$3/10^3*T7</f>
        <v>0</v>
      </c>
      <c r="U20" s="21">
        <f t="shared" si="17"/>
        <v>0</v>
      </c>
      <c r="V20" s="21">
        <f t="shared" si="17"/>
        <v>0</v>
      </c>
      <c r="W20" s="21">
        <f t="shared" ref="W20:W29" si="18">W$3/10^3*W7</f>
        <v>0</v>
      </c>
      <c r="X20" s="21">
        <f t="shared" ref="X20:AA29" si="19">X$3/10^3*X7</f>
        <v>0</v>
      </c>
      <c r="Y20" s="21">
        <f t="shared" si="19"/>
        <v>0</v>
      </c>
      <c r="Z20" s="21">
        <f t="shared" si="19"/>
        <v>0</v>
      </c>
      <c r="AA20" s="21">
        <f t="shared" si="19"/>
        <v>0</v>
      </c>
      <c r="AB20" s="21">
        <f t="shared" ref="AB20:AC20" si="20">AB$3/10^3*AB7</f>
        <v>0</v>
      </c>
      <c r="AC20" s="21">
        <f t="shared" si="20"/>
        <v>0</v>
      </c>
      <c r="AD20" s="21">
        <f t="shared" ref="AD20" si="21">AD$3/10^3*AD7</f>
        <v>0</v>
      </c>
      <c r="AE20" s="21">
        <f t="shared" ref="AE20" si="22">AE$3/10^3*AE7</f>
        <v>0</v>
      </c>
      <c r="AF20" s="21">
        <f t="shared" ref="AF20:AF29" si="23">AF$3/10^3*AF7</f>
        <v>0</v>
      </c>
      <c r="AG20" s="21">
        <f t="shared" ref="AG20:AX20" si="24">AG$3/10^3*AG7</f>
        <v>0</v>
      </c>
      <c r="AH20" s="21">
        <f t="shared" si="24"/>
        <v>0</v>
      </c>
      <c r="AI20" s="21">
        <f t="shared" si="24"/>
        <v>0</v>
      </c>
      <c r="AJ20" s="21">
        <f t="shared" si="24"/>
        <v>0</v>
      </c>
      <c r="AK20" s="21">
        <f t="shared" si="24"/>
        <v>0</v>
      </c>
      <c r="AL20" s="21">
        <f t="shared" si="24"/>
        <v>0</v>
      </c>
      <c r="AM20" s="21">
        <f t="shared" si="24"/>
        <v>0</v>
      </c>
      <c r="AN20" s="21">
        <f t="shared" si="24"/>
        <v>0</v>
      </c>
      <c r="AO20" s="21">
        <f t="shared" si="24"/>
        <v>0</v>
      </c>
      <c r="AP20" s="21">
        <f t="shared" si="24"/>
        <v>0</v>
      </c>
      <c r="AQ20" s="21">
        <f t="shared" si="24"/>
        <v>0</v>
      </c>
      <c r="AR20" s="21">
        <f t="shared" si="24"/>
        <v>0</v>
      </c>
      <c r="AS20" s="21">
        <f t="shared" si="24"/>
        <v>0</v>
      </c>
      <c r="AT20" s="21">
        <f t="shared" si="24"/>
        <v>0</v>
      </c>
      <c r="AU20" s="21">
        <f t="shared" si="24"/>
        <v>0</v>
      </c>
      <c r="AV20" s="21">
        <f t="shared" si="24"/>
        <v>0</v>
      </c>
      <c r="AW20" s="21">
        <f t="shared" si="24"/>
        <v>0</v>
      </c>
      <c r="AX20" s="21">
        <f t="shared" si="24"/>
        <v>0</v>
      </c>
      <c r="AY20" s="21">
        <f t="shared" ref="AY20:BH29" si="25">AY$3/10^3*AY7</f>
        <v>0</v>
      </c>
      <c r="AZ20" s="21">
        <f t="shared" ref="AZ20:BA29" si="26">AZ$3/10^3*AZ7</f>
        <v>0</v>
      </c>
      <c r="BA20" s="21">
        <f t="shared" si="26"/>
        <v>0</v>
      </c>
      <c r="BB20" s="21">
        <f t="shared" si="25"/>
        <v>0</v>
      </c>
      <c r="BC20" s="21">
        <f t="shared" si="25"/>
        <v>0</v>
      </c>
      <c r="BD20" s="21">
        <f t="shared" ref="BD20:BE29" si="27">BD$3/10^3*BD7</f>
        <v>0</v>
      </c>
      <c r="BE20" s="21">
        <f t="shared" si="27"/>
        <v>0</v>
      </c>
      <c r="BF20" s="21">
        <f t="shared" si="25"/>
        <v>0</v>
      </c>
      <c r="BG20" s="21">
        <f t="shared" si="25"/>
        <v>0</v>
      </c>
      <c r="BH20" s="21">
        <f t="shared" si="25"/>
        <v>0</v>
      </c>
      <c r="BI20" s="21">
        <f t="shared" ref="BI20:BT20" si="28">BI$3/10^3*BI7</f>
        <v>0</v>
      </c>
      <c r="BJ20" s="21">
        <f t="shared" si="28"/>
        <v>0</v>
      </c>
      <c r="BK20" s="21">
        <f t="shared" si="28"/>
        <v>0</v>
      </c>
      <c r="BL20" s="21">
        <f t="shared" si="28"/>
        <v>0</v>
      </c>
      <c r="BM20" s="21">
        <f t="shared" si="28"/>
        <v>0</v>
      </c>
      <c r="BN20" s="21">
        <f t="shared" si="28"/>
        <v>0</v>
      </c>
      <c r="BO20" s="21">
        <f t="shared" si="28"/>
        <v>0</v>
      </c>
      <c r="BP20" s="21">
        <f t="shared" si="28"/>
        <v>0</v>
      </c>
      <c r="BQ20" s="21">
        <f t="shared" si="28"/>
        <v>0</v>
      </c>
      <c r="BR20" s="21">
        <f t="shared" si="28"/>
        <v>0</v>
      </c>
      <c r="BS20" s="21">
        <f t="shared" si="28"/>
        <v>0</v>
      </c>
      <c r="BT20" s="21">
        <f t="shared" si="28"/>
        <v>0</v>
      </c>
      <c r="BU20" s="21">
        <f t="shared" ref="BU20:CC20" si="29">BU$3/10^3*BU7</f>
        <v>0</v>
      </c>
      <c r="BV20" s="21">
        <f t="shared" si="29"/>
        <v>0</v>
      </c>
      <c r="BW20" s="21">
        <f t="shared" si="29"/>
        <v>0</v>
      </c>
      <c r="BX20" s="21">
        <f t="shared" si="29"/>
        <v>0</v>
      </c>
      <c r="BY20" s="21">
        <f t="shared" si="29"/>
        <v>0</v>
      </c>
      <c r="BZ20" s="21">
        <f t="shared" si="29"/>
        <v>0</v>
      </c>
      <c r="CA20" s="21">
        <f t="shared" si="29"/>
        <v>0</v>
      </c>
      <c r="CB20" s="21">
        <f t="shared" si="29"/>
        <v>0</v>
      </c>
      <c r="CC20" s="21">
        <f t="shared" si="29"/>
        <v>0</v>
      </c>
      <c r="CD20" s="21">
        <f t="shared" ref="CD20:CF29" si="30">CD$3/10^3*CD7</f>
        <v>0</v>
      </c>
      <c r="CE20" s="21">
        <f t="shared" si="30"/>
        <v>0</v>
      </c>
      <c r="CF20" s="21">
        <f t="shared" si="30"/>
        <v>0</v>
      </c>
      <c r="CG20" s="21">
        <f t="shared" ref="CG20:CM29" si="31">CG$3/10^3*CG7</f>
        <v>0</v>
      </c>
      <c r="CH20" s="21">
        <f t="shared" si="31"/>
        <v>0</v>
      </c>
      <c r="CI20" s="21">
        <f t="shared" si="31"/>
        <v>0</v>
      </c>
      <c r="CJ20" s="21">
        <f t="shared" si="31"/>
        <v>0</v>
      </c>
      <c r="CK20" s="21">
        <f t="shared" si="31"/>
        <v>0</v>
      </c>
      <c r="CL20" s="21">
        <f t="shared" si="31"/>
        <v>0</v>
      </c>
      <c r="CM20" s="21">
        <f t="shared" si="31"/>
        <v>0</v>
      </c>
      <c r="CN20" s="21">
        <f t="shared" ref="CN20:CQ29" si="32">CN$3/10^3*CN7</f>
        <v>0</v>
      </c>
      <c r="CO20" s="21">
        <f t="shared" si="32"/>
        <v>0</v>
      </c>
      <c r="CP20" s="21">
        <f t="shared" si="32"/>
        <v>0</v>
      </c>
      <c r="CQ20" s="21">
        <f t="shared" si="32"/>
        <v>0</v>
      </c>
      <c r="CR20" s="21">
        <f t="shared" ref="CR20:CR29" si="33">CR$3/10^3*CR7</f>
        <v>0</v>
      </c>
      <c r="CS20" s="21">
        <f t="shared" ref="CS20:CW29" si="34">CS$3/10^3*CS7</f>
        <v>0</v>
      </c>
      <c r="CT20" s="21">
        <f t="shared" si="34"/>
        <v>0</v>
      </c>
      <c r="CU20" s="21">
        <f t="shared" si="34"/>
        <v>0</v>
      </c>
      <c r="CV20" s="21">
        <f t="shared" si="34"/>
        <v>0</v>
      </c>
      <c r="CW20" s="21">
        <f t="shared" si="34"/>
        <v>0</v>
      </c>
      <c r="CX20" s="21">
        <f t="shared" ref="CX20:DP29" si="35">CX$3/10^3*CX7</f>
        <v>0</v>
      </c>
      <c r="CY20" s="21">
        <f t="shared" si="35"/>
        <v>0</v>
      </c>
      <c r="CZ20" s="21">
        <f t="shared" si="35"/>
        <v>0</v>
      </c>
      <c r="DA20" s="21">
        <f t="shared" si="35"/>
        <v>0</v>
      </c>
      <c r="DB20" s="21">
        <f t="shared" si="35"/>
        <v>0</v>
      </c>
      <c r="DC20" s="21">
        <f t="shared" si="35"/>
        <v>0</v>
      </c>
      <c r="DD20" s="21">
        <f t="shared" ref="DD20:DI20" si="36">DD$3/10^3*DD7</f>
        <v>0</v>
      </c>
      <c r="DE20" s="21">
        <f t="shared" si="36"/>
        <v>0</v>
      </c>
      <c r="DF20" s="21">
        <f t="shared" si="36"/>
        <v>0</v>
      </c>
      <c r="DH20" s="21">
        <f t="shared" si="36"/>
        <v>0</v>
      </c>
      <c r="DI20" s="21">
        <f t="shared" si="36"/>
        <v>0</v>
      </c>
      <c r="DJ20" s="21">
        <f t="shared" ref="DJ20:DJ29" si="37">DJ$3/10^3*DJ7</f>
        <v>0</v>
      </c>
      <c r="DK20" s="21">
        <f t="shared" si="35"/>
        <v>0</v>
      </c>
      <c r="DL20" s="21">
        <f t="shared" si="35"/>
        <v>0</v>
      </c>
      <c r="DM20" s="21">
        <f t="shared" ref="DM20:DM29" si="38">DM$3/10^3*DM7</f>
        <v>0</v>
      </c>
      <c r="DN20" s="21">
        <f t="shared" si="35"/>
        <v>0</v>
      </c>
      <c r="DO20" s="21">
        <f t="shared" si="35"/>
        <v>0</v>
      </c>
      <c r="DP20" s="21">
        <f t="shared" si="35"/>
        <v>0</v>
      </c>
      <c r="DQ20" s="21">
        <f t="shared" ref="DQ20:DS29" si="39">DQ$3/10^3*DQ7</f>
        <v>0</v>
      </c>
      <c r="DR20" s="21">
        <f t="shared" si="39"/>
        <v>0</v>
      </c>
      <c r="DS20" s="21">
        <f t="shared" si="39"/>
        <v>0</v>
      </c>
      <c r="DT20" s="21">
        <f t="shared" ref="DT20:DV29" si="40">DT$3/10^3*DT7</f>
        <v>0</v>
      </c>
      <c r="DU20" s="21">
        <f t="shared" si="40"/>
        <v>0</v>
      </c>
      <c r="DV20" s="21">
        <f t="shared" si="40"/>
        <v>0</v>
      </c>
      <c r="DW20" s="21">
        <f t="shared" ref="DW20:EC29" si="41">DW$3/10^3*DW7</f>
        <v>0</v>
      </c>
      <c r="DX20" s="21">
        <f t="shared" si="41"/>
        <v>0</v>
      </c>
      <c r="DY20" s="21">
        <f t="shared" si="41"/>
        <v>0</v>
      </c>
      <c r="DZ20" s="21">
        <f t="shared" si="41"/>
        <v>0</v>
      </c>
      <c r="EA20" s="21">
        <f t="shared" si="41"/>
        <v>0</v>
      </c>
      <c r="EB20" s="21">
        <f t="shared" si="41"/>
        <v>0</v>
      </c>
      <c r="EC20" s="21">
        <f t="shared" si="41"/>
        <v>0</v>
      </c>
      <c r="ED20" s="21">
        <f t="shared" ref="ED20:ED29" si="42">ED$3/10^3*ED7</f>
        <v>0</v>
      </c>
    </row>
    <row r="21" spans="1:134" x14ac:dyDescent="0.3">
      <c r="A21" s="21" t="s">
        <v>24</v>
      </c>
      <c r="B21" s="21" t="s">
        <v>71</v>
      </c>
      <c r="D21" s="21">
        <f t="shared" si="10"/>
        <v>206.50000000000003</v>
      </c>
      <c r="E21" s="21">
        <f t="shared" si="11"/>
        <v>206.50000000000003</v>
      </c>
      <c r="F21" s="21">
        <f t="shared" si="11"/>
        <v>206.50000000000003</v>
      </c>
      <c r="G21" s="21">
        <f t="shared" si="11"/>
        <v>206.50000000000003</v>
      </c>
      <c r="H21" s="21">
        <f t="shared" si="11"/>
        <v>206.50000000000003</v>
      </c>
      <c r="I21" s="21">
        <f t="shared" si="11"/>
        <v>206.50000000000003</v>
      </c>
      <c r="J21" s="21">
        <f t="shared" si="12"/>
        <v>206.50000000000003</v>
      </c>
      <c r="K21" s="21">
        <f t="shared" si="13"/>
        <v>206.50000000000003</v>
      </c>
      <c r="L21" s="21">
        <f t="shared" si="14"/>
        <v>206.50000000000003</v>
      </c>
      <c r="M21" s="21">
        <f t="shared" si="14"/>
        <v>206.50000000000003</v>
      </c>
      <c r="N21" s="21">
        <f t="shared" si="15"/>
        <v>206.50000000000003</v>
      </c>
      <c r="O21" s="21">
        <f t="shared" si="15"/>
        <v>206.50000000000003</v>
      </c>
      <c r="P21" s="21">
        <f t="shared" si="16"/>
        <v>206.50000000000003</v>
      </c>
      <c r="Q21" s="21">
        <f t="shared" si="16"/>
        <v>206.50000000000003</v>
      </c>
      <c r="R21" s="21">
        <f t="shared" si="16"/>
        <v>206.50000000000003</v>
      </c>
      <c r="S21" s="21">
        <f t="shared" si="16"/>
        <v>206.50000000000003</v>
      </c>
      <c r="T21" s="21">
        <f t="shared" si="17"/>
        <v>206.50000000000003</v>
      </c>
      <c r="U21" s="21">
        <f t="shared" si="17"/>
        <v>206.50000000000003</v>
      </c>
      <c r="V21" s="21">
        <f t="shared" si="17"/>
        <v>206.50000000000003</v>
      </c>
      <c r="W21" s="21">
        <f t="shared" si="18"/>
        <v>206.50000000000003</v>
      </c>
      <c r="X21" s="21">
        <f t="shared" si="19"/>
        <v>398.49888867111497</v>
      </c>
      <c r="Y21" s="21">
        <f t="shared" si="19"/>
        <v>398.49888867111497</v>
      </c>
      <c r="Z21" s="21">
        <f t="shared" si="19"/>
        <v>398.49888867111497</v>
      </c>
      <c r="AA21" s="21">
        <f t="shared" si="19"/>
        <v>398.49888867111497</v>
      </c>
      <c r="AB21" s="21">
        <f t="shared" ref="AB21:AC21" si="43">AB$3/10^3*AB8</f>
        <v>398.49888867111497</v>
      </c>
      <c r="AC21" s="21">
        <f t="shared" si="43"/>
        <v>398.49888867111497</v>
      </c>
      <c r="AD21" s="21">
        <f t="shared" ref="AD21" si="44">AD$3/10^3*AD8</f>
        <v>398.49888867111497</v>
      </c>
      <c r="AE21" s="21">
        <f t="shared" ref="AE21" si="45">AE$3/10^3*AE8</f>
        <v>398.49888867111497</v>
      </c>
      <c r="AF21" s="21">
        <f t="shared" si="23"/>
        <v>206.50000000000003</v>
      </c>
      <c r="AG21" s="21">
        <f t="shared" ref="AG21:AX21" si="46">AG$3/10^3*AG8</f>
        <v>0</v>
      </c>
      <c r="AH21" s="21">
        <f t="shared" si="46"/>
        <v>0</v>
      </c>
      <c r="AI21" s="21">
        <f t="shared" si="46"/>
        <v>0</v>
      </c>
      <c r="AJ21" s="21">
        <f t="shared" si="46"/>
        <v>0</v>
      </c>
      <c r="AK21" s="21">
        <f t="shared" si="46"/>
        <v>0</v>
      </c>
      <c r="AL21" s="21">
        <f t="shared" si="46"/>
        <v>0</v>
      </c>
      <c r="AM21" s="21">
        <f t="shared" si="46"/>
        <v>0</v>
      </c>
      <c r="AN21" s="21">
        <f t="shared" si="46"/>
        <v>0</v>
      </c>
      <c r="AO21" s="21">
        <f t="shared" si="46"/>
        <v>0</v>
      </c>
      <c r="AP21" s="21">
        <f t="shared" si="46"/>
        <v>0</v>
      </c>
      <c r="AQ21" s="21">
        <f t="shared" si="46"/>
        <v>0</v>
      </c>
      <c r="AR21" s="21">
        <f t="shared" si="46"/>
        <v>0</v>
      </c>
      <c r="AS21" s="21">
        <f t="shared" si="46"/>
        <v>0</v>
      </c>
      <c r="AT21" s="21">
        <f t="shared" si="46"/>
        <v>0</v>
      </c>
      <c r="AU21" s="21">
        <f t="shared" si="46"/>
        <v>0</v>
      </c>
      <c r="AV21" s="21">
        <f t="shared" si="46"/>
        <v>0</v>
      </c>
      <c r="AW21" s="21">
        <f t="shared" si="46"/>
        <v>0</v>
      </c>
      <c r="AX21" s="21">
        <f t="shared" si="46"/>
        <v>0</v>
      </c>
      <c r="AY21" s="21">
        <f t="shared" si="25"/>
        <v>0</v>
      </c>
      <c r="AZ21" s="21">
        <f t="shared" si="26"/>
        <v>0</v>
      </c>
      <c r="BA21" s="21">
        <f t="shared" si="26"/>
        <v>0</v>
      </c>
      <c r="BB21" s="21">
        <f t="shared" si="25"/>
        <v>0</v>
      </c>
      <c r="BC21" s="21">
        <f t="shared" si="25"/>
        <v>0</v>
      </c>
      <c r="BD21" s="21">
        <f t="shared" si="27"/>
        <v>0</v>
      </c>
      <c r="BE21" s="21">
        <f t="shared" si="27"/>
        <v>0</v>
      </c>
      <c r="BF21" s="21">
        <f t="shared" si="25"/>
        <v>0</v>
      </c>
      <c r="BG21" s="21">
        <f t="shared" si="25"/>
        <v>0</v>
      </c>
      <c r="BH21" s="21">
        <f t="shared" si="25"/>
        <v>0</v>
      </c>
      <c r="BI21" s="21">
        <f t="shared" ref="BI21:BT21" si="47">BI$3/10^3*BI8</f>
        <v>0</v>
      </c>
      <c r="BJ21" s="21">
        <f t="shared" si="47"/>
        <v>0</v>
      </c>
      <c r="BK21" s="21">
        <f t="shared" si="47"/>
        <v>0</v>
      </c>
      <c r="BL21" s="21">
        <f t="shared" si="47"/>
        <v>0</v>
      </c>
      <c r="BM21" s="21">
        <f t="shared" si="47"/>
        <v>0</v>
      </c>
      <c r="BN21" s="21">
        <f t="shared" si="47"/>
        <v>0</v>
      </c>
      <c r="BO21" s="21">
        <f t="shared" si="47"/>
        <v>0</v>
      </c>
      <c r="BP21" s="21">
        <f t="shared" si="47"/>
        <v>0</v>
      </c>
      <c r="BQ21" s="21">
        <f t="shared" si="47"/>
        <v>0</v>
      </c>
      <c r="BR21" s="21">
        <f t="shared" si="47"/>
        <v>0</v>
      </c>
      <c r="BS21" s="21">
        <f t="shared" si="47"/>
        <v>0</v>
      </c>
      <c r="BT21" s="21">
        <f t="shared" si="47"/>
        <v>0</v>
      </c>
      <c r="BU21" s="21">
        <f t="shared" ref="BU21:CC21" si="48">BU$3/10^3*BU8</f>
        <v>0</v>
      </c>
      <c r="BV21" s="21">
        <f t="shared" si="48"/>
        <v>0</v>
      </c>
      <c r="BW21" s="21">
        <f t="shared" si="48"/>
        <v>0</v>
      </c>
      <c r="BX21" s="21">
        <f t="shared" si="48"/>
        <v>0</v>
      </c>
      <c r="BY21" s="21">
        <f t="shared" si="48"/>
        <v>0</v>
      </c>
      <c r="BZ21" s="21">
        <f t="shared" si="48"/>
        <v>0</v>
      </c>
      <c r="CA21" s="21">
        <f t="shared" si="48"/>
        <v>0</v>
      </c>
      <c r="CB21" s="21">
        <f t="shared" si="48"/>
        <v>0</v>
      </c>
      <c r="CC21" s="21">
        <f t="shared" si="48"/>
        <v>0</v>
      </c>
      <c r="CD21" s="21">
        <f t="shared" si="30"/>
        <v>0</v>
      </c>
      <c r="CE21" s="21">
        <f t="shared" si="30"/>
        <v>0</v>
      </c>
      <c r="CF21" s="21">
        <f t="shared" si="30"/>
        <v>0</v>
      </c>
      <c r="CG21" s="21">
        <f t="shared" si="31"/>
        <v>0</v>
      </c>
      <c r="CH21" s="21">
        <f t="shared" si="31"/>
        <v>0</v>
      </c>
      <c r="CI21" s="21">
        <f t="shared" si="31"/>
        <v>0</v>
      </c>
      <c r="CJ21" s="21">
        <f t="shared" si="31"/>
        <v>0</v>
      </c>
      <c r="CK21" s="21">
        <f t="shared" si="31"/>
        <v>0</v>
      </c>
      <c r="CL21" s="21">
        <f t="shared" si="31"/>
        <v>0</v>
      </c>
      <c r="CM21" s="21">
        <f t="shared" si="31"/>
        <v>0</v>
      </c>
      <c r="CN21" s="21">
        <f t="shared" si="32"/>
        <v>0</v>
      </c>
      <c r="CO21" s="21">
        <f t="shared" si="32"/>
        <v>0</v>
      </c>
      <c r="CP21" s="21">
        <f t="shared" si="32"/>
        <v>0</v>
      </c>
      <c r="CQ21" s="21">
        <f t="shared" si="32"/>
        <v>0</v>
      </c>
      <c r="CR21" s="21">
        <f t="shared" si="33"/>
        <v>0</v>
      </c>
      <c r="CS21" s="21">
        <f t="shared" si="34"/>
        <v>0</v>
      </c>
      <c r="CT21" s="21">
        <f t="shared" si="34"/>
        <v>0</v>
      </c>
      <c r="CU21" s="21">
        <f t="shared" si="34"/>
        <v>0</v>
      </c>
      <c r="CV21" s="21">
        <f t="shared" si="34"/>
        <v>0</v>
      </c>
      <c r="CW21" s="21">
        <f t="shared" si="34"/>
        <v>0</v>
      </c>
      <c r="CX21" s="21">
        <f t="shared" si="35"/>
        <v>0</v>
      </c>
      <c r="CY21" s="21">
        <f t="shared" si="35"/>
        <v>0</v>
      </c>
      <c r="CZ21" s="21">
        <f t="shared" si="35"/>
        <v>0</v>
      </c>
      <c r="DA21" s="21">
        <f t="shared" si="35"/>
        <v>0</v>
      </c>
      <c r="DB21" s="21">
        <f t="shared" si="35"/>
        <v>0</v>
      </c>
      <c r="DC21" s="21">
        <f t="shared" si="35"/>
        <v>0</v>
      </c>
      <c r="DD21" s="21">
        <f t="shared" ref="DD21:DI21" si="49">DD$3/10^3*DD8</f>
        <v>0</v>
      </c>
      <c r="DE21" s="21">
        <f t="shared" si="49"/>
        <v>0</v>
      </c>
      <c r="DF21" s="21">
        <f t="shared" si="49"/>
        <v>0</v>
      </c>
      <c r="DH21" s="21">
        <f t="shared" si="49"/>
        <v>0</v>
      </c>
      <c r="DI21" s="21">
        <f t="shared" si="49"/>
        <v>0</v>
      </c>
      <c r="DJ21" s="21">
        <f t="shared" si="37"/>
        <v>0</v>
      </c>
      <c r="DK21" s="21">
        <f t="shared" si="35"/>
        <v>0</v>
      </c>
      <c r="DL21" s="21">
        <f t="shared" si="35"/>
        <v>0</v>
      </c>
      <c r="DM21" s="21">
        <f t="shared" si="38"/>
        <v>0</v>
      </c>
      <c r="DN21" s="21">
        <f t="shared" si="35"/>
        <v>0</v>
      </c>
      <c r="DO21" s="21">
        <f t="shared" si="35"/>
        <v>0</v>
      </c>
      <c r="DP21" s="21">
        <f t="shared" si="35"/>
        <v>0</v>
      </c>
      <c r="DQ21" s="21">
        <f t="shared" si="39"/>
        <v>0</v>
      </c>
      <c r="DR21" s="21">
        <f t="shared" si="39"/>
        <v>0</v>
      </c>
      <c r="DS21" s="21">
        <f t="shared" si="39"/>
        <v>0</v>
      </c>
      <c r="DT21" s="21">
        <f t="shared" si="40"/>
        <v>0</v>
      </c>
      <c r="DU21" s="21">
        <f t="shared" si="40"/>
        <v>0</v>
      </c>
      <c r="DV21" s="21">
        <f t="shared" si="40"/>
        <v>0</v>
      </c>
      <c r="DW21" s="21">
        <f t="shared" si="41"/>
        <v>0</v>
      </c>
      <c r="DX21" s="21">
        <f t="shared" si="41"/>
        <v>930000</v>
      </c>
      <c r="DY21" s="21">
        <f t="shared" si="41"/>
        <v>930000</v>
      </c>
      <c r="DZ21" s="21">
        <f t="shared" si="41"/>
        <v>930000</v>
      </c>
      <c r="EA21" s="21">
        <f t="shared" si="41"/>
        <v>930000</v>
      </c>
      <c r="EB21" s="21">
        <f t="shared" si="41"/>
        <v>930000</v>
      </c>
      <c r="EC21" s="21">
        <f t="shared" si="41"/>
        <v>930000</v>
      </c>
      <c r="ED21" s="21">
        <f t="shared" si="42"/>
        <v>930000</v>
      </c>
    </row>
    <row r="22" spans="1:134" x14ac:dyDescent="0.3">
      <c r="A22" s="21" t="s">
        <v>69</v>
      </c>
      <c r="B22" s="21" t="s">
        <v>71</v>
      </c>
      <c r="D22" s="21">
        <f t="shared" si="10"/>
        <v>0</v>
      </c>
      <c r="E22" s="21">
        <f t="shared" si="11"/>
        <v>0</v>
      </c>
      <c r="F22" s="21">
        <f t="shared" si="11"/>
        <v>0</v>
      </c>
      <c r="G22" s="21">
        <f t="shared" si="11"/>
        <v>0</v>
      </c>
      <c r="H22" s="21">
        <f t="shared" si="11"/>
        <v>0</v>
      </c>
      <c r="I22" s="21">
        <f t="shared" si="11"/>
        <v>0</v>
      </c>
      <c r="J22" s="21">
        <f t="shared" si="12"/>
        <v>0</v>
      </c>
      <c r="K22" s="21">
        <f t="shared" si="13"/>
        <v>0</v>
      </c>
      <c r="L22" s="21">
        <f t="shared" si="14"/>
        <v>0</v>
      </c>
      <c r="M22" s="21">
        <f t="shared" si="14"/>
        <v>0</v>
      </c>
      <c r="N22" s="21">
        <f t="shared" si="15"/>
        <v>0</v>
      </c>
      <c r="O22" s="21">
        <f t="shared" si="15"/>
        <v>0</v>
      </c>
      <c r="P22" s="21">
        <f t="shared" si="16"/>
        <v>0</v>
      </c>
      <c r="Q22" s="21">
        <f t="shared" si="16"/>
        <v>0</v>
      </c>
      <c r="R22" s="21">
        <f t="shared" si="16"/>
        <v>0</v>
      </c>
      <c r="S22" s="21">
        <f t="shared" si="16"/>
        <v>0</v>
      </c>
      <c r="T22" s="21">
        <f t="shared" si="17"/>
        <v>0</v>
      </c>
      <c r="U22" s="21">
        <f t="shared" si="17"/>
        <v>0</v>
      </c>
      <c r="V22" s="21">
        <f t="shared" si="17"/>
        <v>0</v>
      </c>
      <c r="W22" s="21">
        <f t="shared" si="18"/>
        <v>0</v>
      </c>
      <c r="X22" s="21">
        <f t="shared" si="19"/>
        <v>0</v>
      </c>
      <c r="Y22" s="21">
        <f t="shared" si="19"/>
        <v>0</v>
      </c>
      <c r="Z22" s="21">
        <f t="shared" si="19"/>
        <v>0</v>
      </c>
      <c r="AA22" s="21">
        <f t="shared" si="19"/>
        <v>0</v>
      </c>
      <c r="AB22" s="21">
        <f t="shared" ref="AB22:AC22" si="50">AB$3/10^3*AB9</f>
        <v>0</v>
      </c>
      <c r="AC22" s="21">
        <f t="shared" si="50"/>
        <v>0</v>
      </c>
      <c r="AD22" s="21">
        <f t="shared" ref="AD22" si="51">AD$3/10^3*AD9</f>
        <v>0</v>
      </c>
      <c r="AE22" s="21">
        <f t="shared" ref="AE22" si="52">AE$3/10^3*AE9</f>
        <v>0</v>
      </c>
      <c r="AF22" s="21">
        <f t="shared" si="23"/>
        <v>0</v>
      </c>
      <c r="AG22" s="21">
        <f t="shared" ref="AG22:AX22" si="53">AG$3/10^3*AG9</f>
        <v>0</v>
      </c>
      <c r="AH22" s="21">
        <f t="shared" si="53"/>
        <v>0</v>
      </c>
      <c r="AI22" s="21">
        <f t="shared" si="53"/>
        <v>0</v>
      </c>
      <c r="AJ22" s="21">
        <f t="shared" si="53"/>
        <v>0</v>
      </c>
      <c r="AK22" s="21">
        <f t="shared" si="53"/>
        <v>0</v>
      </c>
      <c r="AL22" s="21">
        <f t="shared" si="53"/>
        <v>0</v>
      </c>
      <c r="AM22" s="21">
        <f t="shared" si="53"/>
        <v>0</v>
      </c>
      <c r="AN22" s="21">
        <f t="shared" si="53"/>
        <v>0</v>
      </c>
      <c r="AO22" s="21">
        <f t="shared" si="53"/>
        <v>7470.5051639258754</v>
      </c>
      <c r="AP22" s="21">
        <f t="shared" si="53"/>
        <v>7982.4180138675356</v>
      </c>
      <c r="AQ22" s="21">
        <f t="shared" si="53"/>
        <v>8842.801045700231</v>
      </c>
      <c r="AR22" s="21">
        <f t="shared" si="53"/>
        <v>9066.477894226884</v>
      </c>
      <c r="AS22" s="21">
        <f t="shared" si="53"/>
        <v>9066.477894226884</v>
      </c>
      <c r="AT22" s="21">
        <f t="shared" si="53"/>
        <v>9066.477894226884</v>
      </c>
      <c r="AU22" s="21">
        <f t="shared" si="53"/>
        <v>9066.477894226884</v>
      </c>
      <c r="AV22" s="21">
        <f t="shared" si="53"/>
        <v>8540.6161371677827</v>
      </c>
      <c r="AW22" s="21">
        <f t="shared" si="53"/>
        <v>9592.3396512859854</v>
      </c>
      <c r="AX22" s="21">
        <f t="shared" si="53"/>
        <v>9066.477894226884</v>
      </c>
      <c r="AY22" s="21">
        <f t="shared" si="25"/>
        <v>8468.0898578348369</v>
      </c>
      <c r="AZ22" s="21">
        <f t="shared" si="26"/>
        <v>8468.0898578348369</v>
      </c>
      <c r="BA22" s="21">
        <f t="shared" si="26"/>
        <v>8468.0898578348369</v>
      </c>
      <c r="BB22" s="21">
        <f t="shared" si="25"/>
        <v>8468.0898578348369</v>
      </c>
      <c r="BC22" s="21">
        <f t="shared" si="25"/>
        <v>7470.5051639258754</v>
      </c>
      <c r="BD22" s="21">
        <f t="shared" si="27"/>
        <v>7470.5051639258754</v>
      </c>
      <c r="BE22" s="21">
        <f t="shared" si="27"/>
        <v>7470.5051639258754</v>
      </c>
      <c r="BF22" s="21">
        <f t="shared" si="25"/>
        <v>7470.5051639258754</v>
      </c>
      <c r="BG22" s="21">
        <f t="shared" si="25"/>
        <v>7470.5051639258754</v>
      </c>
      <c r="BH22" s="21">
        <f t="shared" si="25"/>
        <v>7470.5051639258754</v>
      </c>
      <c r="BI22" s="21">
        <f t="shared" ref="BI22:BT22" si="54">BI$3/10^3*BI9</f>
        <v>7470.5051639258754</v>
      </c>
      <c r="BJ22" s="21">
        <f t="shared" si="54"/>
        <v>7982.4180138675356</v>
      </c>
      <c r="BK22" s="21">
        <f t="shared" si="54"/>
        <v>8842.801045700231</v>
      </c>
      <c r="BL22" s="21">
        <f t="shared" si="54"/>
        <v>9417.0523989329522</v>
      </c>
      <c r="BM22" s="21">
        <f t="shared" si="54"/>
        <v>9417.0523989329522</v>
      </c>
      <c r="BN22" s="21">
        <f t="shared" si="54"/>
        <v>9417.0523989329522</v>
      </c>
      <c r="BO22" s="21">
        <f t="shared" si="54"/>
        <v>9417.0523989329522</v>
      </c>
      <c r="BP22" s="21">
        <f t="shared" si="54"/>
        <v>9417.0523989329522</v>
      </c>
      <c r="BQ22" s="21">
        <f t="shared" si="54"/>
        <v>9417.0523989329522</v>
      </c>
      <c r="BR22" s="21">
        <f t="shared" si="54"/>
        <v>8803.5470156973333</v>
      </c>
      <c r="BS22" s="21">
        <f t="shared" si="54"/>
        <v>10030.557782168573</v>
      </c>
      <c r="BT22" s="21">
        <f t="shared" si="54"/>
        <v>9417.0523989329522</v>
      </c>
      <c r="BU22" s="21">
        <f t="shared" ref="BU22:CC22" si="55">BU$3/10^3*BU9</f>
        <v>11871.073931875431</v>
      </c>
      <c r="BV22" s="21">
        <f t="shared" si="55"/>
        <v>11871.073931875431</v>
      </c>
      <c r="BW22" s="21">
        <f t="shared" si="55"/>
        <v>11871.073931875431</v>
      </c>
      <c r="BX22" s="21">
        <f t="shared" si="55"/>
        <v>11871.073931875431</v>
      </c>
      <c r="BY22" s="21">
        <f t="shared" si="55"/>
        <v>11871.073931875431</v>
      </c>
      <c r="BZ22" s="21">
        <f t="shared" si="55"/>
        <v>11871.073931875431</v>
      </c>
      <c r="CA22" s="21">
        <f t="shared" si="55"/>
        <v>10644.063165404192</v>
      </c>
      <c r="CB22" s="21">
        <f t="shared" si="55"/>
        <v>13098.084698346667</v>
      </c>
      <c r="CC22" s="21">
        <f t="shared" si="55"/>
        <v>11871.073931875431</v>
      </c>
      <c r="CD22" s="21">
        <f t="shared" si="30"/>
        <v>8468.0898578348369</v>
      </c>
      <c r="CE22" s="21">
        <f t="shared" si="30"/>
        <v>8468.0898578348369</v>
      </c>
      <c r="CF22" s="21">
        <f t="shared" si="30"/>
        <v>8468.0898578348369</v>
      </c>
      <c r="CG22" s="21">
        <f t="shared" si="31"/>
        <v>8468.0898578348369</v>
      </c>
      <c r="CH22" s="21">
        <f t="shared" si="31"/>
        <v>7470.5051639258754</v>
      </c>
      <c r="CI22" s="21">
        <f t="shared" si="31"/>
        <v>7982.4180138675356</v>
      </c>
      <c r="CJ22" s="21">
        <f t="shared" si="31"/>
        <v>8842.801045700231</v>
      </c>
      <c r="CK22" s="21">
        <f t="shared" si="31"/>
        <v>9417.0523989329522</v>
      </c>
      <c r="CL22" s="21">
        <f t="shared" si="31"/>
        <v>11871.073931875431</v>
      </c>
      <c r="CM22" s="21">
        <f t="shared" si="31"/>
        <v>8468.0898578348369</v>
      </c>
      <c r="CN22" s="21">
        <f t="shared" si="32"/>
        <v>9491.0402463272021</v>
      </c>
      <c r="CO22" s="21">
        <f t="shared" si="32"/>
        <v>10117.36896655073</v>
      </c>
      <c r="CP22" s="21">
        <f t="shared" si="32"/>
        <v>11049.603490822608</v>
      </c>
      <c r="CQ22" s="21">
        <f t="shared" si="32"/>
        <v>10990.534924308411</v>
      </c>
      <c r="CR22" s="21">
        <f t="shared" si="33"/>
        <v>10797.72689340113</v>
      </c>
      <c r="CS22" s="21">
        <f t="shared" si="34"/>
        <v>9491.0402463272021</v>
      </c>
      <c r="CT22" s="21">
        <f t="shared" si="34"/>
        <v>10117.36896655073</v>
      </c>
      <c r="CU22" s="21">
        <f t="shared" si="34"/>
        <v>11049.603490822608</v>
      </c>
      <c r="CV22" s="21">
        <f t="shared" si="34"/>
        <v>11341.109429014477</v>
      </c>
      <c r="CW22" s="21">
        <f t="shared" si="34"/>
        <v>13795.130961956957</v>
      </c>
      <c r="CX22" s="21">
        <f t="shared" si="35"/>
        <v>10797.72689340113</v>
      </c>
      <c r="CY22" s="21">
        <f t="shared" si="35"/>
        <v>9491.0402463272021</v>
      </c>
      <c r="CZ22" s="21">
        <f t="shared" si="35"/>
        <v>10117.36896655073</v>
      </c>
      <c r="DA22" s="21">
        <f t="shared" si="35"/>
        <v>11049.603490822608</v>
      </c>
      <c r="DB22" s="21">
        <f t="shared" si="35"/>
        <v>11341.109429014477</v>
      </c>
      <c r="DC22" s="21">
        <f t="shared" si="35"/>
        <v>13795.130961956957</v>
      </c>
      <c r="DD22" s="21">
        <f t="shared" ref="DD22:DI22" si="56">DD$3/10^3*DD9</f>
        <v>10797.72689340113</v>
      </c>
      <c r="DE22" s="21">
        <f t="shared" si="56"/>
        <v>17770.898933028609</v>
      </c>
      <c r="DF22" s="21">
        <f t="shared" si="56"/>
        <v>18252.877892634682</v>
      </c>
      <c r="DH22" s="21">
        <f t="shared" si="56"/>
        <v>23720.473505193615</v>
      </c>
      <c r="DI22" s="21">
        <f t="shared" si="56"/>
        <v>28979.091075784636</v>
      </c>
      <c r="DJ22" s="21">
        <f t="shared" si="37"/>
        <v>20636.188078390293</v>
      </c>
      <c r="DK22" s="21">
        <f t="shared" si="35"/>
        <v>51990</v>
      </c>
      <c r="DL22" s="21">
        <f t="shared" si="35"/>
        <v>51990</v>
      </c>
      <c r="DM22" s="21">
        <f t="shared" si="38"/>
        <v>51990</v>
      </c>
      <c r="DN22" s="21">
        <f t="shared" si="35"/>
        <v>51990</v>
      </c>
      <c r="DO22" s="21">
        <f t="shared" si="35"/>
        <v>51990</v>
      </c>
      <c r="DP22" s="21">
        <f t="shared" si="35"/>
        <v>51990</v>
      </c>
      <c r="DQ22" s="21">
        <f t="shared" si="39"/>
        <v>51990</v>
      </c>
      <c r="DR22" s="21">
        <f t="shared" si="39"/>
        <v>52012.713175558296</v>
      </c>
      <c r="DS22" s="21">
        <f t="shared" si="39"/>
        <v>86070.7523856591</v>
      </c>
      <c r="DT22" s="21">
        <f t="shared" si="40"/>
        <v>86070.7523856591</v>
      </c>
      <c r="DU22" s="21">
        <f t="shared" si="40"/>
        <v>72051.663282836686</v>
      </c>
      <c r="DV22" s="21">
        <f t="shared" si="40"/>
        <v>61434.005247804322</v>
      </c>
      <c r="DW22" s="21">
        <f t="shared" si="41"/>
        <v>61434.005247804322</v>
      </c>
      <c r="DX22" s="21">
        <f t="shared" si="41"/>
        <v>930000</v>
      </c>
      <c r="DY22" s="21">
        <f t="shared" si="41"/>
        <v>930000</v>
      </c>
      <c r="DZ22" s="21">
        <f t="shared" si="41"/>
        <v>930000</v>
      </c>
      <c r="EA22" s="21">
        <f t="shared" si="41"/>
        <v>930000</v>
      </c>
      <c r="EB22" s="21">
        <f t="shared" si="41"/>
        <v>930000</v>
      </c>
      <c r="EC22" s="21">
        <f t="shared" si="41"/>
        <v>930000</v>
      </c>
      <c r="ED22" s="21">
        <f t="shared" si="42"/>
        <v>930000</v>
      </c>
    </row>
    <row r="23" spans="1:134" x14ac:dyDescent="0.3">
      <c r="A23" s="21" t="str">
        <f>A22</f>
        <v xml:space="preserve">   Train</v>
      </c>
      <c r="B23" s="21" t="s">
        <v>70</v>
      </c>
      <c r="D23" s="21">
        <f t="shared" si="10"/>
        <v>0</v>
      </c>
      <c r="E23" s="21">
        <f t="shared" si="11"/>
        <v>0</v>
      </c>
      <c r="F23" s="21">
        <f t="shared" si="11"/>
        <v>0</v>
      </c>
      <c r="G23" s="21">
        <f t="shared" si="11"/>
        <v>0</v>
      </c>
      <c r="H23" s="21">
        <f t="shared" si="11"/>
        <v>0</v>
      </c>
      <c r="I23" s="21">
        <f t="shared" si="11"/>
        <v>0</v>
      </c>
      <c r="J23" s="21">
        <f t="shared" si="12"/>
        <v>0</v>
      </c>
      <c r="K23" s="21">
        <f t="shared" si="13"/>
        <v>0</v>
      </c>
      <c r="L23" s="21">
        <f t="shared" si="14"/>
        <v>0</v>
      </c>
      <c r="M23" s="21">
        <f t="shared" si="14"/>
        <v>0</v>
      </c>
      <c r="N23" s="21">
        <f t="shared" si="15"/>
        <v>0</v>
      </c>
      <c r="O23" s="21">
        <f t="shared" si="15"/>
        <v>0</v>
      </c>
      <c r="P23" s="21">
        <f t="shared" si="16"/>
        <v>0</v>
      </c>
      <c r="Q23" s="21">
        <f t="shared" si="16"/>
        <v>0</v>
      </c>
      <c r="R23" s="21">
        <f t="shared" si="16"/>
        <v>0</v>
      </c>
      <c r="S23" s="21">
        <f t="shared" si="16"/>
        <v>0</v>
      </c>
      <c r="T23" s="21">
        <f t="shared" si="17"/>
        <v>0</v>
      </c>
      <c r="U23" s="21">
        <f t="shared" si="17"/>
        <v>0</v>
      </c>
      <c r="V23" s="21">
        <f t="shared" si="17"/>
        <v>0</v>
      </c>
      <c r="W23" s="21">
        <f t="shared" si="18"/>
        <v>0</v>
      </c>
      <c r="X23" s="21">
        <f t="shared" si="19"/>
        <v>0</v>
      </c>
      <c r="Y23" s="21">
        <f t="shared" si="19"/>
        <v>0</v>
      </c>
      <c r="Z23" s="21">
        <f t="shared" si="19"/>
        <v>0</v>
      </c>
      <c r="AA23" s="21">
        <f t="shared" si="19"/>
        <v>0</v>
      </c>
      <c r="AB23" s="21">
        <f t="shared" ref="AB23:AC23" si="57">AB$3/10^3*AB10</f>
        <v>0</v>
      </c>
      <c r="AC23" s="21">
        <f t="shared" si="57"/>
        <v>0</v>
      </c>
      <c r="AD23" s="21">
        <f t="shared" ref="AD23" si="58">AD$3/10^3*AD10</f>
        <v>0</v>
      </c>
      <c r="AE23" s="21">
        <f t="shared" ref="AE23" si="59">AE$3/10^3*AE10</f>
        <v>0</v>
      </c>
      <c r="AF23" s="21">
        <f t="shared" si="23"/>
        <v>0</v>
      </c>
      <c r="AG23" s="21">
        <f t="shared" ref="AG23:AX23" si="60">AG$3/10^3*AG10</f>
        <v>0</v>
      </c>
      <c r="AH23" s="21">
        <f t="shared" si="60"/>
        <v>0</v>
      </c>
      <c r="AI23" s="21">
        <f t="shared" si="60"/>
        <v>0</v>
      </c>
      <c r="AJ23" s="21">
        <f t="shared" si="60"/>
        <v>0</v>
      </c>
      <c r="AK23" s="21">
        <f t="shared" si="60"/>
        <v>0</v>
      </c>
      <c r="AL23" s="21">
        <f t="shared" si="60"/>
        <v>0</v>
      </c>
      <c r="AM23" s="21">
        <f t="shared" si="60"/>
        <v>0</v>
      </c>
      <c r="AN23" s="21">
        <f t="shared" si="60"/>
        <v>0</v>
      </c>
      <c r="AO23" s="21">
        <f t="shared" si="60"/>
        <v>0</v>
      </c>
      <c r="AP23" s="21">
        <f t="shared" si="60"/>
        <v>0</v>
      </c>
      <c r="AQ23" s="21">
        <f t="shared" si="60"/>
        <v>0</v>
      </c>
      <c r="AR23" s="21">
        <f t="shared" si="60"/>
        <v>0</v>
      </c>
      <c r="AS23" s="21">
        <f t="shared" si="60"/>
        <v>0</v>
      </c>
      <c r="AT23" s="21">
        <f t="shared" si="60"/>
        <v>0</v>
      </c>
      <c r="AU23" s="21">
        <f t="shared" si="60"/>
        <v>0</v>
      </c>
      <c r="AV23" s="21">
        <f t="shared" si="60"/>
        <v>0</v>
      </c>
      <c r="AW23" s="21">
        <f t="shared" si="60"/>
        <v>0</v>
      </c>
      <c r="AX23" s="21">
        <f t="shared" si="60"/>
        <v>0</v>
      </c>
      <c r="AY23" s="21">
        <f t="shared" si="25"/>
        <v>0</v>
      </c>
      <c r="AZ23" s="21">
        <f t="shared" si="26"/>
        <v>0</v>
      </c>
      <c r="BA23" s="21">
        <f t="shared" si="26"/>
        <v>0</v>
      </c>
      <c r="BB23" s="21">
        <f t="shared" si="25"/>
        <v>0</v>
      </c>
      <c r="BC23" s="21">
        <f t="shared" si="25"/>
        <v>0</v>
      </c>
      <c r="BD23" s="21">
        <f t="shared" si="27"/>
        <v>0</v>
      </c>
      <c r="BE23" s="21">
        <f t="shared" si="27"/>
        <v>0</v>
      </c>
      <c r="BF23" s="21">
        <f t="shared" si="25"/>
        <v>0</v>
      </c>
      <c r="BG23" s="21">
        <f t="shared" si="25"/>
        <v>0</v>
      </c>
      <c r="BH23" s="21">
        <f t="shared" si="25"/>
        <v>0</v>
      </c>
      <c r="BI23" s="21">
        <f t="shared" ref="BI23:BT23" si="61">BI$3/10^3*BI10</f>
        <v>0</v>
      </c>
      <c r="BJ23" s="21">
        <f t="shared" si="61"/>
        <v>0</v>
      </c>
      <c r="BK23" s="21">
        <f t="shared" si="61"/>
        <v>0</v>
      </c>
      <c r="BL23" s="21">
        <f t="shared" si="61"/>
        <v>0</v>
      </c>
      <c r="BM23" s="21">
        <f t="shared" si="61"/>
        <v>0</v>
      </c>
      <c r="BN23" s="21">
        <f t="shared" si="61"/>
        <v>0</v>
      </c>
      <c r="BO23" s="21">
        <f t="shared" si="61"/>
        <v>0</v>
      </c>
      <c r="BP23" s="21">
        <f t="shared" si="61"/>
        <v>0</v>
      </c>
      <c r="BQ23" s="21">
        <f t="shared" si="61"/>
        <v>0</v>
      </c>
      <c r="BR23" s="21">
        <f t="shared" si="61"/>
        <v>0</v>
      </c>
      <c r="BS23" s="21">
        <f t="shared" si="61"/>
        <v>0</v>
      </c>
      <c r="BT23" s="21">
        <f t="shared" si="61"/>
        <v>0</v>
      </c>
      <c r="BU23" s="21">
        <f t="shared" ref="BU23:CC23" si="62">BU$3/10^3*BU10</f>
        <v>0</v>
      </c>
      <c r="BV23" s="21">
        <f t="shared" si="62"/>
        <v>0</v>
      </c>
      <c r="BW23" s="21">
        <f t="shared" si="62"/>
        <v>0</v>
      </c>
      <c r="BX23" s="21">
        <f t="shared" si="62"/>
        <v>0</v>
      </c>
      <c r="BY23" s="21">
        <f t="shared" si="62"/>
        <v>0</v>
      </c>
      <c r="BZ23" s="21">
        <f t="shared" si="62"/>
        <v>0</v>
      </c>
      <c r="CA23" s="21">
        <f t="shared" si="62"/>
        <v>0</v>
      </c>
      <c r="CB23" s="21">
        <f t="shared" si="62"/>
        <v>0</v>
      </c>
      <c r="CC23" s="21">
        <f t="shared" si="62"/>
        <v>0</v>
      </c>
      <c r="CD23" s="21">
        <f t="shared" si="30"/>
        <v>0</v>
      </c>
      <c r="CE23" s="21">
        <f t="shared" si="30"/>
        <v>0</v>
      </c>
      <c r="CF23" s="21">
        <f t="shared" si="30"/>
        <v>0</v>
      </c>
      <c r="CG23" s="21">
        <f t="shared" si="31"/>
        <v>0</v>
      </c>
      <c r="CH23" s="21">
        <f t="shared" si="31"/>
        <v>0</v>
      </c>
      <c r="CI23" s="21">
        <f t="shared" si="31"/>
        <v>0</v>
      </c>
      <c r="CJ23" s="21">
        <f t="shared" si="31"/>
        <v>0</v>
      </c>
      <c r="CK23" s="21">
        <f t="shared" si="31"/>
        <v>0</v>
      </c>
      <c r="CL23" s="21">
        <f t="shared" si="31"/>
        <v>0</v>
      </c>
      <c r="CM23" s="21">
        <f t="shared" si="31"/>
        <v>0</v>
      </c>
      <c r="CN23" s="21">
        <f t="shared" si="32"/>
        <v>0</v>
      </c>
      <c r="CO23" s="21">
        <f t="shared" si="32"/>
        <v>0</v>
      </c>
      <c r="CP23" s="21">
        <f t="shared" si="32"/>
        <v>0</v>
      </c>
      <c r="CQ23" s="21">
        <f t="shared" si="32"/>
        <v>0</v>
      </c>
      <c r="CR23" s="21">
        <f t="shared" si="33"/>
        <v>0</v>
      </c>
      <c r="CS23" s="21">
        <f t="shared" si="34"/>
        <v>0</v>
      </c>
      <c r="CT23" s="21">
        <f t="shared" si="34"/>
        <v>0</v>
      </c>
      <c r="CU23" s="21">
        <f t="shared" si="34"/>
        <v>0</v>
      </c>
      <c r="CV23" s="21">
        <f t="shared" si="34"/>
        <v>0</v>
      </c>
      <c r="CW23" s="21">
        <f t="shared" si="34"/>
        <v>0</v>
      </c>
      <c r="CX23" s="21">
        <f t="shared" si="35"/>
        <v>0</v>
      </c>
      <c r="CY23" s="21">
        <f t="shared" si="35"/>
        <v>0</v>
      </c>
      <c r="CZ23" s="21">
        <f t="shared" si="35"/>
        <v>0</v>
      </c>
      <c r="DA23" s="21">
        <f t="shared" si="35"/>
        <v>0</v>
      </c>
      <c r="DB23" s="21">
        <f t="shared" si="35"/>
        <v>0</v>
      </c>
      <c r="DC23" s="21">
        <f t="shared" si="35"/>
        <v>0</v>
      </c>
      <c r="DD23" s="21">
        <f t="shared" ref="DD23:DI23" si="63">DD$3/10^3*DD10</f>
        <v>0</v>
      </c>
      <c r="DE23" s="21">
        <f t="shared" si="63"/>
        <v>0</v>
      </c>
      <c r="DF23" s="21">
        <f t="shared" si="63"/>
        <v>0</v>
      </c>
      <c r="DH23" s="21">
        <f t="shared" si="63"/>
        <v>0</v>
      </c>
      <c r="DI23" s="21">
        <f t="shared" si="63"/>
        <v>0</v>
      </c>
      <c r="DJ23" s="21">
        <f t="shared" si="37"/>
        <v>0</v>
      </c>
      <c r="DK23" s="21">
        <f t="shared" si="35"/>
        <v>0</v>
      </c>
      <c r="DL23" s="21">
        <f t="shared" si="35"/>
        <v>0</v>
      </c>
      <c r="DM23" s="21">
        <f t="shared" si="38"/>
        <v>0</v>
      </c>
      <c r="DN23" s="21">
        <f t="shared" si="35"/>
        <v>0</v>
      </c>
      <c r="DO23" s="21">
        <f t="shared" si="35"/>
        <v>0</v>
      </c>
      <c r="DP23" s="21">
        <f t="shared" si="35"/>
        <v>0</v>
      </c>
      <c r="DQ23" s="21">
        <f t="shared" si="39"/>
        <v>0</v>
      </c>
      <c r="DR23" s="21">
        <f t="shared" si="39"/>
        <v>0</v>
      </c>
      <c r="DS23" s="21">
        <f t="shared" si="39"/>
        <v>0</v>
      </c>
      <c r="DT23" s="21">
        <f t="shared" si="40"/>
        <v>0</v>
      </c>
      <c r="DU23" s="21">
        <f t="shared" si="40"/>
        <v>0</v>
      </c>
      <c r="DV23" s="21">
        <f t="shared" si="40"/>
        <v>0</v>
      </c>
      <c r="DW23" s="21">
        <f t="shared" si="41"/>
        <v>0</v>
      </c>
      <c r="DX23" s="21">
        <f t="shared" si="41"/>
        <v>0</v>
      </c>
      <c r="DY23" s="21">
        <f t="shared" si="41"/>
        <v>0</v>
      </c>
      <c r="DZ23" s="21">
        <f t="shared" si="41"/>
        <v>0</v>
      </c>
      <c r="EA23" s="21">
        <f t="shared" si="41"/>
        <v>0</v>
      </c>
      <c r="EB23" s="21">
        <f t="shared" si="41"/>
        <v>0</v>
      </c>
      <c r="EC23" s="21">
        <f t="shared" si="41"/>
        <v>0</v>
      </c>
      <c r="ED23" s="21">
        <f t="shared" si="42"/>
        <v>0</v>
      </c>
    </row>
    <row r="24" spans="1:134" x14ac:dyDescent="0.3">
      <c r="A24" s="21" t="s">
        <v>73</v>
      </c>
      <c r="B24" s="21" t="s">
        <v>71</v>
      </c>
      <c r="D24" s="21">
        <f t="shared" si="10"/>
        <v>0</v>
      </c>
      <c r="E24" s="21">
        <f t="shared" si="11"/>
        <v>0</v>
      </c>
      <c r="F24" s="21">
        <f t="shared" si="11"/>
        <v>0</v>
      </c>
      <c r="G24" s="21">
        <f t="shared" si="11"/>
        <v>0</v>
      </c>
      <c r="H24" s="21">
        <f t="shared" si="11"/>
        <v>0</v>
      </c>
      <c r="I24" s="21">
        <f t="shared" si="11"/>
        <v>0</v>
      </c>
      <c r="J24" s="21">
        <f t="shared" si="12"/>
        <v>0</v>
      </c>
      <c r="K24" s="21">
        <f t="shared" si="13"/>
        <v>0</v>
      </c>
      <c r="L24" s="21">
        <f t="shared" si="14"/>
        <v>0</v>
      </c>
      <c r="M24" s="21">
        <f t="shared" si="14"/>
        <v>0</v>
      </c>
      <c r="N24" s="21">
        <f t="shared" si="15"/>
        <v>0</v>
      </c>
      <c r="O24" s="21">
        <f t="shared" si="15"/>
        <v>0</v>
      </c>
      <c r="P24" s="21">
        <f t="shared" si="16"/>
        <v>0</v>
      </c>
      <c r="Q24" s="21">
        <f t="shared" si="16"/>
        <v>0</v>
      </c>
      <c r="R24" s="21">
        <f t="shared" si="16"/>
        <v>0</v>
      </c>
      <c r="S24" s="21">
        <f t="shared" si="16"/>
        <v>0</v>
      </c>
      <c r="T24" s="21">
        <f t="shared" si="17"/>
        <v>0</v>
      </c>
      <c r="U24" s="21">
        <f t="shared" si="17"/>
        <v>0</v>
      </c>
      <c r="V24" s="21">
        <f t="shared" si="17"/>
        <v>0</v>
      </c>
      <c r="W24" s="21">
        <f t="shared" si="18"/>
        <v>0</v>
      </c>
      <c r="X24" s="21">
        <f t="shared" si="19"/>
        <v>0</v>
      </c>
      <c r="Y24" s="21">
        <f t="shared" si="19"/>
        <v>0</v>
      </c>
      <c r="Z24" s="21">
        <f t="shared" si="19"/>
        <v>0</v>
      </c>
      <c r="AA24" s="21">
        <f t="shared" si="19"/>
        <v>0</v>
      </c>
      <c r="AB24" s="21">
        <f t="shared" ref="AB24:AC24" si="64">AB$3/10^3*AB11</f>
        <v>0</v>
      </c>
      <c r="AC24" s="21">
        <f t="shared" si="64"/>
        <v>0</v>
      </c>
      <c r="AD24" s="21">
        <f t="shared" ref="AD24" si="65">AD$3/10^3*AD11</f>
        <v>0</v>
      </c>
      <c r="AE24" s="21">
        <f t="shared" ref="AE24" si="66">AE$3/10^3*AE11</f>
        <v>0</v>
      </c>
      <c r="AF24" s="21">
        <f t="shared" si="23"/>
        <v>0</v>
      </c>
      <c r="AG24" s="21">
        <f t="shared" ref="AG24:AX24" si="67">AG$3/10^3*AG11</f>
        <v>0</v>
      </c>
      <c r="AH24" s="21">
        <f t="shared" si="67"/>
        <v>0</v>
      </c>
      <c r="AI24" s="21">
        <f t="shared" si="67"/>
        <v>0</v>
      </c>
      <c r="AJ24" s="21">
        <f t="shared" si="67"/>
        <v>0</v>
      </c>
      <c r="AK24" s="21">
        <f t="shared" si="67"/>
        <v>0</v>
      </c>
      <c r="AL24" s="21">
        <f t="shared" si="67"/>
        <v>0</v>
      </c>
      <c r="AM24" s="21">
        <f t="shared" si="67"/>
        <v>0</v>
      </c>
      <c r="AN24" s="21">
        <f t="shared" si="67"/>
        <v>0</v>
      </c>
      <c r="AO24" s="21">
        <f t="shared" si="67"/>
        <v>0</v>
      </c>
      <c r="AP24" s="21">
        <f t="shared" si="67"/>
        <v>0</v>
      </c>
      <c r="AQ24" s="21">
        <f t="shared" si="67"/>
        <v>0</v>
      </c>
      <c r="AR24" s="21">
        <f t="shared" si="67"/>
        <v>0</v>
      </c>
      <c r="AS24" s="21">
        <f t="shared" si="67"/>
        <v>0</v>
      </c>
      <c r="AT24" s="21">
        <f t="shared" si="67"/>
        <v>0</v>
      </c>
      <c r="AU24" s="21">
        <f t="shared" si="67"/>
        <v>0</v>
      </c>
      <c r="AV24" s="21">
        <f t="shared" si="67"/>
        <v>0</v>
      </c>
      <c r="AW24" s="21">
        <f t="shared" si="67"/>
        <v>0</v>
      </c>
      <c r="AX24" s="21">
        <f t="shared" si="67"/>
        <v>0</v>
      </c>
      <c r="AY24" s="21">
        <f t="shared" si="25"/>
        <v>0</v>
      </c>
      <c r="AZ24" s="21">
        <f t="shared" si="26"/>
        <v>0</v>
      </c>
      <c r="BA24" s="21">
        <f t="shared" si="26"/>
        <v>0</v>
      </c>
      <c r="BB24" s="21">
        <f t="shared" si="25"/>
        <v>0</v>
      </c>
      <c r="BC24" s="21">
        <f t="shared" si="25"/>
        <v>0</v>
      </c>
      <c r="BD24" s="21">
        <f t="shared" si="27"/>
        <v>0</v>
      </c>
      <c r="BE24" s="21">
        <f t="shared" si="27"/>
        <v>0</v>
      </c>
      <c r="BF24" s="21">
        <f t="shared" si="25"/>
        <v>0</v>
      </c>
      <c r="BG24" s="21">
        <f t="shared" si="25"/>
        <v>0</v>
      </c>
      <c r="BH24" s="21">
        <f t="shared" si="25"/>
        <v>0</v>
      </c>
      <c r="BI24" s="21">
        <f t="shared" ref="BI24:BT24" si="68">BI$3/10^3*BI11</f>
        <v>0</v>
      </c>
      <c r="BJ24" s="21">
        <f t="shared" si="68"/>
        <v>0</v>
      </c>
      <c r="BK24" s="21">
        <f t="shared" si="68"/>
        <v>0</v>
      </c>
      <c r="BL24" s="21">
        <f t="shared" si="68"/>
        <v>0</v>
      </c>
      <c r="BM24" s="21">
        <f t="shared" si="68"/>
        <v>0</v>
      </c>
      <c r="BN24" s="21">
        <f t="shared" si="68"/>
        <v>0</v>
      </c>
      <c r="BO24" s="21">
        <f t="shared" si="68"/>
        <v>0</v>
      </c>
      <c r="BP24" s="21">
        <f t="shared" si="68"/>
        <v>0</v>
      </c>
      <c r="BQ24" s="21">
        <f t="shared" si="68"/>
        <v>0</v>
      </c>
      <c r="BR24" s="21">
        <f t="shared" si="68"/>
        <v>0</v>
      </c>
      <c r="BS24" s="21">
        <f t="shared" si="68"/>
        <v>0</v>
      </c>
      <c r="BT24" s="21">
        <f t="shared" si="68"/>
        <v>0</v>
      </c>
      <c r="BU24" s="21">
        <f t="shared" ref="BU24:CC24" si="69">BU$3/10^3*BU11</f>
        <v>0</v>
      </c>
      <c r="BV24" s="21">
        <f t="shared" si="69"/>
        <v>0</v>
      </c>
      <c r="BW24" s="21">
        <f t="shared" si="69"/>
        <v>0</v>
      </c>
      <c r="BX24" s="21">
        <f t="shared" si="69"/>
        <v>0</v>
      </c>
      <c r="BY24" s="21">
        <f t="shared" si="69"/>
        <v>0</v>
      </c>
      <c r="BZ24" s="21">
        <f t="shared" si="69"/>
        <v>0</v>
      </c>
      <c r="CA24" s="21">
        <f t="shared" si="69"/>
        <v>0</v>
      </c>
      <c r="CB24" s="21">
        <f t="shared" si="69"/>
        <v>0</v>
      </c>
      <c r="CC24" s="21">
        <f t="shared" si="69"/>
        <v>0</v>
      </c>
      <c r="CD24" s="21">
        <f t="shared" si="30"/>
        <v>0</v>
      </c>
      <c r="CE24" s="21">
        <f t="shared" si="30"/>
        <v>0</v>
      </c>
      <c r="CF24" s="21">
        <f t="shared" si="30"/>
        <v>0</v>
      </c>
      <c r="CG24" s="21">
        <f t="shared" si="31"/>
        <v>0</v>
      </c>
      <c r="CH24" s="21">
        <f t="shared" si="31"/>
        <v>0</v>
      </c>
      <c r="CI24" s="21">
        <f t="shared" si="31"/>
        <v>0</v>
      </c>
      <c r="CJ24" s="21">
        <f t="shared" si="31"/>
        <v>0</v>
      </c>
      <c r="CK24" s="21">
        <f t="shared" si="31"/>
        <v>0</v>
      </c>
      <c r="CL24" s="21">
        <f t="shared" si="31"/>
        <v>0</v>
      </c>
      <c r="CM24" s="21">
        <f t="shared" si="31"/>
        <v>0</v>
      </c>
      <c r="CN24" s="21">
        <f t="shared" si="32"/>
        <v>0</v>
      </c>
      <c r="CO24" s="21">
        <f t="shared" si="32"/>
        <v>0</v>
      </c>
      <c r="CP24" s="21">
        <f t="shared" si="32"/>
        <v>0</v>
      </c>
      <c r="CQ24" s="21">
        <f t="shared" si="32"/>
        <v>0</v>
      </c>
      <c r="CR24" s="21">
        <f t="shared" si="33"/>
        <v>0</v>
      </c>
      <c r="CS24" s="21">
        <f t="shared" si="34"/>
        <v>0</v>
      </c>
      <c r="CT24" s="21">
        <f t="shared" si="34"/>
        <v>0</v>
      </c>
      <c r="CU24" s="21">
        <f t="shared" si="34"/>
        <v>0</v>
      </c>
      <c r="CV24" s="21">
        <f t="shared" si="34"/>
        <v>0</v>
      </c>
      <c r="CW24" s="21">
        <f t="shared" si="34"/>
        <v>0</v>
      </c>
      <c r="CX24" s="21">
        <f t="shared" si="35"/>
        <v>0</v>
      </c>
      <c r="CY24" s="21">
        <f t="shared" si="35"/>
        <v>0</v>
      </c>
      <c r="CZ24" s="21">
        <f t="shared" si="35"/>
        <v>0</v>
      </c>
      <c r="DA24" s="21">
        <f t="shared" si="35"/>
        <v>0</v>
      </c>
      <c r="DB24" s="21">
        <f t="shared" si="35"/>
        <v>0</v>
      </c>
      <c r="DC24" s="21">
        <f t="shared" si="35"/>
        <v>0</v>
      </c>
      <c r="DD24" s="21">
        <f t="shared" ref="DD24:DI24" si="70">DD$3/10^3*DD11</f>
        <v>0</v>
      </c>
      <c r="DE24" s="21">
        <f t="shared" si="70"/>
        <v>0</v>
      </c>
      <c r="DF24" s="21">
        <f t="shared" si="70"/>
        <v>0</v>
      </c>
      <c r="DH24" s="21">
        <f t="shared" si="70"/>
        <v>0</v>
      </c>
      <c r="DI24" s="21">
        <f t="shared" si="70"/>
        <v>0</v>
      </c>
      <c r="DJ24" s="21">
        <f t="shared" si="37"/>
        <v>0</v>
      </c>
      <c r="DK24" s="21">
        <f t="shared" si="35"/>
        <v>0</v>
      </c>
      <c r="DL24" s="21">
        <f t="shared" si="35"/>
        <v>0</v>
      </c>
      <c r="DM24" s="21">
        <f t="shared" si="38"/>
        <v>0</v>
      </c>
      <c r="DN24" s="21">
        <f t="shared" si="35"/>
        <v>0</v>
      </c>
      <c r="DO24" s="21">
        <f t="shared" si="35"/>
        <v>0</v>
      </c>
      <c r="DP24" s="21">
        <f t="shared" si="35"/>
        <v>0</v>
      </c>
      <c r="DQ24" s="21">
        <f t="shared" si="39"/>
        <v>0</v>
      </c>
      <c r="DR24" s="21">
        <f t="shared" si="39"/>
        <v>0</v>
      </c>
      <c r="DS24" s="21">
        <f t="shared" si="39"/>
        <v>0</v>
      </c>
      <c r="DT24" s="21">
        <f t="shared" si="40"/>
        <v>0</v>
      </c>
      <c r="DU24" s="21">
        <f t="shared" si="40"/>
        <v>0</v>
      </c>
      <c r="DV24" s="21">
        <f t="shared" si="40"/>
        <v>0</v>
      </c>
      <c r="DW24" s="21">
        <f t="shared" si="41"/>
        <v>0</v>
      </c>
      <c r="DX24" s="21">
        <f t="shared" si="41"/>
        <v>0</v>
      </c>
      <c r="DY24" s="21">
        <f t="shared" si="41"/>
        <v>0</v>
      </c>
      <c r="DZ24" s="21">
        <f t="shared" si="41"/>
        <v>0</v>
      </c>
      <c r="EA24" s="21">
        <f t="shared" si="41"/>
        <v>0</v>
      </c>
      <c r="EB24" s="21">
        <f t="shared" si="41"/>
        <v>0</v>
      </c>
      <c r="EC24" s="21">
        <f t="shared" si="41"/>
        <v>0</v>
      </c>
      <c r="ED24" s="21">
        <f t="shared" si="42"/>
        <v>0</v>
      </c>
    </row>
    <row r="25" spans="1:134" x14ac:dyDescent="0.3">
      <c r="A25" s="21" t="str">
        <f>A24</f>
        <v xml:space="preserve">   Heavy truck</v>
      </c>
      <c r="B25" s="21" t="s">
        <v>70</v>
      </c>
      <c r="D25" s="21">
        <f t="shared" si="10"/>
        <v>0</v>
      </c>
      <c r="E25" s="21">
        <f t="shared" si="11"/>
        <v>0</v>
      </c>
      <c r="F25" s="21">
        <f t="shared" si="11"/>
        <v>0</v>
      </c>
      <c r="G25" s="21">
        <f t="shared" si="11"/>
        <v>0</v>
      </c>
      <c r="H25" s="21">
        <f t="shared" si="11"/>
        <v>0</v>
      </c>
      <c r="I25" s="21">
        <f t="shared" si="11"/>
        <v>0</v>
      </c>
      <c r="J25" s="21">
        <f t="shared" si="12"/>
        <v>0</v>
      </c>
      <c r="K25" s="21">
        <f t="shared" si="13"/>
        <v>0</v>
      </c>
      <c r="L25" s="21">
        <f t="shared" si="14"/>
        <v>0</v>
      </c>
      <c r="M25" s="21">
        <f t="shared" si="14"/>
        <v>0</v>
      </c>
      <c r="N25" s="21">
        <f t="shared" si="15"/>
        <v>0</v>
      </c>
      <c r="O25" s="21">
        <f t="shared" si="15"/>
        <v>0</v>
      </c>
      <c r="P25" s="21">
        <f t="shared" si="16"/>
        <v>0</v>
      </c>
      <c r="Q25" s="21">
        <f t="shared" si="16"/>
        <v>0</v>
      </c>
      <c r="R25" s="21">
        <f t="shared" si="16"/>
        <v>0</v>
      </c>
      <c r="S25" s="21">
        <f t="shared" si="16"/>
        <v>0</v>
      </c>
      <c r="T25" s="21">
        <f t="shared" si="17"/>
        <v>0</v>
      </c>
      <c r="U25" s="21">
        <f t="shared" si="17"/>
        <v>0</v>
      </c>
      <c r="V25" s="21">
        <f t="shared" si="17"/>
        <v>0</v>
      </c>
      <c r="W25" s="21">
        <f t="shared" si="18"/>
        <v>0</v>
      </c>
      <c r="X25" s="21">
        <f t="shared" si="19"/>
        <v>0</v>
      </c>
      <c r="Y25" s="21">
        <f t="shared" si="19"/>
        <v>0</v>
      </c>
      <c r="Z25" s="21">
        <f t="shared" si="19"/>
        <v>0</v>
      </c>
      <c r="AA25" s="21">
        <f t="shared" si="19"/>
        <v>0</v>
      </c>
      <c r="AB25" s="21">
        <f t="shared" ref="AB25:AC25" si="71">AB$3/10^3*AB12</f>
        <v>0</v>
      </c>
      <c r="AC25" s="21">
        <f t="shared" si="71"/>
        <v>0</v>
      </c>
      <c r="AD25" s="21">
        <f t="shared" ref="AD25" si="72">AD$3/10^3*AD12</f>
        <v>0</v>
      </c>
      <c r="AE25" s="21">
        <f t="shared" ref="AE25" si="73">AE$3/10^3*AE12</f>
        <v>0</v>
      </c>
      <c r="AF25" s="21">
        <f t="shared" si="23"/>
        <v>0</v>
      </c>
      <c r="AG25" s="21">
        <f t="shared" ref="AG25:AX25" si="74">AG$3/10^3*AG12</f>
        <v>0</v>
      </c>
      <c r="AH25" s="21">
        <f t="shared" si="74"/>
        <v>0</v>
      </c>
      <c r="AI25" s="21">
        <f t="shared" si="74"/>
        <v>0</v>
      </c>
      <c r="AJ25" s="21">
        <f t="shared" si="74"/>
        <v>0</v>
      </c>
      <c r="AK25" s="21">
        <f t="shared" si="74"/>
        <v>0</v>
      </c>
      <c r="AL25" s="21">
        <f t="shared" si="74"/>
        <v>0</v>
      </c>
      <c r="AM25" s="21">
        <f t="shared" si="74"/>
        <v>0</v>
      </c>
      <c r="AN25" s="21">
        <f t="shared" si="74"/>
        <v>0</v>
      </c>
      <c r="AO25" s="21">
        <f t="shared" si="74"/>
        <v>1494.1010327851752</v>
      </c>
      <c r="AP25" s="21">
        <f t="shared" si="74"/>
        <v>1596.4836027735073</v>
      </c>
      <c r="AQ25" s="21">
        <f t="shared" si="74"/>
        <v>1768.560209140046</v>
      </c>
      <c r="AR25" s="21">
        <f t="shared" si="74"/>
        <v>1813.2955788453769</v>
      </c>
      <c r="AS25" s="21">
        <f t="shared" si="74"/>
        <v>1813.2955788453769</v>
      </c>
      <c r="AT25" s="21">
        <f t="shared" si="74"/>
        <v>1813.2955788453769</v>
      </c>
      <c r="AU25" s="21">
        <f t="shared" si="74"/>
        <v>1813.2955788453769</v>
      </c>
      <c r="AV25" s="21">
        <f t="shared" si="74"/>
        <v>1708.1232274335564</v>
      </c>
      <c r="AW25" s="21">
        <f t="shared" si="74"/>
        <v>1918.4679302571972</v>
      </c>
      <c r="AX25" s="21">
        <f t="shared" si="74"/>
        <v>1813.2955788453769</v>
      </c>
      <c r="AY25" s="21">
        <f t="shared" si="25"/>
        <v>1693.6179715669675</v>
      </c>
      <c r="AZ25" s="21">
        <f t="shared" si="26"/>
        <v>1693.6179715669675</v>
      </c>
      <c r="BA25" s="21">
        <f t="shared" si="26"/>
        <v>1693.6179715669675</v>
      </c>
      <c r="BB25" s="21">
        <f t="shared" si="25"/>
        <v>1693.6179715669675</v>
      </c>
      <c r="BC25" s="21">
        <f t="shared" si="25"/>
        <v>1494.1010327851752</v>
      </c>
      <c r="BD25" s="21">
        <f t="shared" si="27"/>
        <v>1494.1010327851752</v>
      </c>
      <c r="BE25" s="21">
        <f t="shared" si="27"/>
        <v>1494.1010327851752</v>
      </c>
      <c r="BF25" s="21">
        <f t="shared" si="25"/>
        <v>1494.1010327851752</v>
      </c>
      <c r="BG25" s="21">
        <f t="shared" si="25"/>
        <v>1494.1010327851752</v>
      </c>
      <c r="BH25" s="21">
        <f t="shared" si="25"/>
        <v>1494.1010327851752</v>
      </c>
      <c r="BI25" s="21">
        <f t="shared" ref="BI25:BT25" si="75">BI$3/10^3*BI12</f>
        <v>1494.1010327851752</v>
      </c>
      <c r="BJ25" s="21">
        <f t="shared" si="75"/>
        <v>1596.4836027735073</v>
      </c>
      <c r="BK25" s="21">
        <f t="shared" si="75"/>
        <v>1768.560209140046</v>
      </c>
      <c r="BL25" s="21">
        <f t="shared" si="75"/>
        <v>1883.4104797865905</v>
      </c>
      <c r="BM25" s="21">
        <f t="shared" si="75"/>
        <v>1883.4104797865905</v>
      </c>
      <c r="BN25" s="21">
        <f t="shared" si="75"/>
        <v>1883.4104797865905</v>
      </c>
      <c r="BO25" s="21">
        <f t="shared" si="75"/>
        <v>1883.4104797865905</v>
      </c>
      <c r="BP25" s="21">
        <f t="shared" si="75"/>
        <v>1883.4104797865905</v>
      </c>
      <c r="BQ25" s="21">
        <f t="shared" si="75"/>
        <v>1883.4104797865905</v>
      </c>
      <c r="BR25" s="21">
        <f t="shared" si="75"/>
        <v>1760.7094031394668</v>
      </c>
      <c r="BS25" s="21">
        <f t="shared" si="75"/>
        <v>2006.1115564337144</v>
      </c>
      <c r="BT25" s="21">
        <f t="shared" si="75"/>
        <v>1883.4104797865905</v>
      </c>
      <c r="BU25" s="21">
        <f t="shared" ref="BU25:CC25" si="76">BU$3/10^3*BU12</f>
        <v>2374.2147863750861</v>
      </c>
      <c r="BV25" s="21">
        <f t="shared" si="76"/>
        <v>2374.2147863750861</v>
      </c>
      <c r="BW25" s="21">
        <f t="shared" si="76"/>
        <v>2374.2147863750861</v>
      </c>
      <c r="BX25" s="21">
        <f t="shared" si="76"/>
        <v>2374.2147863750861</v>
      </c>
      <c r="BY25" s="21">
        <f t="shared" si="76"/>
        <v>2374.2147863750861</v>
      </c>
      <c r="BZ25" s="21">
        <f t="shared" si="76"/>
        <v>2374.2147863750861</v>
      </c>
      <c r="CA25" s="21">
        <f t="shared" si="76"/>
        <v>2128.8126330808382</v>
      </c>
      <c r="CB25" s="21">
        <f t="shared" si="76"/>
        <v>2619.6169396693335</v>
      </c>
      <c r="CC25" s="21">
        <f t="shared" si="76"/>
        <v>2374.2147863750861</v>
      </c>
      <c r="CD25" s="21">
        <f t="shared" si="30"/>
        <v>1693.6179715669675</v>
      </c>
      <c r="CE25" s="21">
        <f t="shared" si="30"/>
        <v>1693.6179715669675</v>
      </c>
      <c r="CF25" s="21">
        <f t="shared" si="30"/>
        <v>1693.6179715669675</v>
      </c>
      <c r="CG25" s="21">
        <f t="shared" si="31"/>
        <v>1693.6179715669675</v>
      </c>
      <c r="CH25" s="21">
        <f t="shared" si="31"/>
        <v>1494.1010327851752</v>
      </c>
      <c r="CI25" s="21">
        <f t="shared" si="31"/>
        <v>1596.4836027735073</v>
      </c>
      <c r="CJ25" s="21">
        <f t="shared" si="31"/>
        <v>1768.560209140046</v>
      </c>
      <c r="CK25" s="21">
        <f t="shared" si="31"/>
        <v>1883.4104797865905</v>
      </c>
      <c r="CL25" s="21">
        <f t="shared" si="31"/>
        <v>2374.2147863750861</v>
      </c>
      <c r="CM25" s="21">
        <f t="shared" si="31"/>
        <v>1693.6179715669675</v>
      </c>
      <c r="CN25" s="21">
        <f t="shared" si="32"/>
        <v>1898.2080492654404</v>
      </c>
      <c r="CO25" s="21">
        <f t="shared" si="32"/>
        <v>2023.473793310146</v>
      </c>
      <c r="CP25" s="21">
        <f t="shared" si="32"/>
        <v>2209.9206981645216</v>
      </c>
      <c r="CQ25" s="21">
        <f t="shared" si="32"/>
        <v>2198.1069848616821</v>
      </c>
      <c r="CR25" s="21">
        <f t="shared" si="33"/>
        <v>2159.5453786802259</v>
      </c>
      <c r="CS25" s="21">
        <f t="shared" si="34"/>
        <v>1898.2080492654404</v>
      </c>
      <c r="CT25" s="21">
        <f t="shared" si="34"/>
        <v>2023.473793310146</v>
      </c>
      <c r="CU25" s="21">
        <f t="shared" si="34"/>
        <v>2209.9206981645216</v>
      </c>
      <c r="CV25" s="21">
        <f t="shared" si="34"/>
        <v>2268.2218858028955</v>
      </c>
      <c r="CW25" s="21">
        <f t="shared" si="34"/>
        <v>2759.0261923913913</v>
      </c>
      <c r="CX25" s="21">
        <f t="shared" si="35"/>
        <v>2159.5453786802259</v>
      </c>
      <c r="CY25" s="21">
        <f t="shared" si="35"/>
        <v>1898.2080492654404</v>
      </c>
      <c r="CZ25" s="21">
        <f t="shared" si="35"/>
        <v>2023.473793310146</v>
      </c>
      <c r="DA25" s="21">
        <f t="shared" si="35"/>
        <v>2209.9206981645216</v>
      </c>
      <c r="DB25" s="21">
        <f t="shared" si="35"/>
        <v>2268.2218858028955</v>
      </c>
      <c r="DC25" s="21">
        <f t="shared" si="35"/>
        <v>2759.0261923913913</v>
      </c>
      <c r="DD25" s="21">
        <f t="shared" ref="DD25:DI25" si="77">DD$3/10^3*DD12</f>
        <v>2159.5453786802259</v>
      </c>
      <c r="DE25" s="21">
        <f t="shared" si="77"/>
        <v>3554.1797866057218</v>
      </c>
      <c r="DF25" s="21">
        <f t="shared" si="77"/>
        <v>3650.5755785269366</v>
      </c>
      <c r="DH25" s="21">
        <f t="shared" si="77"/>
        <v>4744.0947010387226</v>
      </c>
      <c r="DI25" s="21">
        <f t="shared" si="77"/>
        <v>5795.8182151569272</v>
      </c>
      <c r="DJ25" s="21">
        <f t="shared" si="37"/>
        <v>4127.2376156780592</v>
      </c>
      <c r="DK25" s="21">
        <f t="shared" si="35"/>
        <v>10398</v>
      </c>
      <c r="DL25" s="21">
        <f t="shared" si="35"/>
        <v>10398</v>
      </c>
      <c r="DM25" s="21">
        <f t="shared" si="38"/>
        <v>10398</v>
      </c>
      <c r="DN25" s="21">
        <f t="shared" si="35"/>
        <v>10398</v>
      </c>
      <c r="DO25" s="21">
        <f t="shared" si="35"/>
        <v>10398</v>
      </c>
      <c r="DP25" s="21">
        <f t="shared" si="35"/>
        <v>10398</v>
      </c>
      <c r="DQ25" s="21">
        <f t="shared" si="39"/>
        <v>10398</v>
      </c>
      <c r="DR25" s="21">
        <f t="shared" si="39"/>
        <v>10402.54263511166</v>
      </c>
      <c r="DS25" s="21">
        <f t="shared" si="39"/>
        <v>17214.150477131821</v>
      </c>
      <c r="DT25" s="21">
        <f t="shared" si="40"/>
        <v>17214.150477131821</v>
      </c>
      <c r="DU25" s="21">
        <f t="shared" si="40"/>
        <v>14410.332656567338</v>
      </c>
      <c r="DV25" s="21">
        <f t="shared" si="40"/>
        <v>12286.801049560865</v>
      </c>
      <c r="DW25" s="21">
        <f t="shared" si="41"/>
        <v>12286.801049560865</v>
      </c>
      <c r="DX25" s="21">
        <f t="shared" si="41"/>
        <v>0</v>
      </c>
      <c r="DY25" s="21">
        <f t="shared" si="41"/>
        <v>0</v>
      </c>
      <c r="DZ25" s="21">
        <f t="shared" si="41"/>
        <v>0</v>
      </c>
      <c r="EA25" s="21">
        <f t="shared" si="41"/>
        <v>0</v>
      </c>
      <c r="EB25" s="21">
        <f t="shared" si="41"/>
        <v>0</v>
      </c>
      <c r="EC25" s="21">
        <f t="shared" si="41"/>
        <v>0</v>
      </c>
      <c r="ED25" s="21">
        <f t="shared" si="42"/>
        <v>0</v>
      </c>
    </row>
    <row r="26" spans="1:134" x14ac:dyDescent="0.3">
      <c r="A26" s="21" t="s">
        <v>72</v>
      </c>
      <c r="B26" s="21" t="s">
        <v>71</v>
      </c>
      <c r="D26" s="21">
        <f t="shared" si="10"/>
        <v>70</v>
      </c>
      <c r="E26" s="21">
        <f t="shared" si="11"/>
        <v>70</v>
      </c>
      <c r="F26" s="21">
        <f t="shared" si="11"/>
        <v>70</v>
      </c>
      <c r="G26" s="21">
        <f t="shared" si="11"/>
        <v>70</v>
      </c>
      <c r="H26" s="21">
        <f t="shared" si="11"/>
        <v>70</v>
      </c>
      <c r="I26" s="21">
        <f t="shared" si="11"/>
        <v>70</v>
      </c>
      <c r="J26" s="21">
        <f t="shared" si="12"/>
        <v>70</v>
      </c>
      <c r="K26" s="21">
        <f t="shared" si="13"/>
        <v>70</v>
      </c>
      <c r="L26" s="21">
        <f t="shared" si="14"/>
        <v>70</v>
      </c>
      <c r="M26" s="21">
        <f t="shared" si="14"/>
        <v>70</v>
      </c>
      <c r="N26" s="21">
        <f t="shared" si="15"/>
        <v>70</v>
      </c>
      <c r="O26" s="21">
        <f t="shared" si="15"/>
        <v>70</v>
      </c>
      <c r="P26" s="21">
        <f t="shared" si="16"/>
        <v>70</v>
      </c>
      <c r="Q26" s="21">
        <f t="shared" si="16"/>
        <v>70</v>
      </c>
      <c r="R26" s="21">
        <f t="shared" si="16"/>
        <v>70</v>
      </c>
      <c r="S26" s="21">
        <f t="shared" si="16"/>
        <v>70</v>
      </c>
      <c r="T26" s="21">
        <f t="shared" si="17"/>
        <v>70</v>
      </c>
      <c r="U26" s="21">
        <f t="shared" si="17"/>
        <v>70</v>
      </c>
      <c r="V26" s="21">
        <f t="shared" si="17"/>
        <v>70</v>
      </c>
      <c r="W26" s="21">
        <f t="shared" si="18"/>
        <v>70</v>
      </c>
      <c r="X26" s="21">
        <f t="shared" si="19"/>
        <v>135.08436904105591</v>
      </c>
      <c r="Y26" s="21">
        <f t="shared" si="19"/>
        <v>135.08436904105591</v>
      </c>
      <c r="Z26" s="21">
        <f t="shared" si="19"/>
        <v>135.08436904105591</v>
      </c>
      <c r="AA26" s="21">
        <f t="shared" si="19"/>
        <v>135.08436904105591</v>
      </c>
      <c r="AB26" s="21">
        <f t="shared" ref="AB26:AC26" si="78">AB$3/10^3*AB13</f>
        <v>135.08436904105591</v>
      </c>
      <c r="AC26" s="21">
        <f t="shared" si="78"/>
        <v>135.08436904105591</v>
      </c>
      <c r="AD26" s="21">
        <f t="shared" ref="AD26" si="79">AD$3/10^3*AD13</f>
        <v>135.08436904105591</v>
      </c>
      <c r="AE26" s="21">
        <f t="shared" ref="AE26" si="80">AE$3/10^3*AE13</f>
        <v>135.08436904105591</v>
      </c>
      <c r="AF26" s="21">
        <f t="shared" si="23"/>
        <v>70</v>
      </c>
      <c r="AG26" s="21">
        <f t="shared" ref="AG26:AX26" si="81">AG$3/10^3*AG13</f>
        <v>93.366778388961322</v>
      </c>
      <c r="AH26" s="21">
        <f t="shared" si="81"/>
        <v>125.40880634457568</v>
      </c>
      <c r="AI26" s="21">
        <f t="shared" si="81"/>
        <v>125.40880634457568</v>
      </c>
      <c r="AJ26" s="21">
        <f t="shared" si="81"/>
        <v>148.2200078827878</v>
      </c>
      <c r="AK26" s="21">
        <f t="shared" si="81"/>
        <v>376</v>
      </c>
      <c r="AL26" s="21">
        <f t="shared" si="81"/>
        <v>367.93258085937333</v>
      </c>
      <c r="AM26" s="21">
        <f t="shared" si="81"/>
        <v>376</v>
      </c>
      <c r="AN26" s="21">
        <f t="shared" si="81"/>
        <v>404.39232934880442</v>
      </c>
      <c r="AO26" s="21">
        <f t="shared" si="81"/>
        <v>0</v>
      </c>
      <c r="AP26" s="21">
        <f t="shared" si="81"/>
        <v>0</v>
      </c>
      <c r="AQ26" s="21">
        <f t="shared" si="81"/>
        <v>0</v>
      </c>
      <c r="AR26" s="21">
        <f t="shared" si="81"/>
        <v>0</v>
      </c>
      <c r="AS26" s="21">
        <f t="shared" si="81"/>
        <v>0</v>
      </c>
      <c r="AT26" s="21">
        <f t="shared" si="81"/>
        <v>0</v>
      </c>
      <c r="AU26" s="21">
        <f t="shared" si="81"/>
        <v>0</v>
      </c>
      <c r="AV26" s="21">
        <f t="shared" si="81"/>
        <v>0</v>
      </c>
      <c r="AW26" s="21">
        <f t="shared" si="81"/>
        <v>0</v>
      </c>
      <c r="AX26" s="21">
        <f t="shared" si="81"/>
        <v>0</v>
      </c>
      <c r="AY26" s="21">
        <f t="shared" si="25"/>
        <v>0</v>
      </c>
      <c r="AZ26" s="21">
        <f t="shared" si="26"/>
        <v>0</v>
      </c>
      <c r="BA26" s="21">
        <f t="shared" si="26"/>
        <v>0</v>
      </c>
      <c r="BB26" s="21">
        <f t="shared" si="25"/>
        <v>0</v>
      </c>
      <c r="BC26" s="21">
        <f t="shared" si="25"/>
        <v>0</v>
      </c>
      <c r="BD26" s="21">
        <f t="shared" si="27"/>
        <v>0</v>
      </c>
      <c r="BE26" s="21">
        <f t="shared" si="27"/>
        <v>0</v>
      </c>
      <c r="BF26" s="21">
        <f t="shared" si="25"/>
        <v>0</v>
      </c>
      <c r="BG26" s="21">
        <f t="shared" si="25"/>
        <v>0</v>
      </c>
      <c r="BH26" s="21">
        <f t="shared" si="25"/>
        <v>0</v>
      </c>
      <c r="BI26" s="21">
        <f t="shared" ref="BI26:BT26" si="82">BI$3/10^3*BI13</f>
        <v>0</v>
      </c>
      <c r="BJ26" s="21">
        <f t="shared" si="82"/>
        <v>0</v>
      </c>
      <c r="BK26" s="21">
        <f t="shared" si="82"/>
        <v>0</v>
      </c>
      <c r="BL26" s="21">
        <f t="shared" si="82"/>
        <v>0</v>
      </c>
      <c r="BM26" s="21">
        <f t="shared" si="82"/>
        <v>0</v>
      </c>
      <c r="BN26" s="21">
        <f t="shared" si="82"/>
        <v>0</v>
      </c>
      <c r="BO26" s="21">
        <f t="shared" si="82"/>
        <v>0</v>
      </c>
      <c r="BP26" s="21">
        <f t="shared" si="82"/>
        <v>0</v>
      </c>
      <c r="BQ26" s="21">
        <f t="shared" si="82"/>
        <v>0</v>
      </c>
      <c r="BR26" s="21">
        <f t="shared" si="82"/>
        <v>0</v>
      </c>
      <c r="BS26" s="21">
        <f t="shared" si="82"/>
        <v>0</v>
      </c>
      <c r="BT26" s="21">
        <f t="shared" si="82"/>
        <v>0</v>
      </c>
      <c r="BU26" s="21">
        <f t="shared" ref="BU26:CC26" si="83">BU$3/10^3*BU13</f>
        <v>0</v>
      </c>
      <c r="BV26" s="21">
        <f t="shared" si="83"/>
        <v>0</v>
      </c>
      <c r="BW26" s="21">
        <f t="shared" si="83"/>
        <v>0</v>
      </c>
      <c r="BX26" s="21">
        <f t="shared" si="83"/>
        <v>0</v>
      </c>
      <c r="BY26" s="21">
        <f t="shared" si="83"/>
        <v>0</v>
      </c>
      <c r="BZ26" s="21">
        <f t="shared" si="83"/>
        <v>0</v>
      </c>
      <c r="CA26" s="21">
        <f t="shared" si="83"/>
        <v>0</v>
      </c>
      <c r="CB26" s="21">
        <f t="shared" si="83"/>
        <v>0</v>
      </c>
      <c r="CC26" s="21">
        <f t="shared" si="83"/>
        <v>0</v>
      </c>
      <c r="CD26" s="21">
        <f t="shared" si="30"/>
        <v>0</v>
      </c>
      <c r="CE26" s="21">
        <f t="shared" si="30"/>
        <v>0</v>
      </c>
      <c r="CF26" s="21">
        <f t="shared" si="30"/>
        <v>0</v>
      </c>
      <c r="CG26" s="21">
        <f t="shared" si="31"/>
        <v>0</v>
      </c>
      <c r="CH26" s="21">
        <f t="shared" si="31"/>
        <v>0</v>
      </c>
      <c r="CI26" s="21">
        <f t="shared" si="31"/>
        <v>0</v>
      </c>
      <c r="CJ26" s="21">
        <f t="shared" si="31"/>
        <v>0</v>
      </c>
      <c r="CK26" s="21">
        <f t="shared" si="31"/>
        <v>0</v>
      </c>
      <c r="CL26" s="21">
        <f t="shared" si="31"/>
        <v>0</v>
      </c>
      <c r="CM26" s="21">
        <f t="shared" si="31"/>
        <v>0</v>
      </c>
      <c r="CN26" s="21">
        <f t="shared" si="32"/>
        <v>0</v>
      </c>
      <c r="CO26" s="21">
        <f t="shared" si="32"/>
        <v>0</v>
      </c>
      <c r="CP26" s="21">
        <f t="shared" si="32"/>
        <v>0</v>
      </c>
      <c r="CQ26" s="21">
        <f t="shared" si="32"/>
        <v>0</v>
      </c>
      <c r="CR26" s="21">
        <f t="shared" si="33"/>
        <v>0</v>
      </c>
      <c r="CS26" s="21">
        <f t="shared" si="34"/>
        <v>0</v>
      </c>
      <c r="CT26" s="21">
        <f t="shared" si="34"/>
        <v>0</v>
      </c>
      <c r="CU26" s="21">
        <f t="shared" si="34"/>
        <v>0</v>
      </c>
      <c r="CV26" s="21">
        <f t="shared" si="34"/>
        <v>0</v>
      </c>
      <c r="CW26" s="21">
        <f t="shared" si="34"/>
        <v>0</v>
      </c>
      <c r="CX26" s="21">
        <f t="shared" si="35"/>
        <v>0</v>
      </c>
      <c r="CY26" s="21">
        <f t="shared" si="35"/>
        <v>0</v>
      </c>
      <c r="CZ26" s="21">
        <f t="shared" si="35"/>
        <v>0</v>
      </c>
      <c r="DA26" s="21">
        <f t="shared" si="35"/>
        <v>0</v>
      </c>
      <c r="DB26" s="21">
        <f t="shared" si="35"/>
        <v>0</v>
      </c>
      <c r="DC26" s="21">
        <f t="shared" si="35"/>
        <v>0</v>
      </c>
      <c r="DD26" s="21">
        <f t="shared" ref="DD26:DI26" si="84">DD$3/10^3*DD13</f>
        <v>0</v>
      </c>
      <c r="DE26" s="21">
        <f t="shared" si="84"/>
        <v>0</v>
      </c>
      <c r="DF26" s="21">
        <f t="shared" si="84"/>
        <v>0</v>
      </c>
      <c r="DH26" s="21">
        <f t="shared" si="84"/>
        <v>0</v>
      </c>
      <c r="DI26" s="21">
        <f t="shared" si="84"/>
        <v>0</v>
      </c>
      <c r="DJ26" s="21">
        <f t="shared" si="37"/>
        <v>0</v>
      </c>
      <c r="DK26" s="21">
        <f t="shared" si="35"/>
        <v>0</v>
      </c>
      <c r="DL26" s="21">
        <f t="shared" si="35"/>
        <v>0</v>
      </c>
      <c r="DM26" s="21">
        <f t="shared" si="38"/>
        <v>0</v>
      </c>
      <c r="DN26" s="21">
        <f t="shared" si="35"/>
        <v>0</v>
      </c>
      <c r="DO26" s="21">
        <f t="shared" si="35"/>
        <v>0</v>
      </c>
      <c r="DP26" s="21">
        <f t="shared" si="35"/>
        <v>0</v>
      </c>
      <c r="DQ26" s="21">
        <f t="shared" si="39"/>
        <v>0</v>
      </c>
      <c r="DR26" s="21">
        <f t="shared" si="39"/>
        <v>0</v>
      </c>
      <c r="DS26" s="21">
        <f t="shared" si="39"/>
        <v>0</v>
      </c>
      <c r="DT26" s="21">
        <f t="shared" si="40"/>
        <v>0</v>
      </c>
      <c r="DU26" s="21">
        <f t="shared" si="40"/>
        <v>0</v>
      </c>
      <c r="DV26" s="21">
        <f t="shared" si="40"/>
        <v>0</v>
      </c>
      <c r="DW26" s="21">
        <f t="shared" si="41"/>
        <v>0</v>
      </c>
      <c r="DX26" s="21">
        <f t="shared" si="41"/>
        <v>0</v>
      </c>
      <c r="DY26" s="21">
        <f t="shared" si="41"/>
        <v>0</v>
      </c>
      <c r="DZ26" s="21">
        <f t="shared" si="41"/>
        <v>0</v>
      </c>
      <c r="EA26" s="21">
        <f t="shared" si="41"/>
        <v>0</v>
      </c>
      <c r="EB26" s="21">
        <f t="shared" si="41"/>
        <v>0</v>
      </c>
      <c r="EC26" s="21">
        <f t="shared" si="41"/>
        <v>0</v>
      </c>
      <c r="ED26" s="21">
        <f t="shared" si="42"/>
        <v>0</v>
      </c>
    </row>
    <row r="27" spans="1:134" x14ac:dyDescent="0.3">
      <c r="A27" s="21" t="str">
        <f>A26</f>
        <v xml:space="preserve">   Medium truck</v>
      </c>
      <c r="B27" s="21" t="s">
        <v>70</v>
      </c>
      <c r="D27" s="21">
        <f t="shared" si="10"/>
        <v>0</v>
      </c>
      <c r="E27" s="21">
        <f t="shared" si="11"/>
        <v>0</v>
      </c>
      <c r="F27" s="21">
        <f t="shared" si="11"/>
        <v>0</v>
      </c>
      <c r="G27" s="21">
        <f t="shared" si="11"/>
        <v>0</v>
      </c>
      <c r="H27" s="21">
        <f t="shared" si="11"/>
        <v>0</v>
      </c>
      <c r="I27" s="21">
        <f t="shared" si="11"/>
        <v>0</v>
      </c>
      <c r="J27" s="21">
        <f t="shared" si="12"/>
        <v>0</v>
      </c>
      <c r="K27" s="21">
        <f t="shared" si="13"/>
        <v>0</v>
      </c>
      <c r="L27" s="21">
        <f t="shared" si="14"/>
        <v>0</v>
      </c>
      <c r="M27" s="21">
        <f t="shared" si="14"/>
        <v>0</v>
      </c>
      <c r="N27" s="21">
        <f t="shared" si="15"/>
        <v>0</v>
      </c>
      <c r="O27" s="21">
        <f t="shared" si="15"/>
        <v>0</v>
      </c>
      <c r="P27" s="21">
        <f t="shared" si="16"/>
        <v>0</v>
      </c>
      <c r="Q27" s="21">
        <f t="shared" si="16"/>
        <v>0</v>
      </c>
      <c r="R27" s="21">
        <f t="shared" si="16"/>
        <v>0</v>
      </c>
      <c r="S27" s="21">
        <f t="shared" si="16"/>
        <v>0</v>
      </c>
      <c r="T27" s="21">
        <f t="shared" si="17"/>
        <v>0</v>
      </c>
      <c r="U27" s="21">
        <f t="shared" si="17"/>
        <v>0</v>
      </c>
      <c r="V27" s="21">
        <f t="shared" si="17"/>
        <v>0</v>
      </c>
      <c r="W27" s="21">
        <f t="shared" si="18"/>
        <v>0</v>
      </c>
      <c r="X27" s="21">
        <f t="shared" si="19"/>
        <v>0</v>
      </c>
      <c r="Y27" s="21">
        <f t="shared" si="19"/>
        <v>0</v>
      </c>
      <c r="Z27" s="21">
        <f t="shared" si="19"/>
        <v>0</v>
      </c>
      <c r="AA27" s="21">
        <f t="shared" si="19"/>
        <v>0</v>
      </c>
      <c r="AB27" s="21">
        <f t="shared" ref="AB27:AC27" si="85">AB$3/10^3*AB14</f>
        <v>0</v>
      </c>
      <c r="AC27" s="21">
        <f t="shared" si="85"/>
        <v>0</v>
      </c>
      <c r="AD27" s="21">
        <f t="shared" ref="AD27" si="86">AD$3/10^3*AD14</f>
        <v>0</v>
      </c>
      <c r="AE27" s="21">
        <f t="shared" ref="AE27" si="87">AE$3/10^3*AE14</f>
        <v>0</v>
      </c>
      <c r="AF27" s="21">
        <f t="shared" si="23"/>
        <v>0</v>
      </c>
      <c r="AG27" s="21">
        <f t="shared" ref="AG27:AX27" si="88">AG$3/10^3*AG14</f>
        <v>0</v>
      </c>
      <c r="AH27" s="21">
        <f t="shared" si="88"/>
        <v>0</v>
      </c>
      <c r="AI27" s="21">
        <f t="shared" si="88"/>
        <v>0</v>
      </c>
      <c r="AJ27" s="21">
        <f t="shared" si="88"/>
        <v>0</v>
      </c>
      <c r="AK27" s="21">
        <f t="shared" si="88"/>
        <v>0</v>
      </c>
      <c r="AL27" s="21">
        <f t="shared" si="88"/>
        <v>0</v>
      </c>
      <c r="AM27" s="21">
        <f t="shared" si="88"/>
        <v>0</v>
      </c>
      <c r="AN27" s="21">
        <f t="shared" si="88"/>
        <v>0</v>
      </c>
      <c r="AO27" s="21">
        <f t="shared" si="88"/>
        <v>0</v>
      </c>
      <c r="AP27" s="21">
        <f t="shared" si="88"/>
        <v>0</v>
      </c>
      <c r="AQ27" s="21">
        <f t="shared" si="88"/>
        <v>0</v>
      </c>
      <c r="AR27" s="21">
        <f t="shared" si="88"/>
        <v>0</v>
      </c>
      <c r="AS27" s="21">
        <f t="shared" si="88"/>
        <v>0</v>
      </c>
      <c r="AT27" s="21">
        <f t="shared" si="88"/>
        <v>0</v>
      </c>
      <c r="AU27" s="21">
        <f t="shared" si="88"/>
        <v>0</v>
      </c>
      <c r="AV27" s="21">
        <f t="shared" si="88"/>
        <v>0</v>
      </c>
      <c r="AW27" s="21">
        <f t="shared" si="88"/>
        <v>0</v>
      </c>
      <c r="AX27" s="21">
        <f t="shared" si="88"/>
        <v>0</v>
      </c>
      <c r="AY27" s="21">
        <f t="shared" si="25"/>
        <v>0</v>
      </c>
      <c r="AZ27" s="21">
        <f t="shared" si="26"/>
        <v>0</v>
      </c>
      <c r="BA27" s="21">
        <f t="shared" si="26"/>
        <v>0</v>
      </c>
      <c r="BB27" s="21">
        <f t="shared" si="25"/>
        <v>0</v>
      </c>
      <c r="BC27" s="21">
        <f t="shared" si="25"/>
        <v>0</v>
      </c>
      <c r="BD27" s="21">
        <f t="shared" si="27"/>
        <v>0</v>
      </c>
      <c r="BE27" s="21">
        <f t="shared" si="27"/>
        <v>0</v>
      </c>
      <c r="BF27" s="21">
        <f t="shared" si="25"/>
        <v>0</v>
      </c>
      <c r="BG27" s="21">
        <f t="shared" si="25"/>
        <v>0</v>
      </c>
      <c r="BH27" s="21">
        <f t="shared" si="25"/>
        <v>0</v>
      </c>
      <c r="BI27" s="21">
        <f t="shared" ref="BI27:BT27" si="89">BI$3/10^3*BI14</f>
        <v>0</v>
      </c>
      <c r="BJ27" s="21">
        <f t="shared" si="89"/>
        <v>0</v>
      </c>
      <c r="BK27" s="21">
        <f t="shared" si="89"/>
        <v>0</v>
      </c>
      <c r="BL27" s="21">
        <f t="shared" si="89"/>
        <v>0</v>
      </c>
      <c r="BM27" s="21">
        <f t="shared" si="89"/>
        <v>0</v>
      </c>
      <c r="BN27" s="21">
        <f t="shared" si="89"/>
        <v>0</v>
      </c>
      <c r="BO27" s="21">
        <f t="shared" si="89"/>
        <v>0</v>
      </c>
      <c r="BP27" s="21">
        <f t="shared" si="89"/>
        <v>0</v>
      </c>
      <c r="BQ27" s="21">
        <f t="shared" si="89"/>
        <v>0</v>
      </c>
      <c r="BR27" s="21">
        <f t="shared" si="89"/>
        <v>0</v>
      </c>
      <c r="BS27" s="21">
        <f t="shared" si="89"/>
        <v>0</v>
      </c>
      <c r="BT27" s="21">
        <f t="shared" si="89"/>
        <v>0</v>
      </c>
      <c r="BU27" s="21">
        <f t="shared" ref="BU27:CC27" si="90">BU$3/10^3*BU14</f>
        <v>0</v>
      </c>
      <c r="BV27" s="21">
        <f t="shared" si="90"/>
        <v>0</v>
      </c>
      <c r="BW27" s="21">
        <f t="shared" si="90"/>
        <v>0</v>
      </c>
      <c r="BX27" s="21">
        <f t="shared" si="90"/>
        <v>0</v>
      </c>
      <c r="BY27" s="21">
        <f t="shared" si="90"/>
        <v>0</v>
      </c>
      <c r="BZ27" s="21">
        <f t="shared" si="90"/>
        <v>0</v>
      </c>
      <c r="CA27" s="21">
        <f t="shared" si="90"/>
        <v>0</v>
      </c>
      <c r="CB27" s="21">
        <f t="shared" si="90"/>
        <v>0</v>
      </c>
      <c r="CC27" s="21">
        <f t="shared" si="90"/>
        <v>0</v>
      </c>
      <c r="CD27" s="21">
        <f t="shared" si="30"/>
        <v>0</v>
      </c>
      <c r="CE27" s="21">
        <f t="shared" si="30"/>
        <v>0</v>
      </c>
      <c r="CF27" s="21">
        <f t="shared" si="30"/>
        <v>0</v>
      </c>
      <c r="CG27" s="21">
        <f t="shared" si="31"/>
        <v>0</v>
      </c>
      <c r="CH27" s="21">
        <f t="shared" si="31"/>
        <v>0</v>
      </c>
      <c r="CI27" s="21">
        <f t="shared" si="31"/>
        <v>0</v>
      </c>
      <c r="CJ27" s="21">
        <f t="shared" si="31"/>
        <v>0</v>
      </c>
      <c r="CK27" s="21">
        <f t="shared" si="31"/>
        <v>0</v>
      </c>
      <c r="CL27" s="21">
        <f t="shared" si="31"/>
        <v>0</v>
      </c>
      <c r="CM27" s="21">
        <f t="shared" si="31"/>
        <v>0</v>
      </c>
      <c r="CN27" s="21">
        <f t="shared" si="32"/>
        <v>0</v>
      </c>
      <c r="CO27" s="21">
        <f t="shared" si="32"/>
        <v>0</v>
      </c>
      <c r="CP27" s="21">
        <f t="shared" si="32"/>
        <v>0</v>
      </c>
      <c r="CQ27" s="21">
        <f t="shared" si="32"/>
        <v>0</v>
      </c>
      <c r="CR27" s="21">
        <f t="shared" si="33"/>
        <v>0</v>
      </c>
      <c r="CS27" s="21">
        <f t="shared" si="34"/>
        <v>0</v>
      </c>
      <c r="CT27" s="21">
        <f t="shared" si="34"/>
        <v>0</v>
      </c>
      <c r="CU27" s="21">
        <f t="shared" si="34"/>
        <v>0</v>
      </c>
      <c r="CV27" s="21">
        <f t="shared" si="34"/>
        <v>0</v>
      </c>
      <c r="CW27" s="21">
        <f t="shared" si="34"/>
        <v>0</v>
      </c>
      <c r="CX27" s="21">
        <f t="shared" si="35"/>
        <v>0</v>
      </c>
      <c r="CY27" s="21">
        <f t="shared" si="35"/>
        <v>0</v>
      </c>
      <c r="CZ27" s="21">
        <f t="shared" si="35"/>
        <v>0</v>
      </c>
      <c r="DA27" s="21">
        <f t="shared" si="35"/>
        <v>0</v>
      </c>
      <c r="DB27" s="21">
        <f t="shared" si="35"/>
        <v>0</v>
      </c>
      <c r="DC27" s="21">
        <f t="shared" si="35"/>
        <v>0</v>
      </c>
      <c r="DD27" s="21">
        <f t="shared" ref="DD27:DI27" si="91">DD$3/10^3*DD14</f>
        <v>0</v>
      </c>
      <c r="DE27" s="21">
        <f t="shared" si="91"/>
        <v>0</v>
      </c>
      <c r="DF27" s="21">
        <f t="shared" si="91"/>
        <v>0</v>
      </c>
      <c r="DH27" s="21">
        <f t="shared" si="91"/>
        <v>0</v>
      </c>
      <c r="DI27" s="21">
        <f t="shared" si="91"/>
        <v>0</v>
      </c>
      <c r="DJ27" s="21">
        <f t="shared" si="37"/>
        <v>0</v>
      </c>
      <c r="DK27" s="21">
        <f t="shared" si="35"/>
        <v>0</v>
      </c>
      <c r="DL27" s="21">
        <f t="shared" si="35"/>
        <v>0</v>
      </c>
      <c r="DM27" s="21">
        <f t="shared" si="38"/>
        <v>0</v>
      </c>
      <c r="DN27" s="21">
        <f t="shared" si="35"/>
        <v>0</v>
      </c>
      <c r="DO27" s="21">
        <f t="shared" si="35"/>
        <v>0</v>
      </c>
      <c r="DP27" s="21">
        <f t="shared" si="35"/>
        <v>0</v>
      </c>
      <c r="DQ27" s="21">
        <f t="shared" si="39"/>
        <v>0</v>
      </c>
      <c r="DR27" s="21">
        <f t="shared" si="39"/>
        <v>0</v>
      </c>
      <c r="DS27" s="21">
        <f t="shared" si="39"/>
        <v>0</v>
      </c>
      <c r="DT27" s="21">
        <f t="shared" si="40"/>
        <v>0</v>
      </c>
      <c r="DU27" s="21">
        <f t="shared" si="40"/>
        <v>0</v>
      </c>
      <c r="DV27" s="21">
        <f t="shared" si="40"/>
        <v>0</v>
      </c>
      <c r="DW27" s="21">
        <f t="shared" si="41"/>
        <v>0</v>
      </c>
      <c r="DX27" s="21">
        <f t="shared" si="41"/>
        <v>0</v>
      </c>
      <c r="DY27" s="21">
        <f t="shared" si="41"/>
        <v>0</v>
      </c>
      <c r="DZ27" s="21">
        <f t="shared" si="41"/>
        <v>0</v>
      </c>
      <c r="EA27" s="21">
        <f t="shared" si="41"/>
        <v>0</v>
      </c>
      <c r="EB27" s="21">
        <f t="shared" si="41"/>
        <v>0</v>
      </c>
      <c r="EC27" s="21">
        <f t="shared" si="41"/>
        <v>0</v>
      </c>
      <c r="ED27" s="21">
        <f t="shared" si="42"/>
        <v>0</v>
      </c>
    </row>
    <row r="28" spans="1:134" x14ac:dyDescent="0.3">
      <c r="A28" s="21" t="s">
        <v>74</v>
      </c>
      <c r="B28" s="21" t="s">
        <v>71</v>
      </c>
      <c r="D28" s="21">
        <f t="shared" si="10"/>
        <v>0</v>
      </c>
      <c r="E28" s="21">
        <f t="shared" si="11"/>
        <v>0</v>
      </c>
      <c r="F28" s="21">
        <f t="shared" si="11"/>
        <v>0</v>
      </c>
      <c r="G28" s="21">
        <f t="shared" si="11"/>
        <v>0</v>
      </c>
      <c r="H28" s="21">
        <f t="shared" si="11"/>
        <v>0</v>
      </c>
      <c r="I28" s="21">
        <f t="shared" si="11"/>
        <v>0</v>
      </c>
      <c r="J28" s="21">
        <f t="shared" si="12"/>
        <v>0</v>
      </c>
      <c r="K28" s="21">
        <f t="shared" si="13"/>
        <v>0</v>
      </c>
      <c r="L28" s="21">
        <f t="shared" si="14"/>
        <v>0</v>
      </c>
      <c r="M28" s="21">
        <f t="shared" si="14"/>
        <v>0</v>
      </c>
      <c r="N28" s="21">
        <f t="shared" si="15"/>
        <v>0</v>
      </c>
      <c r="O28" s="21">
        <f t="shared" si="15"/>
        <v>0</v>
      </c>
      <c r="P28" s="21">
        <f t="shared" si="16"/>
        <v>0</v>
      </c>
      <c r="Q28" s="21">
        <f t="shared" si="16"/>
        <v>0</v>
      </c>
      <c r="R28" s="21">
        <f t="shared" si="16"/>
        <v>0</v>
      </c>
      <c r="S28" s="21">
        <f t="shared" si="16"/>
        <v>0</v>
      </c>
      <c r="T28" s="21">
        <f t="shared" si="17"/>
        <v>0</v>
      </c>
      <c r="U28" s="21">
        <f t="shared" si="17"/>
        <v>0</v>
      </c>
      <c r="V28" s="21">
        <f t="shared" si="17"/>
        <v>0</v>
      </c>
      <c r="W28" s="21">
        <f t="shared" si="18"/>
        <v>0</v>
      </c>
      <c r="X28" s="21">
        <f t="shared" si="19"/>
        <v>0</v>
      </c>
      <c r="Y28" s="21">
        <f t="shared" si="19"/>
        <v>0</v>
      </c>
      <c r="Z28" s="21">
        <f t="shared" si="19"/>
        <v>0</v>
      </c>
      <c r="AA28" s="21">
        <f t="shared" si="19"/>
        <v>0</v>
      </c>
      <c r="AB28" s="21">
        <f t="shared" ref="AB28:AC28" si="92">AB$3/10^3*AB15</f>
        <v>0</v>
      </c>
      <c r="AC28" s="21">
        <f t="shared" si="92"/>
        <v>0</v>
      </c>
      <c r="AD28" s="21">
        <f t="shared" ref="AD28" si="93">AD$3/10^3*AD15</f>
        <v>0</v>
      </c>
      <c r="AE28" s="21">
        <f t="shared" ref="AE28" si="94">AE$3/10^3*AE15</f>
        <v>0</v>
      </c>
      <c r="AF28" s="21">
        <f t="shared" si="23"/>
        <v>0</v>
      </c>
      <c r="AG28" s="21">
        <f t="shared" ref="AG28:AX28" si="95">AG$3/10^3*AG15</f>
        <v>0</v>
      </c>
      <c r="AH28" s="21">
        <f t="shared" si="95"/>
        <v>0</v>
      </c>
      <c r="AI28" s="21">
        <f t="shared" si="95"/>
        <v>0</v>
      </c>
      <c r="AJ28" s="21">
        <f t="shared" si="95"/>
        <v>0</v>
      </c>
      <c r="AK28" s="21">
        <f t="shared" si="95"/>
        <v>0</v>
      </c>
      <c r="AL28" s="21">
        <f t="shared" si="95"/>
        <v>0</v>
      </c>
      <c r="AM28" s="21">
        <f t="shared" si="95"/>
        <v>0</v>
      </c>
      <c r="AN28" s="21">
        <f t="shared" si="95"/>
        <v>0</v>
      </c>
      <c r="AO28" s="21">
        <f t="shared" si="95"/>
        <v>0</v>
      </c>
      <c r="AP28" s="21">
        <f t="shared" si="95"/>
        <v>0</v>
      </c>
      <c r="AQ28" s="21">
        <f t="shared" si="95"/>
        <v>0</v>
      </c>
      <c r="AR28" s="21">
        <f t="shared" si="95"/>
        <v>0</v>
      </c>
      <c r="AS28" s="21">
        <f t="shared" si="95"/>
        <v>0</v>
      </c>
      <c r="AT28" s="21">
        <f t="shared" si="95"/>
        <v>0</v>
      </c>
      <c r="AU28" s="21">
        <f t="shared" si="95"/>
        <v>0</v>
      </c>
      <c r="AV28" s="21">
        <f t="shared" si="95"/>
        <v>0</v>
      </c>
      <c r="AW28" s="21">
        <f t="shared" si="95"/>
        <v>0</v>
      </c>
      <c r="AX28" s="21">
        <f t="shared" si="95"/>
        <v>0</v>
      </c>
      <c r="AY28" s="21">
        <f t="shared" si="25"/>
        <v>0</v>
      </c>
      <c r="AZ28" s="21">
        <f t="shared" si="26"/>
        <v>0</v>
      </c>
      <c r="BA28" s="21">
        <f t="shared" si="26"/>
        <v>0</v>
      </c>
      <c r="BB28" s="21">
        <f t="shared" si="25"/>
        <v>0</v>
      </c>
      <c r="BC28" s="21">
        <f t="shared" si="25"/>
        <v>0</v>
      </c>
      <c r="BD28" s="21">
        <f t="shared" si="27"/>
        <v>0</v>
      </c>
      <c r="BE28" s="21">
        <f t="shared" si="27"/>
        <v>0</v>
      </c>
      <c r="BF28" s="21">
        <f t="shared" si="25"/>
        <v>0</v>
      </c>
      <c r="BG28" s="21">
        <f t="shared" si="25"/>
        <v>0</v>
      </c>
      <c r="BH28" s="21">
        <f t="shared" si="25"/>
        <v>0</v>
      </c>
      <c r="BI28" s="21">
        <f t="shared" ref="BI28:BT28" si="96">BI$3/10^3*BI15</f>
        <v>0</v>
      </c>
      <c r="BJ28" s="21">
        <f t="shared" si="96"/>
        <v>0</v>
      </c>
      <c r="BK28" s="21">
        <f t="shared" si="96"/>
        <v>0</v>
      </c>
      <c r="BL28" s="21">
        <f t="shared" si="96"/>
        <v>0</v>
      </c>
      <c r="BM28" s="21">
        <f t="shared" si="96"/>
        <v>0</v>
      </c>
      <c r="BN28" s="21">
        <f t="shared" si="96"/>
        <v>0</v>
      </c>
      <c r="BO28" s="21">
        <f t="shared" si="96"/>
        <v>0</v>
      </c>
      <c r="BP28" s="21">
        <f t="shared" si="96"/>
        <v>0</v>
      </c>
      <c r="BQ28" s="21">
        <f t="shared" si="96"/>
        <v>0</v>
      </c>
      <c r="BR28" s="21">
        <f t="shared" si="96"/>
        <v>0</v>
      </c>
      <c r="BS28" s="21">
        <f t="shared" si="96"/>
        <v>0</v>
      </c>
      <c r="BT28" s="21">
        <f t="shared" si="96"/>
        <v>0</v>
      </c>
      <c r="BU28" s="21">
        <f t="shared" ref="BU28:CC28" si="97">BU$3/10^3*BU15</f>
        <v>0</v>
      </c>
      <c r="BV28" s="21">
        <f t="shared" si="97"/>
        <v>0</v>
      </c>
      <c r="BW28" s="21">
        <f t="shared" si="97"/>
        <v>0</v>
      </c>
      <c r="BX28" s="21">
        <f t="shared" si="97"/>
        <v>0</v>
      </c>
      <c r="BY28" s="21">
        <f t="shared" si="97"/>
        <v>0</v>
      </c>
      <c r="BZ28" s="21">
        <f t="shared" si="97"/>
        <v>0</v>
      </c>
      <c r="CA28" s="21">
        <f t="shared" si="97"/>
        <v>0</v>
      </c>
      <c r="CB28" s="21">
        <f t="shared" si="97"/>
        <v>0</v>
      </c>
      <c r="CC28" s="21">
        <f t="shared" si="97"/>
        <v>0</v>
      </c>
      <c r="CD28" s="21">
        <f t="shared" si="30"/>
        <v>0</v>
      </c>
      <c r="CE28" s="21">
        <f t="shared" si="30"/>
        <v>0</v>
      </c>
      <c r="CF28" s="21">
        <f t="shared" si="30"/>
        <v>0</v>
      </c>
      <c r="CG28" s="21">
        <f t="shared" si="31"/>
        <v>0</v>
      </c>
      <c r="CH28" s="21">
        <f t="shared" si="31"/>
        <v>0</v>
      </c>
      <c r="CI28" s="21">
        <f t="shared" si="31"/>
        <v>0</v>
      </c>
      <c r="CJ28" s="21">
        <f t="shared" si="31"/>
        <v>0</v>
      </c>
      <c r="CK28" s="21">
        <f t="shared" si="31"/>
        <v>0</v>
      </c>
      <c r="CL28" s="21">
        <f t="shared" si="31"/>
        <v>0</v>
      </c>
      <c r="CM28" s="21">
        <f t="shared" si="31"/>
        <v>0</v>
      </c>
      <c r="CN28" s="21">
        <f t="shared" si="32"/>
        <v>0</v>
      </c>
      <c r="CO28" s="21">
        <f t="shared" si="32"/>
        <v>0</v>
      </c>
      <c r="CP28" s="21">
        <f t="shared" si="32"/>
        <v>0</v>
      </c>
      <c r="CQ28" s="21">
        <f t="shared" si="32"/>
        <v>0</v>
      </c>
      <c r="CR28" s="21">
        <f t="shared" si="33"/>
        <v>0</v>
      </c>
      <c r="CS28" s="21">
        <f t="shared" si="34"/>
        <v>0</v>
      </c>
      <c r="CT28" s="21">
        <f t="shared" si="34"/>
        <v>0</v>
      </c>
      <c r="CU28" s="21">
        <f t="shared" si="34"/>
        <v>0</v>
      </c>
      <c r="CV28" s="21">
        <f t="shared" si="34"/>
        <v>0</v>
      </c>
      <c r="CW28" s="21">
        <f t="shared" si="34"/>
        <v>0</v>
      </c>
      <c r="CX28" s="21">
        <f t="shared" si="35"/>
        <v>0</v>
      </c>
      <c r="CY28" s="21">
        <f t="shared" si="35"/>
        <v>0</v>
      </c>
      <c r="CZ28" s="21">
        <f t="shared" si="35"/>
        <v>0</v>
      </c>
      <c r="DA28" s="21">
        <f t="shared" si="35"/>
        <v>0</v>
      </c>
      <c r="DB28" s="21">
        <f t="shared" si="35"/>
        <v>0</v>
      </c>
      <c r="DC28" s="21">
        <f t="shared" si="35"/>
        <v>0</v>
      </c>
      <c r="DD28" s="21">
        <f t="shared" ref="DD28:DI28" si="98">DD$3/10^3*DD15</f>
        <v>0</v>
      </c>
      <c r="DE28" s="21">
        <f t="shared" si="98"/>
        <v>0</v>
      </c>
      <c r="DF28" s="21">
        <f t="shared" si="98"/>
        <v>0</v>
      </c>
      <c r="DH28" s="21">
        <f t="shared" si="98"/>
        <v>0</v>
      </c>
      <c r="DI28" s="21">
        <f t="shared" si="98"/>
        <v>0</v>
      </c>
      <c r="DJ28" s="21">
        <f t="shared" si="37"/>
        <v>0</v>
      </c>
      <c r="DK28" s="21">
        <f t="shared" si="35"/>
        <v>0</v>
      </c>
      <c r="DL28" s="21">
        <f t="shared" si="35"/>
        <v>0</v>
      </c>
      <c r="DM28" s="21">
        <f t="shared" si="38"/>
        <v>0</v>
      </c>
      <c r="DN28" s="21">
        <f t="shared" si="35"/>
        <v>0</v>
      </c>
      <c r="DO28" s="21">
        <f t="shared" si="35"/>
        <v>0</v>
      </c>
      <c r="DP28" s="21">
        <f t="shared" si="35"/>
        <v>0</v>
      </c>
      <c r="DQ28" s="21">
        <f t="shared" si="39"/>
        <v>0</v>
      </c>
      <c r="DR28" s="21">
        <f t="shared" si="39"/>
        <v>0</v>
      </c>
      <c r="DS28" s="21">
        <f t="shared" si="39"/>
        <v>0</v>
      </c>
      <c r="DT28" s="21">
        <f t="shared" si="40"/>
        <v>0</v>
      </c>
      <c r="DU28" s="21">
        <f t="shared" si="40"/>
        <v>0</v>
      </c>
      <c r="DV28" s="21">
        <f t="shared" si="40"/>
        <v>0</v>
      </c>
      <c r="DW28" s="21">
        <f t="shared" si="41"/>
        <v>0</v>
      </c>
      <c r="DX28" s="21">
        <f t="shared" si="41"/>
        <v>0</v>
      </c>
      <c r="DY28" s="21">
        <f t="shared" si="41"/>
        <v>0</v>
      </c>
      <c r="DZ28" s="21">
        <f t="shared" si="41"/>
        <v>0</v>
      </c>
      <c r="EA28" s="21">
        <f t="shared" si="41"/>
        <v>0</v>
      </c>
      <c r="EB28" s="21">
        <f t="shared" si="41"/>
        <v>0</v>
      </c>
      <c r="EC28" s="21">
        <f t="shared" si="41"/>
        <v>0</v>
      </c>
      <c r="ED28" s="21">
        <f t="shared" si="42"/>
        <v>0</v>
      </c>
    </row>
    <row r="29" spans="1:134" x14ac:dyDescent="0.3">
      <c r="A29" s="21" t="str">
        <f>A28</f>
        <v xml:space="preserve">   Delivery van</v>
      </c>
      <c r="B29" s="21" t="s">
        <v>70</v>
      </c>
      <c r="D29" s="21">
        <f t="shared" si="10"/>
        <v>0</v>
      </c>
      <c r="E29" s="21">
        <f t="shared" si="11"/>
        <v>0</v>
      </c>
      <c r="F29" s="21">
        <f t="shared" si="11"/>
        <v>0</v>
      </c>
      <c r="G29" s="21">
        <f t="shared" si="11"/>
        <v>0</v>
      </c>
      <c r="H29" s="21">
        <f t="shared" si="11"/>
        <v>0</v>
      </c>
      <c r="I29" s="21">
        <f t="shared" si="11"/>
        <v>0</v>
      </c>
      <c r="J29" s="21">
        <f t="shared" si="12"/>
        <v>0</v>
      </c>
      <c r="K29" s="21">
        <f t="shared" si="13"/>
        <v>0</v>
      </c>
      <c r="L29" s="21">
        <f t="shared" si="14"/>
        <v>0</v>
      </c>
      <c r="M29" s="21">
        <f t="shared" si="14"/>
        <v>0</v>
      </c>
      <c r="N29" s="21">
        <f t="shared" si="15"/>
        <v>0</v>
      </c>
      <c r="O29" s="21">
        <f t="shared" si="15"/>
        <v>0</v>
      </c>
      <c r="P29" s="21">
        <f t="shared" si="16"/>
        <v>0</v>
      </c>
      <c r="Q29" s="21">
        <f t="shared" si="16"/>
        <v>0</v>
      </c>
      <c r="R29" s="21">
        <f t="shared" si="16"/>
        <v>0</v>
      </c>
      <c r="S29" s="21">
        <f t="shared" si="16"/>
        <v>0</v>
      </c>
      <c r="T29" s="21">
        <f t="shared" si="17"/>
        <v>0</v>
      </c>
      <c r="U29" s="21">
        <f t="shared" si="17"/>
        <v>0</v>
      </c>
      <c r="V29" s="21">
        <f t="shared" si="17"/>
        <v>0</v>
      </c>
      <c r="W29" s="21">
        <f t="shared" si="18"/>
        <v>0</v>
      </c>
      <c r="X29" s="21">
        <f t="shared" si="19"/>
        <v>0</v>
      </c>
      <c r="Y29" s="21">
        <f t="shared" si="19"/>
        <v>0</v>
      </c>
      <c r="Z29" s="21">
        <f t="shared" si="19"/>
        <v>0</v>
      </c>
      <c r="AA29" s="21">
        <f t="shared" si="19"/>
        <v>0</v>
      </c>
      <c r="AB29" s="21">
        <f t="shared" ref="AB29:AC29" si="99">AB$3/10^3*AB16</f>
        <v>0</v>
      </c>
      <c r="AC29" s="21">
        <f t="shared" si="99"/>
        <v>0</v>
      </c>
      <c r="AD29" s="21">
        <f t="shared" ref="AD29" si="100">AD$3/10^3*AD16</f>
        <v>0</v>
      </c>
      <c r="AE29" s="21">
        <f t="shared" ref="AE29" si="101">AE$3/10^3*AE16</f>
        <v>0</v>
      </c>
      <c r="AF29" s="21">
        <f t="shared" si="23"/>
        <v>0</v>
      </c>
      <c r="AG29" s="21">
        <f t="shared" ref="AG29:AX29" si="102">AG$3/10^3*AG16</f>
        <v>0</v>
      </c>
      <c r="AH29" s="21">
        <f t="shared" si="102"/>
        <v>0</v>
      </c>
      <c r="AI29" s="21">
        <f t="shared" si="102"/>
        <v>0</v>
      </c>
      <c r="AJ29" s="21">
        <f t="shared" si="102"/>
        <v>0</v>
      </c>
      <c r="AK29" s="21">
        <f t="shared" si="102"/>
        <v>0</v>
      </c>
      <c r="AL29" s="21">
        <f t="shared" si="102"/>
        <v>0</v>
      </c>
      <c r="AM29" s="21">
        <f t="shared" si="102"/>
        <v>0</v>
      </c>
      <c r="AN29" s="21">
        <f t="shared" si="102"/>
        <v>0</v>
      </c>
      <c r="AO29" s="21">
        <f t="shared" si="102"/>
        <v>0</v>
      </c>
      <c r="AP29" s="21">
        <f t="shared" si="102"/>
        <v>0</v>
      </c>
      <c r="AQ29" s="21">
        <f t="shared" si="102"/>
        <v>0</v>
      </c>
      <c r="AR29" s="21">
        <f t="shared" si="102"/>
        <v>0</v>
      </c>
      <c r="AS29" s="21">
        <f t="shared" si="102"/>
        <v>0</v>
      </c>
      <c r="AT29" s="21">
        <f t="shared" si="102"/>
        <v>0</v>
      </c>
      <c r="AU29" s="21">
        <f t="shared" si="102"/>
        <v>0</v>
      </c>
      <c r="AV29" s="21">
        <f t="shared" si="102"/>
        <v>0</v>
      </c>
      <c r="AW29" s="21">
        <f t="shared" si="102"/>
        <v>0</v>
      </c>
      <c r="AX29" s="21">
        <f t="shared" si="102"/>
        <v>0</v>
      </c>
      <c r="AY29" s="21">
        <f t="shared" si="25"/>
        <v>0</v>
      </c>
      <c r="AZ29" s="21">
        <f t="shared" si="26"/>
        <v>0</v>
      </c>
      <c r="BA29" s="21">
        <f t="shared" si="26"/>
        <v>0</v>
      </c>
      <c r="BB29" s="21">
        <f t="shared" si="25"/>
        <v>0</v>
      </c>
      <c r="BC29" s="21">
        <f t="shared" si="25"/>
        <v>0</v>
      </c>
      <c r="BD29" s="21">
        <f t="shared" si="27"/>
        <v>0</v>
      </c>
      <c r="BE29" s="21">
        <f t="shared" si="27"/>
        <v>0</v>
      </c>
      <c r="BF29" s="21">
        <f t="shared" si="25"/>
        <v>0</v>
      </c>
      <c r="BG29" s="21">
        <f t="shared" si="25"/>
        <v>0</v>
      </c>
      <c r="BH29" s="21">
        <f t="shared" si="25"/>
        <v>0</v>
      </c>
      <c r="BI29" s="21">
        <f t="shared" ref="BI29:BT29" si="103">BI$3/10^3*BI16</f>
        <v>0</v>
      </c>
      <c r="BJ29" s="21">
        <f t="shared" si="103"/>
        <v>0</v>
      </c>
      <c r="BK29" s="21">
        <f t="shared" si="103"/>
        <v>0</v>
      </c>
      <c r="BL29" s="21">
        <f t="shared" si="103"/>
        <v>0</v>
      </c>
      <c r="BM29" s="21">
        <f t="shared" si="103"/>
        <v>0</v>
      </c>
      <c r="BN29" s="21">
        <f t="shared" si="103"/>
        <v>0</v>
      </c>
      <c r="BO29" s="21">
        <f t="shared" si="103"/>
        <v>0</v>
      </c>
      <c r="BP29" s="21">
        <f t="shared" si="103"/>
        <v>0</v>
      </c>
      <c r="BQ29" s="21">
        <f t="shared" si="103"/>
        <v>0</v>
      </c>
      <c r="BR29" s="21">
        <f t="shared" si="103"/>
        <v>0</v>
      </c>
      <c r="BS29" s="21">
        <f t="shared" si="103"/>
        <v>0</v>
      </c>
      <c r="BT29" s="21">
        <f t="shared" si="103"/>
        <v>0</v>
      </c>
      <c r="BU29" s="21">
        <f t="shared" ref="BU29:CC29" si="104">BU$3/10^3*BU16</f>
        <v>0</v>
      </c>
      <c r="BV29" s="21">
        <f t="shared" si="104"/>
        <v>0</v>
      </c>
      <c r="BW29" s="21">
        <f t="shared" si="104"/>
        <v>0</v>
      </c>
      <c r="BX29" s="21">
        <f t="shared" si="104"/>
        <v>0</v>
      </c>
      <c r="BY29" s="21">
        <f t="shared" si="104"/>
        <v>0</v>
      </c>
      <c r="BZ29" s="21">
        <f t="shared" si="104"/>
        <v>0</v>
      </c>
      <c r="CA29" s="21">
        <f t="shared" si="104"/>
        <v>0</v>
      </c>
      <c r="CB29" s="21">
        <f t="shared" si="104"/>
        <v>0</v>
      </c>
      <c r="CC29" s="21">
        <f t="shared" si="104"/>
        <v>0</v>
      </c>
      <c r="CD29" s="21">
        <f t="shared" si="30"/>
        <v>0</v>
      </c>
      <c r="CE29" s="21">
        <f t="shared" si="30"/>
        <v>0</v>
      </c>
      <c r="CF29" s="21">
        <f t="shared" si="30"/>
        <v>0</v>
      </c>
      <c r="CG29" s="21">
        <f t="shared" si="31"/>
        <v>0</v>
      </c>
      <c r="CH29" s="21">
        <f t="shared" si="31"/>
        <v>0</v>
      </c>
      <c r="CI29" s="21">
        <f t="shared" si="31"/>
        <v>0</v>
      </c>
      <c r="CJ29" s="21">
        <f t="shared" si="31"/>
        <v>0</v>
      </c>
      <c r="CK29" s="21">
        <f t="shared" si="31"/>
        <v>0</v>
      </c>
      <c r="CL29" s="21">
        <f t="shared" si="31"/>
        <v>0</v>
      </c>
      <c r="CM29" s="21">
        <f t="shared" si="31"/>
        <v>0</v>
      </c>
      <c r="CN29" s="21">
        <f t="shared" si="32"/>
        <v>0</v>
      </c>
      <c r="CO29" s="21">
        <f t="shared" si="32"/>
        <v>0</v>
      </c>
      <c r="CP29" s="21">
        <f t="shared" si="32"/>
        <v>0</v>
      </c>
      <c r="CQ29" s="21">
        <f t="shared" si="32"/>
        <v>0</v>
      </c>
      <c r="CR29" s="21">
        <f t="shared" si="33"/>
        <v>0</v>
      </c>
      <c r="CS29" s="21">
        <f t="shared" si="34"/>
        <v>0</v>
      </c>
      <c r="CT29" s="21">
        <f t="shared" si="34"/>
        <v>0</v>
      </c>
      <c r="CU29" s="21">
        <f t="shared" si="34"/>
        <v>0</v>
      </c>
      <c r="CV29" s="21">
        <f t="shared" si="34"/>
        <v>0</v>
      </c>
      <c r="CW29" s="21">
        <f t="shared" si="34"/>
        <v>0</v>
      </c>
      <c r="CX29" s="21">
        <f t="shared" si="35"/>
        <v>0</v>
      </c>
      <c r="CY29" s="21">
        <f t="shared" si="35"/>
        <v>0</v>
      </c>
      <c r="CZ29" s="21">
        <f t="shared" si="35"/>
        <v>0</v>
      </c>
      <c r="DA29" s="21">
        <f t="shared" si="35"/>
        <v>0</v>
      </c>
      <c r="DB29" s="21">
        <f t="shared" si="35"/>
        <v>0</v>
      </c>
      <c r="DC29" s="21">
        <f t="shared" si="35"/>
        <v>0</v>
      </c>
      <c r="DD29" s="21">
        <f t="shared" ref="DD29:DI29" si="105">DD$3/10^3*DD16</f>
        <v>0</v>
      </c>
      <c r="DE29" s="21">
        <f t="shared" si="105"/>
        <v>0</v>
      </c>
      <c r="DF29" s="21">
        <f t="shared" si="105"/>
        <v>0</v>
      </c>
      <c r="DH29" s="21">
        <f t="shared" si="105"/>
        <v>0</v>
      </c>
      <c r="DI29" s="21">
        <f t="shared" si="105"/>
        <v>0</v>
      </c>
      <c r="DJ29" s="21">
        <f t="shared" si="37"/>
        <v>0</v>
      </c>
      <c r="DK29" s="21">
        <f t="shared" si="35"/>
        <v>0</v>
      </c>
      <c r="DL29" s="21">
        <f t="shared" si="35"/>
        <v>0</v>
      </c>
      <c r="DM29" s="21">
        <f t="shared" si="38"/>
        <v>0</v>
      </c>
      <c r="DN29" s="21">
        <f t="shared" si="35"/>
        <v>0</v>
      </c>
      <c r="DO29" s="21">
        <f t="shared" si="35"/>
        <v>0</v>
      </c>
      <c r="DP29" s="21">
        <f t="shared" si="35"/>
        <v>0</v>
      </c>
      <c r="DQ29" s="21">
        <f t="shared" si="39"/>
        <v>0</v>
      </c>
      <c r="DR29" s="21">
        <f t="shared" si="39"/>
        <v>0</v>
      </c>
      <c r="DS29" s="21">
        <f t="shared" si="39"/>
        <v>0</v>
      </c>
      <c r="DT29" s="21">
        <f t="shared" si="40"/>
        <v>0</v>
      </c>
      <c r="DU29" s="21">
        <f t="shared" si="40"/>
        <v>0</v>
      </c>
      <c r="DV29" s="21">
        <f t="shared" si="40"/>
        <v>0</v>
      </c>
      <c r="DW29" s="21">
        <f t="shared" si="41"/>
        <v>0</v>
      </c>
      <c r="DX29" s="21">
        <f t="shared" si="41"/>
        <v>0</v>
      </c>
      <c r="DY29" s="21">
        <f t="shared" si="41"/>
        <v>0</v>
      </c>
      <c r="DZ29" s="21">
        <f t="shared" si="41"/>
        <v>0</v>
      </c>
      <c r="EA29" s="21">
        <f t="shared" si="41"/>
        <v>0</v>
      </c>
      <c r="EB29" s="21">
        <f t="shared" si="41"/>
        <v>0</v>
      </c>
      <c r="EC29" s="21">
        <f t="shared" si="41"/>
        <v>0</v>
      </c>
      <c r="ED29" s="21">
        <f t="shared" si="42"/>
        <v>0</v>
      </c>
    </row>
    <row r="32" spans="1:134" x14ac:dyDescent="0.3">
      <c r="A32" s="21" t="s">
        <v>87</v>
      </c>
      <c r="B32" s="21" t="s">
        <v>80</v>
      </c>
    </row>
    <row r="33" spans="1:142" x14ac:dyDescent="0.3">
      <c r="A33" s="21" t="s">
        <v>68</v>
      </c>
      <c r="B33" s="21" t="s">
        <v>71</v>
      </c>
      <c r="D33" s="21" t="e">
        <f>NA()</f>
        <v>#N/A</v>
      </c>
      <c r="EF33" s="21" t="s">
        <v>82</v>
      </c>
    </row>
    <row r="34" spans="1:142" x14ac:dyDescent="0.3">
      <c r="A34" s="21" t="s">
        <v>24</v>
      </c>
      <c r="B34" s="21" t="s">
        <v>71</v>
      </c>
      <c r="D34" s="32">
        <v>1684.8193598191217</v>
      </c>
      <c r="EF34" s="22" t="s">
        <v>1416</v>
      </c>
      <c r="EG34" s="22"/>
      <c r="EI34" s="35" t="s">
        <v>1415</v>
      </c>
      <c r="EJ34" s="35"/>
      <c r="EK34" s="35"/>
      <c r="EL34" s="35"/>
    </row>
    <row r="35" spans="1:142" x14ac:dyDescent="0.3">
      <c r="A35" s="21" t="s">
        <v>69</v>
      </c>
      <c r="B35" s="21" t="s">
        <v>71</v>
      </c>
      <c r="D35" s="36">
        <f>EL35</f>
        <v>56.68160495733914</v>
      </c>
      <c r="EF35" s="35" t="str">
        <f>EI34</f>
        <v>Assumptions informed by UIC data</v>
      </c>
      <c r="EG35" s="35"/>
      <c r="EI35" s="35" t="s">
        <v>96</v>
      </c>
      <c r="EJ35" s="36">
        <v>204.14168237108103</v>
      </c>
      <c r="EK35" s="35" t="s">
        <v>97</v>
      </c>
      <c r="EL35" s="36">
        <v>56.68160495733914</v>
      </c>
    </row>
    <row r="36" spans="1:142" x14ac:dyDescent="0.3">
      <c r="A36" s="21" t="str">
        <f>A35</f>
        <v xml:space="preserve">   Train</v>
      </c>
      <c r="B36" s="21" t="s">
        <v>70</v>
      </c>
      <c r="D36" s="36">
        <f>EL36</f>
        <v>15.115094655290438</v>
      </c>
      <c r="EI36" s="35" t="s">
        <v>96</v>
      </c>
      <c r="EJ36" s="37">
        <f>EJ35/0.75*0.2</f>
        <v>54.43778196562161</v>
      </c>
      <c r="EK36" s="35" t="s">
        <v>97</v>
      </c>
      <c r="EL36" s="37">
        <f>EL35/0.75*0.2</f>
        <v>15.115094655290438</v>
      </c>
    </row>
    <row r="37" spans="1:142" x14ac:dyDescent="0.3">
      <c r="A37" s="21" t="s">
        <v>73</v>
      </c>
      <c r="B37" s="21" t="s">
        <v>71</v>
      </c>
      <c r="D37" s="34">
        <v>15.356381913943803</v>
      </c>
      <c r="EL37" s="36">
        <v>37.116060643453828</v>
      </c>
    </row>
    <row r="38" spans="1:142" x14ac:dyDescent="0.3">
      <c r="A38" s="21" t="str">
        <f>A37</f>
        <v xml:space="preserve">   Heavy truck</v>
      </c>
      <c r="B38" s="21" t="s">
        <v>70</v>
      </c>
      <c r="D38" s="34">
        <v>6.5734769351379487</v>
      </c>
      <c r="EF38" s="21" t="s">
        <v>92</v>
      </c>
    </row>
    <row r="39" spans="1:142" x14ac:dyDescent="0.3">
      <c r="A39" s="21" t="s">
        <v>72</v>
      </c>
      <c r="B39" s="21" t="s">
        <v>71</v>
      </c>
      <c r="D39" s="34">
        <v>9.5806790099299466</v>
      </c>
      <c r="EF39" s="21" t="s">
        <v>95</v>
      </c>
    </row>
    <row r="40" spans="1:142" x14ac:dyDescent="0.3">
      <c r="A40" s="21" t="str">
        <f>A39</f>
        <v xml:space="preserve">   Medium truck</v>
      </c>
      <c r="B40" s="21" t="s">
        <v>70</v>
      </c>
      <c r="D40" s="34">
        <v>3.9471856730003476</v>
      </c>
    </row>
    <row r="41" spans="1:142" x14ac:dyDescent="0.3">
      <c r="A41" s="21" t="s">
        <v>74</v>
      </c>
      <c r="B41" s="21" t="s">
        <v>71</v>
      </c>
      <c r="D41" s="34">
        <v>3.0208221379149784</v>
      </c>
    </row>
    <row r="42" spans="1:142" x14ac:dyDescent="0.3">
      <c r="A42" s="21" t="str">
        <f>A41</f>
        <v xml:space="preserve">   Delivery van</v>
      </c>
      <c r="B42" s="21" t="s">
        <v>70</v>
      </c>
      <c r="D42" s="34">
        <v>1.3449326563569486</v>
      </c>
    </row>
    <row r="45" spans="1:142" x14ac:dyDescent="0.3">
      <c r="A45" s="21" t="s">
        <v>77</v>
      </c>
      <c r="B45" s="21" t="s">
        <v>81</v>
      </c>
    </row>
    <row r="46" spans="1:142" x14ac:dyDescent="0.3">
      <c r="A46" s="21" t="s">
        <v>68</v>
      </c>
      <c r="B46" s="21" t="s">
        <v>71</v>
      </c>
      <c r="D46" s="21" t="e">
        <f>NA()</f>
        <v>#N/A</v>
      </c>
      <c r="EF46" s="21" t="s">
        <v>82</v>
      </c>
    </row>
    <row r="47" spans="1:142" x14ac:dyDescent="0.3">
      <c r="A47" s="21" t="s">
        <v>24</v>
      </c>
      <c r="B47" s="21" t="s">
        <v>71</v>
      </c>
      <c r="D47" s="33">
        <v>20496.072289815271</v>
      </c>
      <c r="EF47" s="22" t="str">
        <f>EF34</f>
        <v>Assumptions informed by IEA Mobility Model</v>
      </c>
      <c r="EG47" s="22"/>
      <c r="EI47" s="35" t="str">
        <f>EI34</f>
        <v>Assumptions informed by UIC data</v>
      </c>
      <c r="EJ47" s="35"/>
      <c r="EK47" s="35"/>
      <c r="EL47" s="35"/>
    </row>
    <row r="48" spans="1:142" x14ac:dyDescent="0.3">
      <c r="A48" s="21" t="s">
        <v>69</v>
      </c>
      <c r="B48" s="21" t="s">
        <v>71</v>
      </c>
      <c r="D48" s="36">
        <f>EL48</f>
        <v>654.43228966205663</v>
      </c>
      <c r="EF48" s="35" t="str">
        <f>EI47</f>
        <v>Assumptions informed by UIC data</v>
      </c>
      <c r="EG48" s="35"/>
      <c r="EI48" s="35" t="s">
        <v>96</v>
      </c>
      <c r="EJ48" s="38">
        <v>2813.4158087756191</v>
      </c>
      <c r="EK48" s="35" t="s">
        <v>97</v>
      </c>
      <c r="EL48" s="36">
        <v>654.43228966205663</v>
      </c>
    </row>
    <row r="49" spans="1:137" x14ac:dyDescent="0.3">
      <c r="A49" s="21" t="str">
        <f>A48</f>
        <v xml:space="preserve">   Train</v>
      </c>
      <c r="B49" s="21" t="s">
        <v>70</v>
      </c>
      <c r="D49" s="36">
        <f>EL48</f>
        <v>654.43228966205663</v>
      </c>
    </row>
    <row r="50" spans="1:137" x14ac:dyDescent="0.3">
      <c r="A50" s="21" t="s">
        <v>73</v>
      </c>
      <c r="B50" s="21" t="s">
        <v>71</v>
      </c>
      <c r="D50" s="32">
        <v>17.244796517074864</v>
      </c>
    </row>
    <row r="51" spans="1:137" x14ac:dyDescent="0.3">
      <c r="A51" s="21" t="str">
        <f>A50</f>
        <v xml:space="preserve">   Heavy truck</v>
      </c>
      <c r="B51" s="21" t="s">
        <v>70</v>
      </c>
      <c r="D51" s="32">
        <v>17.244796517074864</v>
      </c>
    </row>
    <row r="52" spans="1:137" x14ac:dyDescent="0.3">
      <c r="A52" s="21" t="s">
        <v>72</v>
      </c>
      <c r="B52" s="21" t="s">
        <v>71</v>
      </c>
      <c r="D52" s="32">
        <v>7.6125909376422083</v>
      </c>
    </row>
    <row r="53" spans="1:137" x14ac:dyDescent="0.3">
      <c r="A53" s="21" t="str">
        <f>A52</f>
        <v xml:space="preserve">   Medium truck</v>
      </c>
      <c r="B53" s="21" t="s">
        <v>70</v>
      </c>
      <c r="D53" s="32">
        <v>7.6125909376422083</v>
      </c>
    </row>
    <row r="54" spans="1:137" x14ac:dyDescent="0.3">
      <c r="A54" s="21" t="s">
        <v>74</v>
      </c>
      <c r="B54" s="21" t="s">
        <v>71</v>
      </c>
      <c r="D54" s="32">
        <v>0.69245735762500715</v>
      </c>
    </row>
    <row r="55" spans="1:137" x14ac:dyDescent="0.3">
      <c r="A55" s="21" t="str">
        <f>A54</f>
        <v xml:space="preserve">   Delivery van</v>
      </c>
      <c r="B55" s="21" t="s">
        <v>70</v>
      </c>
      <c r="D55" s="32">
        <v>0.69245735762500715</v>
      </c>
    </row>
    <row r="58" spans="1:137" x14ac:dyDescent="0.3">
      <c r="A58" s="21" t="s">
        <v>87</v>
      </c>
      <c r="B58" s="21" t="s">
        <v>98</v>
      </c>
    </row>
    <row r="59" spans="1:137" x14ac:dyDescent="0.3">
      <c r="A59" s="21" t="s">
        <v>68</v>
      </c>
      <c r="B59" s="21" t="s">
        <v>71</v>
      </c>
      <c r="D59" s="40">
        <v>12.9</v>
      </c>
      <c r="EF59" s="21" t="s">
        <v>82</v>
      </c>
    </row>
    <row r="60" spans="1:137" x14ac:dyDescent="0.3">
      <c r="A60" s="21" t="s">
        <v>24</v>
      </c>
      <c r="B60" s="21" t="s">
        <v>71</v>
      </c>
      <c r="D60" s="41">
        <f>$D34/$D47</f>
        <v>8.2202059789588444E-2</v>
      </c>
      <c r="EF60" s="292" t="s">
        <v>99</v>
      </c>
      <c r="EG60" s="39"/>
    </row>
    <row r="61" spans="1:137" x14ac:dyDescent="0.3">
      <c r="A61" s="21" t="s">
        <v>69</v>
      </c>
      <c r="B61" s="21" t="s">
        <v>71</v>
      </c>
      <c r="D61" s="41">
        <f t="shared" ref="D61:D68" si="106">$D35/$D48</f>
        <v>8.6611870857730824E-2</v>
      </c>
    </row>
    <row r="62" spans="1:137" x14ac:dyDescent="0.3">
      <c r="A62" s="21" t="str">
        <f>A61</f>
        <v xml:space="preserve">   Train</v>
      </c>
      <c r="B62" s="21" t="s">
        <v>70</v>
      </c>
      <c r="D62" s="41">
        <f t="shared" si="106"/>
        <v>2.3096498895394887E-2</v>
      </c>
    </row>
    <row r="63" spans="1:137" x14ac:dyDescent="0.3">
      <c r="A63" s="21" t="s">
        <v>73</v>
      </c>
      <c r="B63" s="21" t="s">
        <v>71</v>
      </c>
      <c r="D63" s="23">
        <f t="shared" si="106"/>
        <v>0.89049365695551963</v>
      </c>
    </row>
    <row r="64" spans="1:137" x14ac:dyDescent="0.3">
      <c r="A64" s="21" t="str">
        <f>A63</f>
        <v xml:space="preserve">   Heavy truck</v>
      </c>
      <c r="B64" s="21" t="s">
        <v>70</v>
      </c>
      <c r="D64" s="23">
        <f t="shared" si="106"/>
        <v>0.38118611191667284</v>
      </c>
      <c r="EF64" s="21" t="s">
        <v>92</v>
      </c>
    </row>
    <row r="65" spans="1:136" x14ac:dyDescent="0.3">
      <c r="A65" s="21" t="s">
        <v>72</v>
      </c>
      <c r="B65" s="21" t="s">
        <v>71</v>
      </c>
      <c r="D65" s="23">
        <f t="shared" si="106"/>
        <v>1.2585306485543672</v>
      </c>
      <c r="EF65" s="21" t="s">
        <v>95</v>
      </c>
    </row>
    <row r="66" spans="1:136" x14ac:dyDescent="0.3">
      <c r="A66" s="21" t="str">
        <f>A65</f>
        <v xml:space="preserve">   Medium truck</v>
      </c>
      <c r="B66" s="21" t="s">
        <v>70</v>
      </c>
      <c r="D66" s="23">
        <f t="shared" si="106"/>
        <v>0.51850752330360739</v>
      </c>
    </row>
    <row r="67" spans="1:136" x14ac:dyDescent="0.3">
      <c r="A67" s="21" t="s">
        <v>74</v>
      </c>
      <c r="B67" s="21" t="s">
        <v>71</v>
      </c>
      <c r="D67" s="23">
        <f t="shared" si="106"/>
        <v>4.3624666626054864</v>
      </c>
    </row>
    <row r="68" spans="1:136" x14ac:dyDescent="0.3">
      <c r="A68" s="21" t="str">
        <f>A67</f>
        <v xml:space="preserve">   Delivery van</v>
      </c>
      <c r="B68" s="21" t="s">
        <v>70</v>
      </c>
      <c r="D68" s="23">
        <f t="shared" si="106"/>
        <v>1.9422606194406016</v>
      </c>
    </row>
    <row r="71" spans="1:136" x14ac:dyDescent="0.3">
      <c r="A71" s="21" t="s">
        <v>88</v>
      </c>
      <c r="B71" s="21" t="s">
        <v>169</v>
      </c>
    </row>
    <row r="72" spans="1:136" x14ac:dyDescent="0.3">
      <c r="A72" s="21" t="s">
        <v>68</v>
      </c>
      <c r="B72" s="21" t="s">
        <v>71</v>
      </c>
      <c r="D72" s="23">
        <f t="shared" ref="D72:D81" si="107">D20*$D59</f>
        <v>0</v>
      </c>
      <c r="E72" s="23">
        <f t="shared" ref="E72:I81" si="108">E20*$D59</f>
        <v>0</v>
      </c>
      <c r="F72" s="23">
        <f t="shared" si="108"/>
        <v>0</v>
      </c>
      <c r="G72" s="23">
        <f t="shared" si="108"/>
        <v>0</v>
      </c>
      <c r="H72" s="23">
        <f t="shared" si="108"/>
        <v>0</v>
      </c>
      <c r="I72" s="23">
        <f t="shared" si="108"/>
        <v>0</v>
      </c>
      <c r="J72" s="23">
        <f t="shared" ref="J72:J81" si="109">J20*$D59</f>
        <v>0</v>
      </c>
      <c r="K72" s="23">
        <f t="shared" ref="K72:K81" si="110">K20*$D59</f>
        <v>0</v>
      </c>
      <c r="L72" s="23">
        <f t="shared" ref="L72:M81" si="111">L20*$D59</f>
        <v>0</v>
      </c>
      <c r="M72" s="23">
        <f t="shared" si="111"/>
        <v>0</v>
      </c>
      <c r="N72" s="23">
        <f t="shared" ref="N72:O81" si="112">N20*$D59</f>
        <v>0</v>
      </c>
      <c r="O72" s="23">
        <f t="shared" si="112"/>
        <v>0</v>
      </c>
      <c r="P72" s="23">
        <f t="shared" ref="P72:S81" si="113">P20*$D59</f>
        <v>0</v>
      </c>
      <c r="Q72" s="23">
        <f t="shared" si="113"/>
        <v>0</v>
      </c>
      <c r="R72" s="23">
        <f t="shared" si="113"/>
        <v>0</v>
      </c>
      <c r="S72" s="23">
        <f t="shared" si="113"/>
        <v>0</v>
      </c>
      <c r="T72" s="23">
        <f t="shared" ref="T72:V81" si="114">T20*$D59</f>
        <v>0</v>
      </c>
      <c r="U72" s="23">
        <f t="shared" si="114"/>
        <v>0</v>
      </c>
      <c r="V72" s="23">
        <f t="shared" si="114"/>
        <v>0</v>
      </c>
      <c r="W72" s="23">
        <f t="shared" ref="W72:W81" si="115">W20*$D59</f>
        <v>0</v>
      </c>
      <c r="X72" s="23">
        <f t="shared" ref="X72:AA81" si="116">X20*$D59</f>
        <v>0</v>
      </c>
      <c r="Y72" s="23">
        <f t="shared" si="116"/>
        <v>0</v>
      </c>
      <c r="Z72" s="23">
        <f t="shared" si="116"/>
        <v>0</v>
      </c>
      <c r="AA72" s="23">
        <f t="shared" si="116"/>
        <v>0</v>
      </c>
      <c r="AB72" s="23">
        <f t="shared" ref="AB72:AC72" si="117">AB20*$D59</f>
        <v>0</v>
      </c>
      <c r="AC72" s="23">
        <f t="shared" si="117"/>
        <v>0</v>
      </c>
      <c r="AD72" s="23">
        <f t="shared" ref="AD72" si="118">AD20*$D59</f>
        <v>0</v>
      </c>
      <c r="AE72" s="23">
        <f t="shared" ref="AE72" si="119">AE20*$D59</f>
        <v>0</v>
      </c>
      <c r="AF72" s="23">
        <f t="shared" ref="AF72:AF81" si="120">AF20*$D59</f>
        <v>0</v>
      </c>
      <c r="AG72" s="23">
        <f t="shared" ref="AG72:AX72" si="121">AG20*$D59</f>
        <v>0</v>
      </c>
      <c r="AH72" s="23">
        <f t="shared" si="121"/>
        <v>0</v>
      </c>
      <c r="AI72" s="23">
        <f t="shared" si="121"/>
        <v>0</v>
      </c>
      <c r="AJ72" s="23">
        <f t="shared" si="121"/>
        <v>0</v>
      </c>
      <c r="AK72" s="23">
        <f t="shared" si="121"/>
        <v>0</v>
      </c>
      <c r="AL72" s="23">
        <f t="shared" si="121"/>
        <v>0</v>
      </c>
      <c r="AM72" s="23">
        <f t="shared" si="121"/>
        <v>0</v>
      </c>
      <c r="AN72" s="23">
        <f t="shared" si="121"/>
        <v>0</v>
      </c>
      <c r="AO72" s="23">
        <f t="shared" si="121"/>
        <v>0</v>
      </c>
      <c r="AP72" s="23">
        <f t="shared" si="121"/>
        <v>0</v>
      </c>
      <c r="AQ72" s="23">
        <f t="shared" si="121"/>
        <v>0</v>
      </c>
      <c r="AR72" s="23">
        <f t="shared" si="121"/>
        <v>0</v>
      </c>
      <c r="AS72" s="23">
        <f t="shared" si="121"/>
        <v>0</v>
      </c>
      <c r="AT72" s="23">
        <f t="shared" si="121"/>
        <v>0</v>
      </c>
      <c r="AU72" s="23">
        <f t="shared" si="121"/>
        <v>0</v>
      </c>
      <c r="AV72" s="23">
        <f t="shared" si="121"/>
        <v>0</v>
      </c>
      <c r="AW72" s="23">
        <f t="shared" si="121"/>
        <v>0</v>
      </c>
      <c r="AX72" s="23">
        <f t="shared" si="121"/>
        <v>0</v>
      </c>
      <c r="AY72" s="23">
        <f t="shared" ref="AY72:BH81" si="122">AY20*$D59</f>
        <v>0</v>
      </c>
      <c r="AZ72" s="23">
        <f t="shared" ref="AZ72:BA81" si="123">AZ20*$D59</f>
        <v>0</v>
      </c>
      <c r="BA72" s="23">
        <f t="shared" si="123"/>
        <v>0</v>
      </c>
      <c r="BB72" s="23">
        <f t="shared" si="122"/>
        <v>0</v>
      </c>
      <c r="BC72" s="23">
        <f t="shared" si="122"/>
        <v>0</v>
      </c>
      <c r="BD72" s="23">
        <f t="shared" ref="BD72:BE81" si="124">BD20*$D59</f>
        <v>0</v>
      </c>
      <c r="BE72" s="23">
        <f t="shared" si="124"/>
        <v>0</v>
      </c>
      <c r="BF72" s="23">
        <f t="shared" si="122"/>
        <v>0</v>
      </c>
      <c r="BG72" s="23">
        <f t="shared" si="122"/>
        <v>0</v>
      </c>
      <c r="BH72" s="23">
        <f t="shared" si="122"/>
        <v>0</v>
      </c>
      <c r="BI72" s="23">
        <f t="shared" ref="BI72:BT72" si="125">BI20*$D59</f>
        <v>0</v>
      </c>
      <c r="BJ72" s="23">
        <f t="shared" si="125"/>
        <v>0</v>
      </c>
      <c r="BK72" s="23">
        <f t="shared" si="125"/>
        <v>0</v>
      </c>
      <c r="BL72" s="23">
        <f t="shared" si="125"/>
        <v>0</v>
      </c>
      <c r="BM72" s="23">
        <f t="shared" si="125"/>
        <v>0</v>
      </c>
      <c r="BN72" s="23">
        <f t="shared" si="125"/>
        <v>0</v>
      </c>
      <c r="BO72" s="23">
        <f t="shared" si="125"/>
        <v>0</v>
      </c>
      <c r="BP72" s="23">
        <f t="shared" si="125"/>
        <v>0</v>
      </c>
      <c r="BQ72" s="23">
        <f t="shared" si="125"/>
        <v>0</v>
      </c>
      <c r="BR72" s="23">
        <f t="shared" si="125"/>
        <v>0</v>
      </c>
      <c r="BS72" s="23">
        <f t="shared" si="125"/>
        <v>0</v>
      </c>
      <c r="BT72" s="23">
        <f t="shared" si="125"/>
        <v>0</v>
      </c>
      <c r="BU72" s="23">
        <f t="shared" ref="BU72:CC72" si="126">BU20*$D59</f>
        <v>0</v>
      </c>
      <c r="BV72" s="23">
        <f t="shared" si="126"/>
        <v>0</v>
      </c>
      <c r="BW72" s="23">
        <f t="shared" si="126"/>
        <v>0</v>
      </c>
      <c r="BX72" s="23">
        <f t="shared" si="126"/>
        <v>0</v>
      </c>
      <c r="BY72" s="23">
        <f t="shared" si="126"/>
        <v>0</v>
      </c>
      <c r="BZ72" s="23">
        <f t="shared" si="126"/>
        <v>0</v>
      </c>
      <c r="CA72" s="23">
        <f t="shared" si="126"/>
        <v>0</v>
      </c>
      <c r="CB72" s="23">
        <f t="shared" si="126"/>
        <v>0</v>
      </c>
      <c r="CC72" s="23">
        <f t="shared" si="126"/>
        <v>0</v>
      </c>
      <c r="CD72" s="23">
        <f t="shared" ref="CD72:CF81" si="127">CD20*$D59</f>
        <v>0</v>
      </c>
      <c r="CE72" s="23">
        <f t="shared" si="127"/>
        <v>0</v>
      </c>
      <c r="CF72" s="23">
        <f t="shared" si="127"/>
        <v>0</v>
      </c>
      <c r="CG72" s="23">
        <f t="shared" ref="CG72:CM81" si="128">CG20*$D59</f>
        <v>0</v>
      </c>
      <c r="CH72" s="23">
        <f t="shared" si="128"/>
        <v>0</v>
      </c>
      <c r="CI72" s="23">
        <f t="shared" si="128"/>
        <v>0</v>
      </c>
      <c r="CJ72" s="23">
        <f t="shared" si="128"/>
        <v>0</v>
      </c>
      <c r="CK72" s="23">
        <f t="shared" si="128"/>
        <v>0</v>
      </c>
      <c r="CL72" s="23">
        <f t="shared" si="128"/>
        <v>0</v>
      </c>
      <c r="CM72" s="23">
        <f t="shared" si="128"/>
        <v>0</v>
      </c>
      <c r="CN72" s="23">
        <f t="shared" ref="CN72:CQ81" si="129">CN20*$D59</f>
        <v>0</v>
      </c>
      <c r="CO72" s="23">
        <f t="shared" si="129"/>
        <v>0</v>
      </c>
      <c r="CP72" s="23">
        <f t="shared" si="129"/>
        <v>0</v>
      </c>
      <c r="CQ72" s="23">
        <f t="shared" si="129"/>
        <v>0</v>
      </c>
      <c r="CR72" s="23">
        <f t="shared" ref="CR72:CR81" si="130">CR20*$D59</f>
        <v>0</v>
      </c>
      <c r="CS72" s="23">
        <f t="shared" ref="CS72:CW81" si="131">CS20*$D59</f>
        <v>0</v>
      </c>
      <c r="CT72" s="23">
        <f t="shared" si="131"/>
        <v>0</v>
      </c>
      <c r="CU72" s="23">
        <f t="shared" si="131"/>
        <v>0</v>
      </c>
      <c r="CV72" s="23">
        <f t="shared" si="131"/>
        <v>0</v>
      </c>
      <c r="CW72" s="23">
        <f t="shared" si="131"/>
        <v>0</v>
      </c>
      <c r="CX72" s="23">
        <f t="shared" ref="CX72:DP81" si="132">CX20*$D59</f>
        <v>0</v>
      </c>
      <c r="CY72" s="23">
        <f t="shared" si="132"/>
        <v>0</v>
      </c>
      <c r="CZ72" s="23">
        <f t="shared" si="132"/>
        <v>0</v>
      </c>
      <c r="DA72" s="23">
        <f t="shared" si="132"/>
        <v>0</v>
      </c>
      <c r="DB72" s="23">
        <f t="shared" si="132"/>
        <v>0</v>
      </c>
      <c r="DC72" s="23">
        <f t="shared" si="132"/>
        <v>0</v>
      </c>
      <c r="DD72" s="23">
        <f t="shared" ref="DD72:DI72" si="133">DD20*$D59</f>
        <v>0</v>
      </c>
      <c r="DE72" s="23">
        <f t="shared" si="133"/>
        <v>0</v>
      </c>
      <c r="DF72" s="23">
        <f t="shared" si="133"/>
        <v>0</v>
      </c>
      <c r="DG72" s="23"/>
      <c r="DH72" s="23">
        <f t="shared" si="133"/>
        <v>0</v>
      </c>
      <c r="DI72" s="23">
        <f t="shared" si="133"/>
        <v>0</v>
      </c>
      <c r="DJ72" s="23">
        <f t="shared" ref="DJ72:DJ81" si="134">DJ20*$D59</f>
        <v>0</v>
      </c>
      <c r="DK72" s="23">
        <f t="shared" si="132"/>
        <v>0</v>
      </c>
      <c r="DL72" s="23">
        <f t="shared" si="132"/>
        <v>0</v>
      </c>
      <c r="DM72" s="23">
        <f t="shared" ref="DM72:DM81" si="135">DM20*$D59</f>
        <v>0</v>
      </c>
      <c r="DN72" s="23">
        <f t="shared" si="132"/>
        <v>0</v>
      </c>
      <c r="DO72" s="23">
        <f t="shared" si="132"/>
        <v>0</v>
      </c>
      <c r="DP72" s="23">
        <f t="shared" si="132"/>
        <v>0</v>
      </c>
      <c r="DQ72" s="23">
        <f t="shared" ref="DQ72:DS81" si="136">DQ20*$D59</f>
        <v>0</v>
      </c>
      <c r="DR72" s="23">
        <f t="shared" si="136"/>
        <v>0</v>
      </c>
      <c r="DS72" s="23">
        <f t="shared" si="136"/>
        <v>0</v>
      </c>
      <c r="DT72" s="23">
        <f t="shared" ref="DT72:DV81" si="137">DT20*$D59</f>
        <v>0</v>
      </c>
      <c r="DU72" s="23">
        <f t="shared" si="137"/>
        <v>0</v>
      </c>
      <c r="DV72" s="23">
        <f t="shared" si="137"/>
        <v>0</v>
      </c>
      <c r="DW72" s="23">
        <f t="shared" ref="DW72:EC81" si="138">DW20*$D59</f>
        <v>0</v>
      </c>
      <c r="DX72" s="23">
        <f t="shared" si="138"/>
        <v>0</v>
      </c>
      <c r="DY72" s="23">
        <f t="shared" si="138"/>
        <v>0</v>
      </c>
      <c r="DZ72" s="23">
        <f t="shared" si="138"/>
        <v>0</v>
      </c>
      <c r="EA72" s="23">
        <f t="shared" si="138"/>
        <v>0</v>
      </c>
      <c r="EB72" s="23">
        <f t="shared" si="138"/>
        <v>0</v>
      </c>
      <c r="EC72" s="23">
        <f t="shared" si="138"/>
        <v>0</v>
      </c>
      <c r="ED72" s="23">
        <f t="shared" ref="ED72:ED81" si="139">ED20*$D59</f>
        <v>0</v>
      </c>
    </row>
    <row r="73" spans="1:136" x14ac:dyDescent="0.3">
      <c r="A73" s="21" t="s">
        <v>24</v>
      </c>
      <c r="B73" s="21" t="s">
        <v>71</v>
      </c>
      <c r="D73" s="23">
        <f t="shared" si="107"/>
        <v>16.974725346550017</v>
      </c>
      <c r="E73" s="23">
        <f t="shared" si="108"/>
        <v>16.974725346550017</v>
      </c>
      <c r="F73" s="23">
        <f t="shared" si="108"/>
        <v>16.974725346550017</v>
      </c>
      <c r="G73" s="23">
        <f t="shared" si="108"/>
        <v>16.974725346550017</v>
      </c>
      <c r="H73" s="23">
        <f t="shared" si="108"/>
        <v>16.974725346550017</v>
      </c>
      <c r="I73" s="23">
        <f t="shared" si="108"/>
        <v>16.974725346550017</v>
      </c>
      <c r="J73" s="23">
        <f t="shared" si="109"/>
        <v>16.974725346550017</v>
      </c>
      <c r="K73" s="23">
        <f t="shared" si="110"/>
        <v>16.974725346550017</v>
      </c>
      <c r="L73" s="23">
        <f t="shared" si="111"/>
        <v>16.974725346550017</v>
      </c>
      <c r="M73" s="23">
        <f t="shared" si="111"/>
        <v>16.974725346550017</v>
      </c>
      <c r="N73" s="23">
        <f t="shared" si="112"/>
        <v>16.974725346550017</v>
      </c>
      <c r="O73" s="23">
        <f t="shared" si="112"/>
        <v>16.974725346550017</v>
      </c>
      <c r="P73" s="23">
        <f t="shared" si="113"/>
        <v>16.974725346550017</v>
      </c>
      <c r="Q73" s="23">
        <f t="shared" si="113"/>
        <v>16.974725346550017</v>
      </c>
      <c r="R73" s="23">
        <f t="shared" si="113"/>
        <v>16.974725346550017</v>
      </c>
      <c r="S73" s="23">
        <f t="shared" si="113"/>
        <v>16.974725346550017</v>
      </c>
      <c r="T73" s="23">
        <f t="shared" si="114"/>
        <v>16.974725346550017</v>
      </c>
      <c r="U73" s="23">
        <f t="shared" si="114"/>
        <v>16.974725346550017</v>
      </c>
      <c r="V73" s="23">
        <f t="shared" si="114"/>
        <v>16.974725346550017</v>
      </c>
      <c r="W73" s="23">
        <f t="shared" si="115"/>
        <v>16.974725346550017</v>
      </c>
      <c r="X73" s="23">
        <f t="shared" si="116"/>
        <v>32.757429472627543</v>
      </c>
      <c r="Y73" s="23">
        <f t="shared" si="116"/>
        <v>32.757429472627543</v>
      </c>
      <c r="Z73" s="23">
        <f t="shared" si="116"/>
        <v>32.757429472627543</v>
      </c>
      <c r="AA73" s="23">
        <f t="shared" si="116"/>
        <v>32.757429472627543</v>
      </c>
      <c r="AB73" s="23">
        <f t="shared" ref="AB73:AC73" si="140">AB21*$D60</f>
        <v>32.757429472627543</v>
      </c>
      <c r="AC73" s="23">
        <f t="shared" si="140"/>
        <v>32.757429472627543</v>
      </c>
      <c r="AD73" s="23">
        <f t="shared" ref="AD73" si="141">AD21*$D60</f>
        <v>32.757429472627543</v>
      </c>
      <c r="AE73" s="23">
        <f t="shared" ref="AE73" si="142">AE21*$D60</f>
        <v>32.757429472627543</v>
      </c>
      <c r="AF73" s="23">
        <f t="shared" si="120"/>
        <v>16.974725346550017</v>
      </c>
      <c r="AG73" s="23">
        <f t="shared" ref="AG73:AX73" si="143">AG21*$D60</f>
        <v>0</v>
      </c>
      <c r="AH73" s="23">
        <f t="shared" si="143"/>
        <v>0</v>
      </c>
      <c r="AI73" s="23">
        <f t="shared" si="143"/>
        <v>0</v>
      </c>
      <c r="AJ73" s="23">
        <f t="shared" si="143"/>
        <v>0</v>
      </c>
      <c r="AK73" s="23">
        <f t="shared" si="143"/>
        <v>0</v>
      </c>
      <c r="AL73" s="23">
        <f t="shared" si="143"/>
        <v>0</v>
      </c>
      <c r="AM73" s="23">
        <f t="shared" si="143"/>
        <v>0</v>
      </c>
      <c r="AN73" s="23">
        <f t="shared" si="143"/>
        <v>0</v>
      </c>
      <c r="AO73" s="23">
        <f t="shared" si="143"/>
        <v>0</v>
      </c>
      <c r="AP73" s="23">
        <f t="shared" si="143"/>
        <v>0</v>
      </c>
      <c r="AQ73" s="23">
        <f t="shared" si="143"/>
        <v>0</v>
      </c>
      <c r="AR73" s="23">
        <f t="shared" si="143"/>
        <v>0</v>
      </c>
      <c r="AS73" s="23">
        <f t="shared" si="143"/>
        <v>0</v>
      </c>
      <c r="AT73" s="23">
        <f t="shared" si="143"/>
        <v>0</v>
      </c>
      <c r="AU73" s="23">
        <f t="shared" si="143"/>
        <v>0</v>
      </c>
      <c r="AV73" s="23">
        <f t="shared" si="143"/>
        <v>0</v>
      </c>
      <c r="AW73" s="23">
        <f t="shared" si="143"/>
        <v>0</v>
      </c>
      <c r="AX73" s="23">
        <f t="shared" si="143"/>
        <v>0</v>
      </c>
      <c r="AY73" s="23">
        <f t="shared" si="122"/>
        <v>0</v>
      </c>
      <c r="AZ73" s="23">
        <f t="shared" si="123"/>
        <v>0</v>
      </c>
      <c r="BA73" s="23">
        <f t="shared" si="123"/>
        <v>0</v>
      </c>
      <c r="BB73" s="23">
        <f t="shared" si="122"/>
        <v>0</v>
      </c>
      <c r="BC73" s="23">
        <f t="shared" si="122"/>
        <v>0</v>
      </c>
      <c r="BD73" s="23">
        <f t="shared" si="124"/>
        <v>0</v>
      </c>
      <c r="BE73" s="23">
        <f t="shared" si="124"/>
        <v>0</v>
      </c>
      <c r="BF73" s="23">
        <f t="shared" si="122"/>
        <v>0</v>
      </c>
      <c r="BG73" s="23">
        <f t="shared" si="122"/>
        <v>0</v>
      </c>
      <c r="BH73" s="23">
        <f t="shared" si="122"/>
        <v>0</v>
      </c>
      <c r="BI73" s="23">
        <f t="shared" ref="BI73:BT73" si="144">BI21*$D60</f>
        <v>0</v>
      </c>
      <c r="BJ73" s="23">
        <f t="shared" si="144"/>
        <v>0</v>
      </c>
      <c r="BK73" s="23">
        <f t="shared" si="144"/>
        <v>0</v>
      </c>
      <c r="BL73" s="23">
        <f t="shared" si="144"/>
        <v>0</v>
      </c>
      <c r="BM73" s="23">
        <f t="shared" si="144"/>
        <v>0</v>
      </c>
      <c r="BN73" s="23">
        <f t="shared" si="144"/>
        <v>0</v>
      </c>
      <c r="BO73" s="23">
        <f t="shared" si="144"/>
        <v>0</v>
      </c>
      <c r="BP73" s="23">
        <f t="shared" si="144"/>
        <v>0</v>
      </c>
      <c r="BQ73" s="23">
        <f t="shared" si="144"/>
        <v>0</v>
      </c>
      <c r="BR73" s="23">
        <f t="shared" si="144"/>
        <v>0</v>
      </c>
      <c r="BS73" s="23">
        <f t="shared" si="144"/>
        <v>0</v>
      </c>
      <c r="BT73" s="23">
        <f t="shared" si="144"/>
        <v>0</v>
      </c>
      <c r="BU73" s="23">
        <f t="shared" ref="BU73:CC73" si="145">BU21*$D60</f>
        <v>0</v>
      </c>
      <c r="BV73" s="23">
        <f t="shared" si="145"/>
        <v>0</v>
      </c>
      <c r="BW73" s="23">
        <f t="shared" si="145"/>
        <v>0</v>
      </c>
      <c r="BX73" s="23">
        <f t="shared" si="145"/>
        <v>0</v>
      </c>
      <c r="BY73" s="23">
        <f t="shared" si="145"/>
        <v>0</v>
      </c>
      <c r="BZ73" s="23">
        <f t="shared" si="145"/>
        <v>0</v>
      </c>
      <c r="CA73" s="23">
        <f t="shared" si="145"/>
        <v>0</v>
      </c>
      <c r="CB73" s="23">
        <f t="shared" si="145"/>
        <v>0</v>
      </c>
      <c r="CC73" s="23">
        <f t="shared" si="145"/>
        <v>0</v>
      </c>
      <c r="CD73" s="23">
        <f t="shared" si="127"/>
        <v>0</v>
      </c>
      <c r="CE73" s="23">
        <f t="shared" si="127"/>
        <v>0</v>
      </c>
      <c r="CF73" s="23">
        <f t="shared" si="127"/>
        <v>0</v>
      </c>
      <c r="CG73" s="23">
        <f t="shared" si="128"/>
        <v>0</v>
      </c>
      <c r="CH73" s="23">
        <f t="shared" si="128"/>
        <v>0</v>
      </c>
      <c r="CI73" s="23">
        <f t="shared" si="128"/>
        <v>0</v>
      </c>
      <c r="CJ73" s="23">
        <f t="shared" si="128"/>
        <v>0</v>
      </c>
      <c r="CK73" s="23">
        <f t="shared" si="128"/>
        <v>0</v>
      </c>
      <c r="CL73" s="23">
        <f t="shared" si="128"/>
        <v>0</v>
      </c>
      <c r="CM73" s="23">
        <f t="shared" si="128"/>
        <v>0</v>
      </c>
      <c r="CN73" s="23">
        <f t="shared" si="129"/>
        <v>0</v>
      </c>
      <c r="CO73" s="23">
        <f t="shared" si="129"/>
        <v>0</v>
      </c>
      <c r="CP73" s="23">
        <f t="shared" si="129"/>
        <v>0</v>
      </c>
      <c r="CQ73" s="23">
        <f t="shared" si="129"/>
        <v>0</v>
      </c>
      <c r="CR73" s="23">
        <f t="shared" si="130"/>
        <v>0</v>
      </c>
      <c r="CS73" s="23">
        <f t="shared" si="131"/>
        <v>0</v>
      </c>
      <c r="CT73" s="23">
        <f t="shared" si="131"/>
        <v>0</v>
      </c>
      <c r="CU73" s="23">
        <f t="shared" si="131"/>
        <v>0</v>
      </c>
      <c r="CV73" s="23">
        <f t="shared" si="131"/>
        <v>0</v>
      </c>
      <c r="CW73" s="23">
        <f t="shared" si="131"/>
        <v>0</v>
      </c>
      <c r="CX73" s="23">
        <f t="shared" si="132"/>
        <v>0</v>
      </c>
      <c r="CY73" s="23">
        <f t="shared" si="132"/>
        <v>0</v>
      </c>
      <c r="CZ73" s="23">
        <f t="shared" si="132"/>
        <v>0</v>
      </c>
      <c r="DA73" s="23">
        <f t="shared" si="132"/>
        <v>0</v>
      </c>
      <c r="DB73" s="23">
        <f t="shared" si="132"/>
        <v>0</v>
      </c>
      <c r="DC73" s="23">
        <f t="shared" si="132"/>
        <v>0</v>
      </c>
      <c r="DD73" s="23">
        <f t="shared" ref="DD73:DI73" si="146">DD21*$D60</f>
        <v>0</v>
      </c>
      <c r="DE73" s="23">
        <f t="shared" si="146"/>
        <v>0</v>
      </c>
      <c r="DF73" s="23">
        <f t="shared" si="146"/>
        <v>0</v>
      </c>
      <c r="DG73" s="23"/>
      <c r="DH73" s="23">
        <f t="shared" si="146"/>
        <v>0</v>
      </c>
      <c r="DI73" s="23">
        <f t="shared" si="146"/>
        <v>0</v>
      </c>
      <c r="DJ73" s="23">
        <f t="shared" si="134"/>
        <v>0</v>
      </c>
      <c r="DK73" s="23">
        <f t="shared" si="132"/>
        <v>0</v>
      </c>
      <c r="DL73" s="23">
        <f t="shared" si="132"/>
        <v>0</v>
      </c>
      <c r="DM73" s="23">
        <f t="shared" si="135"/>
        <v>0</v>
      </c>
      <c r="DN73" s="23">
        <f t="shared" si="132"/>
        <v>0</v>
      </c>
      <c r="DO73" s="23">
        <f t="shared" si="132"/>
        <v>0</v>
      </c>
      <c r="DP73" s="23">
        <f t="shared" si="132"/>
        <v>0</v>
      </c>
      <c r="DQ73" s="23">
        <f t="shared" si="136"/>
        <v>0</v>
      </c>
      <c r="DR73" s="23">
        <f t="shared" si="136"/>
        <v>0</v>
      </c>
      <c r="DS73" s="23">
        <f t="shared" si="136"/>
        <v>0</v>
      </c>
      <c r="DT73" s="23">
        <f t="shared" si="137"/>
        <v>0</v>
      </c>
      <c r="DU73" s="23">
        <f t="shared" si="137"/>
        <v>0</v>
      </c>
      <c r="DV73" s="23">
        <f t="shared" si="137"/>
        <v>0</v>
      </c>
      <c r="DW73" s="23">
        <f t="shared" si="138"/>
        <v>0</v>
      </c>
      <c r="DX73" s="23">
        <f t="shared" si="138"/>
        <v>76447.915604317255</v>
      </c>
      <c r="DY73" s="23">
        <f t="shared" si="138"/>
        <v>76447.915604317255</v>
      </c>
      <c r="DZ73" s="23">
        <f t="shared" si="138"/>
        <v>76447.915604317255</v>
      </c>
      <c r="EA73" s="23">
        <f t="shared" si="138"/>
        <v>76447.915604317255</v>
      </c>
      <c r="EB73" s="23">
        <f t="shared" si="138"/>
        <v>76447.915604317255</v>
      </c>
      <c r="EC73" s="23">
        <f t="shared" si="138"/>
        <v>76447.915604317255</v>
      </c>
      <c r="ED73" s="23">
        <f t="shared" si="139"/>
        <v>76447.915604317255</v>
      </c>
    </row>
    <row r="74" spans="1:136" x14ac:dyDescent="0.3">
      <c r="A74" s="21" t="s">
        <v>69</v>
      </c>
      <c r="B74" s="21" t="s">
        <v>71</v>
      </c>
      <c r="D74" s="23">
        <f t="shared" si="107"/>
        <v>0</v>
      </c>
      <c r="E74" s="23">
        <f t="shared" si="108"/>
        <v>0</v>
      </c>
      <c r="F74" s="23">
        <f t="shared" si="108"/>
        <v>0</v>
      </c>
      <c r="G74" s="23">
        <f t="shared" si="108"/>
        <v>0</v>
      </c>
      <c r="H74" s="23">
        <f t="shared" si="108"/>
        <v>0</v>
      </c>
      <c r="I74" s="23">
        <f t="shared" si="108"/>
        <v>0</v>
      </c>
      <c r="J74" s="23">
        <f t="shared" si="109"/>
        <v>0</v>
      </c>
      <c r="K74" s="23">
        <f t="shared" si="110"/>
        <v>0</v>
      </c>
      <c r="L74" s="23">
        <f t="shared" si="111"/>
        <v>0</v>
      </c>
      <c r="M74" s="23">
        <f t="shared" si="111"/>
        <v>0</v>
      </c>
      <c r="N74" s="23">
        <f t="shared" si="112"/>
        <v>0</v>
      </c>
      <c r="O74" s="23">
        <f t="shared" si="112"/>
        <v>0</v>
      </c>
      <c r="P74" s="23">
        <f t="shared" si="113"/>
        <v>0</v>
      </c>
      <c r="Q74" s="23">
        <f t="shared" si="113"/>
        <v>0</v>
      </c>
      <c r="R74" s="23">
        <f t="shared" si="113"/>
        <v>0</v>
      </c>
      <c r="S74" s="23">
        <f t="shared" si="113"/>
        <v>0</v>
      </c>
      <c r="T74" s="23">
        <f t="shared" si="114"/>
        <v>0</v>
      </c>
      <c r="U74" s="23">
        <f t="shared" si="114"/>
        <v>0</v>
      </c>
      <c r="V74" s="23">
        <f t="shared" si="114"/>
        <v>0</v>
      </c>
      <c r="W74" s="23">
        <f t="shared" si="115"/>
        <v>0</v>
      </c>
      <c r="X74" s="23">
        <f t="shared" si="116"/>
        <v>0</v>
      </c>
      <c r="Y74" s="23">
        <f t="shared" si="116"/>
        <v>0</v>
      </c>
      <c r="Z74" s="23">
        <f t="shared" si="116"/>
        <v>0</v>
      </c>
      <c r="AA74" s="23">
        <f t="shared" si="116"/>
        <v>0</v>
      </c>
      <c r="AB74" s="23">
        <f t="shared" ref="AB74:AC74" si="147">AB22*$D61</f>
        <v>0</v>
      </c>
      <c r="AC74" s="23">
        <f t="shared" si="147"/>
        <v>0</v>
      </c>
      <c r="AD74" s="23">
        <f t="shared" ref="AD74" si="148">AD22*$D61</f>
        <v>0</v>
      </c>
      <c r="AE74" s="23">
        <f t="shared" ref="AE74" si="149">AE22*$D61</f>
        <v>0</v>
      </c>
      <c r="AF74" s="23">
        <f t="shared" si="120"/>
        <v>0</v>
      </c>
      <c r="AG74" s="23">
        <f t="shared" ref="AG74:AX74" si="150">AG22*$D61</f>
        <v>0</v>
      </c>
      <c r="AH74" s="23">
        <f t="shared" si="150"/>
        <v>0</v>
      </c>
      <c r="AI74" s="23">
        <f t="shared" si="150"/>
        <v>0</v>
      </c>
      <c r="AJ74" s="23">
        <f t="shared" si="150"/>
        <v>0</v>
      </c>
      <c r="AK74" s="23">
        <f t="shared" si="150"/>
        <v>0</v>
      </c>
      <c r="AL74" s="23">
        <f t="shared" si="150"/>
        <v>0</v>
      </c>
      <c r="AM74" s="23">
        <f t="shared" si="150"/>
        <v>0</v>
      </c>
      <c r="AN74" s="23">
        <f t="shared" si="150"/>
        <v>0</v>
      </c>
      <c r="AO74" s="23">
        <f t="shared" si="150"/>
        <v>647.03442849995918</v>
      </c>
      <c r="AP74" s="23">
        <f t="shared" si="150"/>
        <v>691.37215814951912</v>
      </c>
      <c r="AQ74" s="23">
        <f t="shared" si="150"/>
        <v>765.89154219079546</v>
      </c>
      <c r="AR74" s="23">
        <f t="shared" si="150"/>
        <v>785.26461250925024</v>
      </c>
      <c r="AS74" s="23">
        <f t="shared" si="150"/>
        <v>785.26461250925024</v>
      </c>
      <c r="AT74" s="23">
        <f t="shared" si="150"/>
        <v>785.26461250925024</v>
      </c>
      <c r="AU74" s="23">
        <f t="shared" si="150"/>
        <v>785.26461250925024</v>
      </c>
      <c r="AV74" s="23">
        <f t="shared" si="150"/>
        <v>739.71874191782786</v>
      </c>
      <c r="AW74" s="23">
        <f t="shared" si="150"/>
        <v>830.81048310067251</v>
      </c>
      <c r="AX74" s="23">
        <f t="shared" si="150"/>
        <v>785.26461250925024</v>
      </c>
      <c r="AY74" s="23">
        <f t="shared" si="122"/>
        <v>733.43710517845102</v>
      </c>
      <c r="AZ74" s="23">
        <f t="shared" si="123"/>
        <v>733.43710517845102</v>
      </c>
      <c r="BA74" s="23">
        <f t="shared" si="123"/>
        <v>733.43710517845102</v>
      </c>
      <c r="BB74" s="23">
        <f t="shared" si="122"/>
        <v>733.43710517845102</v>
      </c>
      <c r="BC74" s="23">
        <f t="shared" si="122"/>
        <v>647.03442849995918</v>
      </c>
      <c r="BD74" s="23">
        <f t="shared" si="124"/>
        <v>647.03442849995918</v>
      </c>
      <c r="BE74" s="23">
        <f t="shared" si="124"/>
        <v>647.03442849995918</v>
      </c>
      <c r="BF74" s="23">
        <f t="shared" si="122"/>
        <v>647.03442849995918</v>
      </c>
      <c r="BG74" s="23">
        <f t="shared" si="122"/>
        <v>647.03442849995918</v>
      </c>
      <c r="BH74" s="23">
        <f t="shared" si="122"/>
        <v>647.03442849995918</v>
      </c>
      <c r="BI74" s="23">
        <f t="shared" ref="BI74:BT74" si="151">BI22*$D61</f>
        <v>647.03442849995918</v>
      </c>
      <c r="BJ74" s="23">
        <f t="shared" si="151"/>
        <v>691.37215814951912</v>
      </c>
      <c r="BK74" s="23">
        <f t="shared" si="151"/>
        <v>765.89154219079546</v>
      </c>
      <c r="BL74" s="23">
        <f t="shared" si="151"/>
        <v>815.62852623686513</v>
      </c>
      <c r="BM74" s="23">
        <f t="shared" si="151"/>
        <v>815.62852623686513</v>
      </c>
      <c r="BN74" s="23">
        <f t="shared" si="151"/>
        <v>815.62852623686513</v>
      </c>
      <c r="BO74" s="23">
        <f t="shared" si="151"/>
        <v>815.62852623686513</v>
      </c>
      <c r="BP74" s="23">
        <f t="shared" si="151"/>
        <v>815.62852623686513</v>
      </c>
      <c r="BQ74" s="23">
        <f t="shared" si="151"/>
        <v>815.62852623686513</v>
      </c>
      <c r="BR74" s="23">
        <f t="shared" si="151"/>
        <v>762.49167721353899</v>
      </c>
      <c r="BS74" s="23">
        <f t="shared" si="151"/>
        <v>868.76537526019138</v>
      </c>
      <c r="BT74" s="23">
        <f t="shared" si="151"/>
        <v>815.62852623686513</v>
      </c>
      <c r="BU74" s="23">
        <f t="shared" ref="BU74:CC74" si="152">BU22*$D61</f>
        <v>1028.1759223301697</v>
      </c>
      <c r="BV74" s="23">
        <f t="shared" si="152"/>
        <v>1028.1759223301697</v>
      </c>
      <c r="BW74" s="23">
        <f t="shared" si="152"/>
        <v>1028.1759223301697</v>
      </c>
      <c r="BX74" s="23">
        <f t="shared" si="152"/>
        <v>1028.1759223301697</v>
      </c>
      <c r="BY74" s="23">
        <f t="shared" si="152"/>
        <v>1028.1759223301697</v>
      </c>
      <c r="BZ74" s="23">
        <f t="shared" si="152"/>
        <v>1028.1759223301697</v>
      </c>
      <c r="CA74" s="23">
        <f t="shared" si="152"/>
        <v>921.9022242835174</v>
      </c>
      <c r="CB74" s="23">
        <f t="shared" si="152"/>
        <v>1134.4496203768217</v>
      </c>
      <c r="CC74" s="23">
        <f t="shared" si="152"/>
        <v>1028.1759223301697</v>
      </c>
      <c r="CD74" s="23">
        <f t="shared" si="127"/>
        <v>733.43710517845102</v>
      </c>
      <c r="CE74" s="23">
        <f t="shared" si="127"/>
        <v>733.43710517845102</v>
      </c>
      <c r="CF74" s="23">
        <f t="shared" si="127"/>
        <v>733.43710517845102</v>
      </c>
      <c r="CG74" s="23">
        <f t="shared" si="128"/>
        <v>733.43710517845102</v>
      </c>
      <c r="CH74" s="23">
        <f t="shared" si="128"/>
        <v>647.03442849995918</v>
      </c>
      <c r="CI74" s="23">
        <f t="shared" si="128"/>
        <v>691.37215814951912</v>
      </c>
      <c r="CJ74" s="23">
        <f t="shared" si="128"/>
        <v>765.89154219079546</v>
      </c>
      <c r="CK74" s="23">
        <f t="shared" si="128"/>
        <v>815.62852623686513</v>
      </c>
      <c r="CL74" s="23">
        <f t="shared" si="128"/>
        <v>1028.1759223301697</v>
      </c>
      <c r="CM74" s="23">
        <f t="shared" si="128"/>
        <v>733.43710517845102</v>
      </c>
      <c r="CN74" s="23">
        <f t="shared" si="129"/>
        <v>822.03675212041742</v>
      </c>
      <c r="CO74" s="23">
        <f t="shared" si="129"/>
        <v>876.28425435090537</v>
      </c>
      <c r="CP74" s="23">
        <f t="shared" si="129"/>
        <v>957.0268305762595</v>
      </c>
      <c r="CQ74" s="23">
        <f t="shared" si="129"/>
        <v>951.91079152158056</v>
      </c>
      <c r="CR74" s="23">
        <f t="shared" si="130"/>
        <v>935.21132724830568</v>
      </c>
      <c r="CS74" s="23">
        <f t="shared" si="131"/>
        <v>822.03675212041742</v>
      </c>
      <c r="CT74" s="23">
        <f t="shared" si="131"/>
        <v>876.28425435090537</v>
      </c>
      <c r="CU74" s="23">
        <f t="shared" si="131"/>
        <v>957.0268305762595</v>
      </c>
      <c r="CV74" s="23">
        <f t="shared" si="131"/>
        <v>982.27470524919534</v>
      </c>
      <c r="CW74" s="23">
        <f t="shared" si="131"/>
        <v>1194.8221013425</v>
      </c>
      <c r="CX74" s="23">
        <f t="shared" si="132"/>
        <v>935.21132724830568</v>
      </c>
      <c r="CY74" s="23">
        <f t="shared" si="132"/>
        <v>822.03675212041742</v>
      </c>
      <c r="CZ74" s="23">
        <f t="shared" si="132"/>
        <v>876.28425435090537</v>
      </c>
      <c r="DA74" s="23">
        <f t="shared" si="132"/>
        <v>957.0268305762595</v>
      </c>
      <c r="DB74" s="23">
        <f t="shared" si="132"/>
        <v>982.27470524919534</v>
      </c>
      <c r="DC74" s="23">
        <f t="shared" si="132"/>
        <v>1194.8221013425</v>
      </c>
      <c r="DD74" s="23">
        <f t="shared" ref="DD74:DI74" si="153">DD22*$D61</f>
        <v>935.21132724830568</v>
      </c>
      <c r="DE74" s="23">
        <f t="shared" si="153"/>
        <v>1539.1708034132605</v>
      </c>
      <c r="DF74" s="23">
        <f t="shared" si="153"/>
        <v>1580.9159028188051</v>
      </c>
      <c r="DG74" s="23"/>
      <c r="DH74" s="23">
        <f t="shared" si="153"/>
        <v>2054.474587916055</v>
      </c>
      <c r="DI74" s="23">
        <f t="shared" si="153"/>
        <v>2509.9332938302787</v>
      </c>
      <c r="DJ74" s="23">
        <f t="shared" si="134"/>
        <v>1787.3388568413845</v>
      </c>
      <c r="DK74" s="23">
        <f t="shared" si="132"/>
        <v>4502.9511658934252</v>
      </c>
      <c r="DL74" s="23">
        <f t="shared" si="132"/>
        <v>4502.9511658934252</v>
      </c>
      <c r="DM74" s="23">
        <f t="shared" si="135"/>
        <v>4502.9511658934252</v>
      </c>
      <c r="DN74" s="23">
        <f t="shared" si="132"/>
        <v>4502.9511658934252</v>
      </c>
      <c r="DO74" s="23">
        <f t="shared" si="132"/>
        <v>4502.9511658934252</v>
      </c>
      <c r="DP74" s="23">
        <f t="shared" si="132"/>
        <v>4502.9511658934252</v>
      </c>
      <c r="DQ74" s="23">
        <f t="shared" si="136"/>
        <v>4502.9511658934252</v>
      </c>
      <c r="DR74" s="23">
        <f t="shared" si="136"/>
        <v>4504.9183965216498</v>
      </c>
      <c r="DS74" s="23">
        <f t="shared" si="136"/>
        <v>7454.7488902544328</v>
      </c>
      <c r="DT74" s="23">
        <f t="shared" si="137"/>
        <v>7454.7488902544328</v>
      </c>
      <c r="DU74" s="23">
        <f t="shared" si="137"/>
        <v>6240.5293553377569</v>
      </c>
      <c r="DV74" s="23">
        <f t="shared" si="137"/>
        <v>5320.9141287959856</v>
      </c>
      <c r="DW74" s="23">
        <f t="shared" si="138"/>
        <v>5320.9141287959856</v>
      </c>
      <c r="DX74" s="23">
        <f t="shared" si="138"/>
        <v>80549.039897689669</v>
      </c>
      <c r="DY74" s="23">
        <f t="shared" si="138"/>
        <v>80549.039897689669</v>
      </c>
      <c r="DZ74" s="23">
        <f t="shared" si="138"/>
        <v>80549.039897689669</v>
      </c>
      <c r="EA74" s="23">
        <f t="shared" si="138"/>
        <v>80549.039897689669</v>
      </c>
      <c r="EB74" s="23">
        <f t="shared" si="138"/>
        <v>80549.039897689669</v>
      </c>
      <c r="EC74" s="23">
        <f t="shared" si="138"/>
        <v>80549.039897689669</v>
      </c>
      <c r="ED74" s="23">
        <f t="shared" si="139"/>
        <v>80549.039897689669</v>
      </c>
    </row>
    <row r="75" spans="1:136" x14ac:dyDescent="0.3">
      <c r="A75" s="21" t="str">
        <f>A74</f>
        <v xml:space="preserve">   Train</v>
      </c>
      <c r="B75" s="21" t="s">
        <v>70</v>
      </c>
      <c r="D75" s="23">
        <f t="shared" si="107"/>
        <v>0</v>
      </c>
      <c r="E75" s="23">
        <f t="shared" si="108"/>
        <v>0</v>
      </c>
      <c r="F75" s="23">
        <f t="shared" si="108"/>
        <v>0</v>
      </c>
      <c r="G75" s="23">
        <f t="shared" si="108"/>
        <v>0</v>
      </c>
      <c r="H75" s="23">
        <f t="shared" si="108"/>
        <v>0</v>
      </c>
      <c r="I75" s="23">
        <f t="shared" si="108"/>
        <v>0</v>
      </c>
      <c r="J75" s="23">
        <f t="shared" si="109"/>
        <v>0</v>
      </c>
      <c r="K75" s="23">
        <f t="shared" si="110"/>
        <v>0</v>
      </c>
      <c r="L75" s="23">
        <f t="shared" si="111"/>
        <v>0</v>
      </c>
      <c r="M75" s="23">
        <f t="shared" si="111"/>
        <v>0</v>
      </c>
      <c r="N75" s="23">
        <f t="shared" si="112"/>
        <v>0</v>
      </c>
      <c r="O75" s="23">
        <f t="shared" si="112"/>
        <v>0</v>
      </c>
      <c r="P75" s="23">
        <f t="shared" si="113"/>
        <v>0</v>
      </c>
      <c r="Q75" s="23">
        <f t="shared" si="113"/>
        <v>0</v>
      </c>
      <c r="R75" s="23">
        <f t="shared" si="113"/>
        <v>0</v>
      </c>
      <c r="S75" s="23">
        <f t="shared" si="113"/>
        <v>0</v>
      </c>
      <c r="T75" s="23">
        <f t="shared" si="114"/>
        <v>0</v>
      </c>
      <c r="U75" s="23">
        <f t="shared" si="114"/>
        <v>0</v>
      </c>
      <c r="V75" s="23">
        <f t="shared" si="114"/>
        <v>0</v>
      </c>
      <c r="W75" s="23">
        <f t="shared" si="115"/>
        <v>0</v>
      </c>
      <c r="X75" s="23">
        <f t="shared" si="116"/>
        <v>0</v>
      </c>
      <c r="Y75" s="23">
        <f t="shared" si="116"/>
        <v>0</v>
      </c>
      <c r="Z75" s="23">
        <f t="shared" si="116"/>
        <v>0</v>
      </c>
      <c r="AA75" s="23">
        <f t="shared" si="116"/>
        <v>0</v>
      </c>
      <c r="AB75" s="23">
        <f t="shared" ref="AB75:AC75" si="154">AB23*$D62</f>
        <v>0</v>
      </c>
      <c r="AC75" s="23">
        <f t="shared" si="154"/>
        <v>0</v>
      </c>
      <c r="AD75" s="23">
        <f t="shared" ref="AD75" si="155">AD23*$D62</f>
        <v>0</v>
      </c>
      <c r="AE75" s="23">
        <f t="shared" ref="AE75" si="156">AE23*$D62</f>
        <v>0</v>
      </c>
      <c r="AF75" s="23">
        <f t="shared" si="120"/>
        <v>0</v>
      </c>
      <c r="AG75" s="23">
        <f t="shared" ref="AG75:AX75" si="157">AG23*$D62</f>
        <v>0</v>
      </c>
      <c r="AH75" s="23">
        <f t="shared" si="157"/>
        <v>0</v>
      </c>
      <c r="AI75" s="23">
        <f t="shared" si="157"/>
        <v>0</v>
      </c>
      <c r="AJ75" s="23">
        <f t="shared" si="157"/>
        <v>0</v>
      </c>
      <c r="AK75" s="23">
        <f t="shared" si="157"/>
        <v>0</v>
      </c>
      <c r="AL75" s="23">
        <f t="shared" si="157"/>
        <v>0</v>
      </c>
      <c r="AM75" s="23">
        <f t="shared" si="157"/>
        <v>0</v>
      </c>
      <c r="AN75" s="23">
        <f t="shared" si="157"/>
        <v>0</v>
      </c>
      <c r="AO75" s="23">
        <f t="shared" si="157"/>
        <v>0</v>
      </c>
      <c r="AP75" s="23">
        <f t="shared" si="157"/>
        <v>0</v>
      </c>
      <c r="AQ75" s="23">
        <f t="shared" si="157"/>
        <v>0</v>
      </c>
      <c r="AR75" s="23">
        <f t="shared" si="157"/>
        <v>0</v>
      </c>
      <c r="AS75" s="23">
        <f t="shared" si="157"/>
        <v>0</v>
      </c>
      <c r="AT75" s="23">
        <f t="shared" si="157"/>
        <v>0</v>
      </c>
      <c r="AU75" s="23">
        <f t="shared" si="157"/>
        <v>0</v>
      </c>
      <c r="AV75" s="23">
        <f t="shared" si="157"/>
        <v>0</v>
      </c>
      <c r="AW75" s="23">
        <f t="shared" si="157"/>
        <v>0</v>
      </c>
      <c r="AX75" s="23">
        <f t="shared" si="157"/>
        <v>0</v>
      </c>
      <c r="AY75" s="23">
        <f t="shared" si="122"/>
        <v>0</v>
      </c>
      <c r="AZ75" s="23">
        <f t="shared" si="123"/>
        <v>0</v>
      </c>
      <c r="BA75" s="23">
        <f t="shared" si="123"/>
        <v>0</v>
      </c>
      <c r="BB75" s="23">
        <f t="shared" si="122"/>
        <v>0</v>
      </c>
      <c r="BC75" s="23">
        <f t="shared" si="122"/>
        <v>0</v>
      </c>
      <c r="BD75" s="23">
        <f t="shared" si="124"/>
        <v>0</v>
      </c>
      <c r="BE75" s="23">
        <f t="shared" si="124"/>
        <v>0</v>
      </c>
      <c r="BF75" s="23">
        <f t="shared" si="122"/>
        <v>0</v>
      </c>
      <c r="BG75" s="23">
        <f t="shared" si="122"/>
        <v>0</v>
      </c>
      <c r="BH75" s="23">
        <f t="shared" si="122"/>
        <v>0</v>
      </c>
      <c r="BI75" s="23">
        <f t="shared" ref="BI75:BT75" si="158">BI23*$D62</f>
        <v>0</v>
      </c>
      <c r="BJ75" s="23">
        <f t="shared" si="158"/>
        <v>0</v>
      </c>
      <c r="BK75" s="23">
        <f t="shared" si="158"/>
        <v>0</v>
      </c>
      <c r="BL75" s="23">
        <f t="shared" si="158"/>
        <v>0</v>
      </c>
      <c r="BM75" s="23">
        <f t="shared" si="158"/>
        <v>0</v>
      </c>
      <c r="BN75" s="23">
        <f t="shared" si="158"/>
        <v>0</v>
      </c>
      <c r="BO75" s="23">
        <f t="shared" si="158"/>
        <v>0</v>
      </c>
      <c r="BP75" s="23">
        <f t="shared" si="158"/>
        <v>0</v>
      </c>
      <c r="BQ75" s="23">
        <f t="shared" si="158"/>
        <v>0</v>
      </c>
      <c r="BR75" s="23">
        <f t="shared" si="158"/>
        <v>0</v>
      </c>
      <c r="BS75" s="23">
        <f t="shared" si="158"/>
        <v>0</v>
      </c>
      <c r="BT75" s="23">
        <f t="shared" si="158"/>
        <v>0</v>
      </c>
      <c r="BU75" s="23">
        <f t="shared" ref="BU75:CC75" si="159">BU23*$D62</f>
        <v>0</v>
      </c>
      <c r="BV75" s="23">
        <f t="shared" si="159"/>
        <v>0</v>
      </c>
      <c r="BW75" s="23">
        <f t="shared" si="159"/>
        <v>0</v>
      </c>
      <c r="BX75" s="23">
        <f t="shared" si="159"/>
        <v>0</v>
      </c>
      <c r="BY75" s="23">
        <f t="shared" si="159"/>
        <v>0</v>
      </c>
      <c r="BZ75" s="23">
        <f t="shared" si="159"/>
        <v>0</v>
      </c>
      <c r="CA75" s="23">
        <f t="shared" si="159"/>
        <v>0</v>
      </c>
      <c r="CB75" s="23">
        <f t="shared" si="159"/>
        <v>0</v>
      </c>
      <c r="CC75" s="23">
        <f t="shared" si="159"/>
        <v>0</v>
      </c>
      <c r="CD75" s="23">
        <f t="shared" si="127"/>
        <v>0</v>
      </c>
      <c r="CE75" s="23">
        <f t="shared" si="127"/>
        <v>0</v>
      </c>
      <c r="CF75" s="23">
        <f t="shared" si="127"/>
        <v>0</v>
      </c>
      <c r="CG75" s="23">
        <f t="shared" si="128"/>
        <v>0</v>
      </c>
      <c r="CH75" s="23">
        <f t="shared" si="128"/>
        <v>0</v>
      </c>
      <c r="CI75" s="23">
        <f t="shared" si="128"/>
        <v>0</v>
      </c>
      <c r="CJ75" s="23">
        <f t="shared" si="128"/>
        <v>0</v>
      </c>
      <c r="CK75" s="23">
        <f t="shared" si="128"/>
        <v>0</v>
      </c>
      <c r="CL75" s="23">
        <f t="shared" si="128"/>
        <v>0</v>
      </c>
      <c r="CM75" s="23">
        <f t="shared" si="128"/>
        <v>0</v>
      </c>
      <c r="CN75" s="23">
        <f t="shared" si="129"/>
        <v>0</v>
      </c>
      <c r="CO75" s="23">
        <f t="shared" si="129"/>
        <v>0</v>
      </c>
      <c r="CP75" s="23">
        <f t="shared" si="129"/>
        <v>0</v>
      </c>
      <c r="CQ75" s="23">
        <f t="shared" si="129"/>
        <v>0</v>
      </c>
      <c r="CR75" s="23">
        <f t="shared" si="130"/>
        <v>0</v>
      </c>
      <c r="CS75" s="23">
        <f t="shared" si="131"/>
        <v>0</v>
      </c>
      <c r="CT75" s="23">
        <f t="shared" si="131"/>
        <v>0</v>
      </c>
      <c r="CU75" s="23">
        <f t="shared" si="131"/>
        <v>0</v>
      </c>
      <c r="CV75" s="23">
        <f t="shared" si="131"/>
        <v>0</v>
      </c>
      <c r="CW75" s="23">
        <f t="shared" si="131"/>
        <v>0</v>
      </c>
      <c r="CX75" s="23">
        <f t="shared" si="132"/>
        <v>0</v>
      </c>
      <c r="CY75" s="23">
        <f t="shared" si="132"/>
        <v>0</v>
      </c>
      <c r="CZ75" s="23">
        <f t="shared" si="132"/>
        <v>0</v>
      </c>
      <c r="DA75" s="23">
        <f t="shared" si="132"/>
        <v>0</v>
      </c>
      <c r="DB75" s="23">
        <f t="shared" si="132"/>
        <v>0</v>
      </c>
      <c r="DC75" s="23">
        <f t="shared" si="132"/>
        <v>0</v>
      </c>
      <c r="DD75" s="23">
        <f t="shared" ref="DD75:DI75" si="160">DD23*$D62</f>
        <v>0</v>
      </c>
      <c r="DE75" s="23">
        <f t="shared" si="160"/>
        <v>0</v>
      </c>
      <c r="DF75" s="23">
        <f t="shared" si="160"/>
        <v>0</v>
      </c>
      <c r="DG75" s="23"/>
      <c r="DH75" s="23">
        <f t="shared" si="160"/>
        <v>0</v>
      </c>
      <c r="DI75" s="23">
        <f t="shared" si="160"/>
        <v>0</v>
      </c>
      <c r="DJ75" s="23">
        <f t="shared" si="134"/>
        <v>0</v>
      </c>
      <c r="DK75" s="23">
        <f t="shared" si="132"/>
        <v>0</v>
      </c>
      <c r="DL75" s="23">
        <f t="shared" si="132"/>
        <v>0</v>
      </c>
      <c r="DM75" s="23">
        <f t="shared" si="135"/>
        <v>0</v>
      </c>
      <c r="DN75" s="23">
        <f t="shared" si="132"/>
        <v>0</v>
      </c>
      <c r="DO75" s="23">
        <f t="shared" si="132"/>
        <v>0</v>
      </c>
      <c r="DP75" s="23">
        <f t="shared" si="132"/>
        <v>0</v>
      </c>
      <c r="DQ75" s="23">
        <f t="shared" si="136"/>
        <v>0</v>
      </c>
      <c r="DR75" s="23">
        <f t="shared" si="136"/>
        <v>0</v>
      </c>
      <c r="DS75" s="23">
        <f t="shared" si="136"/>
        <v>0</v>
      </c>
      <c r="DT75" s="23">
        <f t="shared" si="137"/>
        <v>0</v>
      </c>
      <c r="DU75" s="23">
        <f t="shared" si="137"/>
        <v>0</v>
      </c>
      <c r="DV75" s="23">
        <f t="shared" si="137"/>
        <v>0</v>
      </c>
      <c r="DW75" s="23">
        <f t="shared" si="138"/>
        <v>0</v>
      </c>
      <c r="DX75" s="23">
        <f t="shared" si="138"/>
        <v>0</v>
      </c>
      <c r="DY75" s="23">
        <f t="shared" si="138"/>
        <v>0</v>
      </c>
      <c r="DZ75" s="23">
        <f t="shared" si="138"/>
        <v>0</v>
      </c>
      <c r="EA75" s="23">
        <f t="shared" si="138"/>
        <v>0</v>
      </c>
      <c r="EB75" s="23">
        <f t="shared" si="138"/>
        <v>0</v>
      </c>
      <c r="EC75" s="23">
        <f t="shared" si="138"/>
        <v>0</v>
      </c>
      <c r="ED75" s="23">
        <f t="shared" si="139"/>
        <v>0</v>
      </c>
    </row>
    <row r="76" spans="1:136" x14ac:dyDescent="0.3">
      <c r="A76" s="21" t="s">
        <v>73</v>
      </c>
      <c r="B76" s="21" t="s">
        <v>71</v>
      </c>
      <c r="D76" s="23">
        <f t="shared" si="107"/>
        <v>0</v>
      </c>
      <c r="E76" s="23">
        <f t="shared" si="108"/>
        <v>0</v>
      </c>
      <c r="F76" s="23">
        <f t="shared" si="108"/>
        <v>0</v>
      </c>
      <c r="G76" s="23">
        <f t="shared" si="108"/>
        <v>0</v>
      </c>
      <c r="H76" s="23">
        <f t="shared" si="108"/>
        <v>0</v>
      </c>
      <c r="I76" s="23">
        <f t="shared" si="108"/>
        <v>0</v>
      </c>
      <c r="J76" s="23">
        <f t="shared" si="109"/>
        <v>0</v>
      </c>
      <c r="K76" s="23">
        <f t="shared" si="110"/>
        <v>0</v>
      </c>
      <c r="L76" s="23">
        <f t="shared" si="111"/>
        <v>0</v>
      </c>
      <c r="M76" s="23">
        <f t="shared" si="111"/>
        <v>0</v>
      </c>
      <c r="N76" s="23">
        <f t="shared" si="112"/>
        <v>0</v>
      </c>
      <c r="O76" s="23">
        <f t="shared" si="112"/>
        <v>0</v>
      </c>
      <c r="P76" s="23">
        <f t="shared" si="113"/>
        <v>0</v>
      </c>
      <c r="Q76" s="23">
        <f t="shared" si="113"/>
        <v>0</v>
      </c>
      <c r="R76" s="23">
        <f t="shared" si="113"/>
        <v>0</v>
      </c>
      <c r="S76" s="23">
        <f t="shared" si="113"/>
        <v>0</v>
      </c>
      <c r="T76" s="23">
        <f t="shared" si="114"/>
        <v>0</v>
      </c>
      <c r="U76" s="23">
        <f t="shared" si="114"/>
        <v>0</v>
      </c>
      <c r="V76" s="23">
        <f t="shared" si="114"/>
        <v>0</v>
      </c>
      <c r="W76" s="23">
        <f t="shared" si="115"/>
        <v>0</v>
      </c>
      <c r="X76" s="23">
        <f t="shared" si="116"/>
        <v>0</v>
      </c>
      <c r="Y76" s="23">
        <f t="shared" si="116"/>
        <v>0</v>
      </c>
      <c r="Z76" s="23">
        <f t="shared" si="116"/>
        <v>0</v>
      </c>
      <c r="AA76" s="23">
        <f t="shared" si="116"/>
        <v>0</v>
      </c>
      <c r="AB76" s="23">
        <f t="shared" ref="AB76:AC76" si="161">AB24*$D63</f>
        <v>0</v>
      </c>
      <c r="AC76" s="23">
        <f t="shared" si="161"/>
        <v>0</v>
      </c>
      <c r="AD76" s="23">
        <f t="shared" ref="AD76" si="162">AD24*$D63</f>
        <v>0</v>
      </c>
      <c r="AE76" s="23">
        <f t="shared" ref="AE76" si="163">AE24*$D63</f>
        <v>0</v>
      </c>
      <c r="AF76" s="23">
        <f t="shared" si="120"/>
        <v>0</v>
      </c>
      <c r="AG76" s="23">
        <f t="shared" ref="AG76:AX76" si="164">AG24*$D63</f>
        <v>0</v>
      </c>
      <c r="AH76" s="23">
        <f t="shared" si="164"/>
        <v>0</v>
      </c>
      <c r="AI76" s="23">
        <f t="shared" si="164"/>
        <v>0</v>
      </c>
      <c r="AJ76" s="23">
        <f t="shared" si="164"/>
        <v>0</v>
      </c>
      <c r="AK76" s="23">
        <f t="shared" si="164"/>
        <v>0</v>
      </c>
      <c r="AL76" s="23">
        <f t="shared" si="164"/>
        <v>0</v>
      </c>
      <c r="AM76" s="23">
        <f t="shared" si="164"/>
        <v>0</v>
      </c>
      <c r="AN76" s="23">
        <f t="shared" si="164"/>
        <v>0</v>
      </c>
      <c r="AO76" s="23">
        <f t="shared" si="164"/>
        <v>0</v>
      </c>
      <c r="AP76" s="23">
        <f t="shared" si="164"/>
        <v>0</v>
      </c>
      <c r="AQ76" s="23">
        <f t="shared" si="164"/>
        <v>0</v>
      </c>
      <c r="AR76" s="23">
        <f t="shared" si="164"/>
        <v>0</v>
      </c>
      <c r="AS76" s="23">
        <f t="shared" si="164"/>
        <v>0</v>
      </c>
      <c r="AT76" s="23">
        <f t="shared" si="164"/>
        <v>0</v>
      </c>
      <c r="AU76" s="23">
        <f t="shared" si="164"/>
        <v>0</v>
      </c>
      <c r="AV76" s="23">
        <f t="shared" si="164"/>
        <v>0</v>
      </c>
      <c r="AW76" s="23">
        <f t="shared" si="164"/>
        <v>0</v>
      </c>
      <c r="AX76" s="23">
        <f t="shared" si="164"/>
        <v>0</v>
      </c>
      <c r="AY76" s="23">
        <f t="shared" si="122"/>
        <v>0</v>
      </c>
      <c r="AZ76" s="23">
        <f t="shared" si="123"/>
        <v>0</v>
      </c>
      <c r="BA76" s="23">
        <f t="shared" si="123"/>
        <v>0</v>
      </c>
      <c r="BB76" s="23">
        <f t="shared" si="122"/>
        <v>0</v>
      </c>
      <c r="BC76" s="23">
        <f t="shared" si="122"/>
        <v>0</v>
      </c>
      <c r="BD76" s="23">
        <f t="shared" si="124"/>
        <v>0</v>
      </c>
      <c r="BE76" s="23">
        <f t="shared" si="124"/>
        <v>0</v>
      </c>
      <c r="BF76" s="23">
        <f t="shared" si="122"/>
        <v>0</v>
      </c>
      <c r="BG76" s="23">
        <f t="shared" si="122"/>
        <v>0</v>
      </c>
      <c r="BH76" s="23">
        <f t="shared" si="122"/>
        <v>0</v>
      </c>
      <c r="BI76" s="23">
        <f t="shared" ref="BI76:BT76" si="165">BI24*$D63</f>
        <v>0</v>
      </c>
      <c r="BJ76" s="23">
        <f t="shared" si="165"/>
        <v>0</v>
      </c>
      <c r="BK76" s="23">
        <f t="shared" si="165"/>
        <v>0</v>
      </c>
      <c r="BL76" s="23">
        <f t="shared" si="165"/>
        <v>0</v>
      </c>
      <c r="BM76" s="23">
        <f t="shared" si="165"/>
        <v>0</v>
      </c>
      <c r="BN76" s="23">
        <f t="shared" si="165"/>
        <v>0</v>
      </c>
      <c r="BO76" s="23">
        <f t="shared" si="165"/>
        <v>0</v>
      </c>
      <c r="BP76" s="23">
        <f t="shared" si="165"/>
        <v>0</v>
      </c>
      <c r="BQ76" s="23">
        <f t="shared" si="165"/>
        <v>0</v>
      </c>
      <c r="BR76" s="23">
        <f t="shared" si="165"/>
        <v>0</v>
      </c>
      <c r="BS76" s="23">
        <f t="shared" si="165"/>
        <v>0</v>
      </c>
      <c r="BT76" s="23">
        <f t="shared" si="165"/>
        <v>0</v>
      </c>
      <c r="BU76" s="23">
        <f t="shared" ref="BU76:CC76" si="166">BU24*$D63</f>
        <v>0</v>
      </c>
      <c r="BV76" s="23">
        <f t="shared" si="166"/>
        <v>0</v>
      </c>
      <c r="BW76" s="23">
        <f t="shared" si="166"/>
        <v>0</v>
      </c>
      <c r="BX76" s="23">
        <f t="shared" si="166"/>
        <v>0</v>
      </c>
      <c r="BY76" s="23">
        <f t="shared" si="166"/>
        <v>0</v>
      </c>
      <c r="BZ76" s="23">
        <f t="shared" si="166"/>
        <v>0</v>
      </c>
      <c r="CA76" s="23">
        <f t="shared" si="166"/>
        <v>0</v>
      </c>
      <c r="CB76" s="23">
        <f t="shared" si="166"/>
        <v>0</v>
      </c>
      <c r="CC76" s="23">
        <f t="shared" si="166"/>
        <v>0</v>
      </c>
      <c r="CD76" s="23">
        <f t="shared" si="127"/>
        <v>0</v>
      </c>
      <c r="CE76" s="23">
        <f t="shared" si="127"/>
        <v>0</v>
      </c>
      <c r="CF76" s="23">
        <f t="shared" si="127"/>
        <v>0</v>
      </c>
      <c r="CG76" s="23">
        <f t="shared" si="128"/>
        <v>0</v>
      </c>
      <c r="CH76" s="23">
        <f t="shared" si="128"/>
        <v>0</v>
      </c>
      <c r="CI76" s="23">
        <f t="shared" si="128"/>
        <v>0</v>
      </c>
      <c r="CJ76" s="23">
        <f t="shared" si="128"/>
        <v>0</v>
      </c>
      <c r="CK76" s="23">
        <f t="shared" si="128"/>
        <v>0</v>
      </c>
      <c r="CL76" s="23">
        <f t="shared" si="128"/>
        <v>0</v>
      </c>
      <c r="CM76" s="23">
        <f t="shared" si="128"/>
        <v>0</v>
      </c>
      <c r="CN76" s="23">
        <f t="shared" si="129"/>
        <v>0</v>
      </c>
      <c r="CO76" s="23">
        <f t="shared" si="129"/>
        <v>0</v>
      </c>
      <c r="CP76" s="23">
        <f t="shared" si="129"/>
        <v>0</v>
      </c>
      <c r="CQ76" s="23">
        <f t="shared" si="129"/>
        <v>0</v>
      </c>
      <c r="CR76" s="23">
        <f t="shared" si="130"/>
        <v>0</v>
      </c>
      <c r="CS76" s="23">
        <f t="shared" si="131"/>
        <v>0</v>
      </c>
      <c r="CT76" s="23">
        <f t="shared" si="131"/>
        <v>0</v>
      </c>
      <c r="CU76" s="23">
        <f t="shared" si="131"/>
        <v>0</v>
      </c>
      <c r="CV76" s="23">
        <f t="shared" si="131"/>
        <v>0</v>
      </c>
      <c r="CW76" s="23">
        <f t="shared" si="131"/>
        <v>0</v>
      </c>
      <c r="CX76" s="23">
        <f t="shared" si="132"/>
        <v>0</v>
      </c>
      <c r="CY76" s="23">
        <f t="shared" si="132"/>
        <v>0</v>
      </c>
      <c r="CZ76" s="23">
        <f t="shared" si="132"/>
        <v>0</v>
      </c>
      <c r="DA76" s="23">
        <f t="shared" si="132"/>
        <v>0</v>
      </c>
      <c r="DB76" s="23">
        <f t="shared" si="132"/>
        <v>0</v>
      </c>
      <c r="DC76" s="23">
        <f t="shared" si="132"/>
        <v>0</v>
      </c>
      <c r="DD76" s="23">
        <f t="shared" ref="DD76:DI76" si="167">DD24*$D63</f>
        <v>0</v>
      </c>
      <c r="DE76" s="23">
        <f t="shared" si="167"/>
        <v>0</v>
      </c>
      <c r="DF76" s="23">
        <f t="shared" si="167"/>
        <v>0</v>
      </c>
      <c r="DG76" s="23"/>
      <c r="DH76" s="23">
        <f t="shared" si="167"/>
        <v>0</v>
      </c>
      <c r="DI76" s="23">
        <f t="shared" si="167"/>
        <v>0</v>
      </c>
      <c r="DJ76" s="23">
        <f t="shared" si="134"/>
        <v>0</v>
      </c>
      <c r="DK76" s="23">
        <f t="shared" si="132"/>
        <v>0</v>
      </c>
      <c r="DL76" s="23">
        <f t="shared" si="132"/>
        <v>0</v>
      </c>
      <c r="DM76" s="23">
        <f t="shared" si="135"/>
        <v>0</v>
      </c>
      <c r="DN76" s="23">
        <f t="shared" si="132"/>
        <v>0</v>
      </c>
      <c r="DO76" s="23">
        <f t="shared" si="132"/>
        <v>0</v>
      </c>
      <c r="DP76" s="23">
        <f t="shared" si="132"/>
        <v>0</v>
      </c>
      <c r="DQ76" s="23">
        <f t="shared" si="136"/>
        <v>0</v>
      </c>
      <c r="DR76" s="23">
        <f t="shared" si="136"/>
        <v>0</v>
      </c>
      <c r="DS76" s="23">
        <f t="shared" si="136"/>
        <v>0</v>
      </c>
      <c r="DT76" s="23">
        <f t="shared" si="137"/>
        <v>0</v>
      </c>
      <c r="DU76" s="23">
        <f t="shared" si="137"/>
        <v>0</v>
      </c>
      <c r="DV76" s="23">
        <f t="shared" si="137"/>
        <v>0</v>
      </c>
      <c r="DW76" s="23">
        <f t="shared" si="138"/>
        <v>0</v>
      </c>
      <c r="DX76" s="23">
        <f t="shared" si="138"/>
        <v>0</v>
      </c>
      <c r="DY76" s="23">
        <f t="shared" si="138"/>
        <v>0</v>
      </c>
      <c r="DZ76" s="23">
        <f t="shared" si="138"/>
        <v>0</v>
      </c>
      <c r="EA76" s="23">
        <f t="shared" si="138"/>
        <v>0</v>
      </c>
      <c r="EB76" s="23">
        <f t="shared" si="138"/>
        <v>0</v>
      </c>
      <c r="EC76" s="23">
        <f t="shared" si="138"/>
        <v>0</v>
      </c>
      <c r="ED76" s="23">
        <f t="shared" si="139"/>
        <v>0</v>
      </c>
    </row>
    <row r="77" spans="1:136" x14ac:dyDescent="0.3">
      <c r="A77" s="21" t="str">
        <f>A76</f>
        <v xml:space="preserve">   Heavy truck</v>
      </c>
      <c r="B77" s="21" t="s">
        <v>70</v>
      </c>
      <c r="D77" s="23">
        <f t="shared" si="107"/>
        <v>0</v>
      </c>
      <c r="E77" s="23">
        <f t="shared" si="108"/>
        <v>0</v>
      </c>
      <c r="F77" s="23">
        <f t="shared" si="108"/>
        <v>0</v>
      </c>
      <c r="G77" s="23">
        <f t="shared" si="108"/>
        <v>0</v>
      </c>
      <c r="H77" s="23">
        <f t="shared" si="108"/>
        <v>0</v>
      </c>
      <c r="I77" s="23">
        <f t="shared" si="108"/>
        <v>0</v>
      </c>
      <c r="J77" s="23">
        <f t="shared" si="109"/>
        <v>0</v>
      </c>
      <c r="K77" s="23">
        <f t="shared" si="110"/>
        <v>0</v>
      </c>
      <c r="L77" s="23">
        <f t="shared" si="111"/>
        <v>0</v>
      </c>
      <c r="M77" s="23">
        <f t="shared" si="111"/>
        <v>0</v>
      </c>
      <c r="N77" s="23">
        <f t="shared" si="112"/>
        <v>0</v>
      </c>
      <c r="O77" s="23">
        <f t="shared" si="112"/>
        <v>0</v>
      </c>
      <c r="P77" s="23">
        <f t="shared" si="113"/>
        <v>0</v>
      </c>
      <c r="Q77" s="23">
        <f t="shared" si="113"/>
        <v>0</v>
      </c>
      <c r="R77" s="23">
        <f t="shared" si="113"/>
        <v>0</v>
      </c>
      <c r="S77" s="23">
        <f t="shared" si="113"/>
        <v>0</v>
      </c>
      <c r="T77" s="23">
        <f t="shared" si="114"/>
        <v>0</v>
      </c>
      <c r="U77" s="23">
        <f t="shared" si="114"/>
        <v>0</v>
      </c>
      <c r="V77" s="23">
        <f t="shared" si="114"/>
        <v>0</v>
      </c>
      <c r="W77" s="23">
        <f t="shared" si="115"/>
        <v>0</v>
      </c>
      <c r="X77" s="23">
        <f t="shared" si="116"/>
        <v>0</v>
      </c>
      <c r="Y77" s="23">
        <f t="shared" si="116"/>
        <v>0</v>
      </c>
      <c r="Z77" s="23">
        <f t="shared" si="116"/>
        <v>0</v>
      </c>
      <c r="AA77" s="23">
        <f t="shared" si="116"/>
        <v>0</v>
      </c>
      <c r="AB77" s="23">
        <f t="shared" ref="AB77:AC77" si="168">AB25*$D64</f>
        <v>0</v>
      </c>
      <c r="AC77" s="23">
        <f t="shared" si="168"/>
        <v>0</v>
      </c>
      <c r="AD77" s="23">
        <f t="shared" ref="AD77" si="169">AD25*$D64</f>
        <v>0</v>
      </c>
      <c r="AE77" s="23">
        <f t="shared" ref="AE77" si="170">AE25*$D64</f>
        <v>0</v>
      </c>
      <c r="AF77" s="23">
        <f t="shared" si="120"/>
        <v>0</v>
      </c>
      <c r="AG77" s="23">
        <f t="shared" ref="AG77:AX77" si="171">AG25*$D64</f>
        <v>0</v>
      </c>
      <c r="AH77" s="23">
        <f t="shared" si="171"/>
        <v>0</v>
      </c>
      <c r="AI77" s="23">
        <f t="shared" si="171"/>
        <v>0</v>
      </c>
      <c r="AJ77" s="23">
        <f t="shared" si="171"/>
        <v>0</v>
      </c>
      <c r="AK77" s="23">
        <f t="shared" si="171"/>
        <v>0</v>
      </c>
      <c r="AL77" s="23">
        <f t="shared" si="171"/>
        <v>0</v>
      </c>
      <c r="AM77" s="23">
        <f t="shared" si="171"/>
        <v>0</v>
      </c>
      <c r="AN77" s="23">
        <f t="shared" si="171"/>
        <v>0</v>
      </c>
      <c r="AO77" s="23">
        <f t="shared" si="171"/>
        <v>569.53056349806627</v>
      </c>
      <c r="AP77" s="23">
        <f t="shared" si="171"/>
        <v>608.55737727995518</v>
      </c>
      <c r="AQ77" s="23">
        <f t="shared" si="171"/>
        <v>674.15058981263189</v>
      </c>
      <c r="AR77" s="23">
        <f t="shared" si="171"/>
        <v>691.20309145576186</v>
      </c>
      <c r="AS77" s="23">
        <f t="shared" si="171"/>
        <v>691.20309145576186</v>
      </c>
      <c r="AT77" s="23">
        <f t="shared" si="171"/>
        <v>691.20309145576186</v>
      </c>
      <c r="AU77" s="23">
        <f t="shared" si="171"/>
        <v>691.20309145576186</v>
      </c>
      <c r="AV77" s="23">
        <f t="shared" si="171"/>
        <v>651.112851739956</v>
      </c>
      <c r="AW77" s="23">
        <f t="shared" si="171"/>
        <v>731.29333117156762</v>
      </c>
      <c r="AX77" s="23">
        <f t="shared" si="171"/>
        <v>691.20309145576186</v>
      </c>
      <c r="AY77" s="23">
        <f t="shared" si="122"/>
        <v>645.58364965381452</v>
      </c>
      <c r="AZ77" s="23">
        <f t="shared" si="123"/>
        <v>645.58364965381452</v>
      </c>
      <c r="BA77" s="23">
        <f t="shared" si="123"/>
        <v>645.58364965381452</v>
      </c>
      <c r="BB77" s="23">
        <f t="shared" si="122"/>
        <v>645.58364965381452</v>
      </c>
      <c r="BC77" s="23">
        <f t="shared" si="122"/>
        <v>569.53056349806627</v>
      </c>
      <c r="BD77" s="23">
        <f t="shared" si="124"/>
        <v>569.53056349806627</v>
      </c>
      <c r="BE77" s="23">
        <f t="shared" si="124"/>
        <v>569.53056349806627</v>
      </c>
      <c r="BF77" s="23">
        <f t="shared" si="122"/>
        <v>569.53056349806627</v>
      </c>
      <c r="BG77" s="23">
        <f t="shared" si="122"/>
        <v>569.53056349806627</v>
      </c>
      <c r="BH77" s="23">
        <f t="shared" si="122"/>
        <v>569.53056349806627</v>
      </c>
      <c r="BI77" s="23">
        <f t="shared" ref="BI77:BT77" si="172">BI25*$D64</f>
        <v>569.53056349806627</v>
      </c>
      <c r="BJ77" s="23">
        <f t="shared" si="172"/>
        <v>608.55737727995518</v>
      </c>
      <c r="BK77" s="23">
        <f t="shared" si="172"/>
        <v>674.15058981263189</v>
      </c>
      <c r="BL77" s="23">
        <f t="shared" si="172"/>
        <v>717.92991793296574</v>
      </c>
      <c r="BM77" s="23">
        <f t="shared" si="172"/>
        <v>717.92991793296574</v>
      </c>
      <c r="BN77" s="23">
        <f t="shared" si="172"/>
        <v>717.92991793296574</v>
      </c>
      <c r="BO77" s="23">
        <f t="shared" si="172"/>
        <v>717.92991793296574</v>
      </c>
      <c r="BP77" s="23">
        <f t="shared" si="172"/>
        <v>717.92991793296574</v>
      </c>
      <c r="BQ77" s="23">
        <f t="shared" si="172"/>
        <v>717.92991793296574</v>
      </c>
      <c r="BR77" s="23">
        <f t="shared" si="172"/>
        <v>671.15797159785905</v>
      </c>
      <c r="BS77" s="23">
        <f t="shared" si="172"/>
        <v>764.70186426807265</v>
      </c>
      <c r="BT77" s="23">
        <f t="shared" si="172"/>
        <v>717.92991793296574</v>
      </c>
      <c r="BU77" s="23">
        <f t="shared" ref="BU77:CC77" si="173">BU25*$D64</f>
        <v>905.01770327339307</v>
      </c>
      <c r="BV77" s="23">
        <f t="shared" si="173"/>
        <v>905.01770327339307</v>
      </c>
      <c r="BW77" s="23">
        <f t="shared" si="173"/>
        <v>905.01770327339307</v>
      </c>
      <c r="BX77" s="23">
        <f t="shared" si="173"/>
        <v>905.01770327339307</v>
      </c>
      <c r="BY77" s="23">
        <f t="shared" si="173"/>
        <v>905.01770327339307</v>
      </c>
      <c r="BZ77" s="23">
        <f t="shared" si="173"/>
        <v>905.01770327339307</v>
      </c>
      <c r="CA77" s="23">
        <f t="shared" si="173"/>
        <v>811.47381060317934</v>
      </c>
      <c r="CB77" s="23">
        <f t="shared" si="173"/>
        <v>998.56159594360656</v>
      </c>
      <c r="CC77" s="23">
        <f t="shared" si="173"/>
        <v>905.01770327339307</v>
      </c>
      <c r="CD77" s="23">
        <f t="shared" si="127"/>
        <v>645.58364965381452</v>
      </c>
      <c r="CE77" s="23">
        <f t="shared" si="127"/>
        <v>645.58364965381452</v>
      </c>
      <c r="CF77" s="23">
        <f t="shared" si="127"/>
        <v>645.58364965381452</v>
      </c>
      <c r="CG77" s="23">
        <f t="shared" si="128"/>
        <v>645.58364965381452</v>
      </c>
      <c r="CH77" s="23">
        <f t="shared" si="128"/>
        <v>569.53056349806627</v>
      </c>
      <c r="CI77" s="23">
        <f t="shared" si="128"/>
        <v>608.55737727995518</v>
      </c>
      <c r="CJ77" s="23">
        <f t="shared" si="128"/>
        <v>674.15058981263189</v>
      </c>
      <c r="CK77" s="23">
        <f>CK25*$D64</f>
        <v>717.92991793296574</v>
      </c>
      <c r="CL77" s="23">
        <f>CL25*$D64</f>
        <v>905.01770327339307</v>
      </c>
      <c r="CM77" s="23">
        <f>CM25*$D64</f>
        <v>645.58364965381452</v>
      </c>
      <c r="CN77" s="23">
        <f t="shared" si="129"/>
        <v>723.5705459084254</v>
      </c>
      <c r="CO77" s="23">
        <f t="shared" si="129"/>
        <v>771.3201078371759</v>
      </c>
      <c r="CP77" s="23">
        <f t="shared" si="129"/>
        <v>842.3910785775131</v>
      </c>
      <c r="CQ77" s="23">
        <f t="shared" si="129"/>
        <v>837.88785513630546</v>
      </c>
      <c r="CR77" s="23">
        <f t="shared" si="130"/>
        <v>823.18870640673424</v>
      </c>
      <c r="CS77" s="23">
        <f t="shared" si="131"/>
        <v>723.5705459084254</v>
      </c>
      <c r="CT77" s="23">
        <f t="shared" si="131"/>
        <v>771.3201078371759</v>
      </c>
      <c r="CU77" s="23">
        <f t="shared" si="131"/>
        <v>842.3910785775131</v>
      </c>
      <c r="CV77" s="23">
        <f t="shared" si="131"/>
        <v>864.61468161350922</v>
      </c>
      <c r="CW77" s="23">
        <f t="shared" si="131"/>
        <v>1051.7024669539367</v>
      </c>
      <c r="CX77" s="23">
        <f t="shared" si="132"/>
        <v>823.18870640673424</v>
      </c>
      <c r="CY77" s="23">
        <f t="shared" si="132"/>
        <v>723.5705459084254</v>
      </c>
      <c r="CZ77" s="23">
        <f t="shared" si="132"/>
        <v>771.3201078371759</v>
      </c>
      <c r="DA77" s="23">
        <f t="shared" si="132"/>
        <v>842.3910785775131</v>
      </c>
      <c r="DB77" s="23">
        <f>DB25*$D64</f>
        <v>864.61468161350922</v>
      </c>
      <c r="DC77" s="23">
        <f>DC25*$D64</f>
        <v>1051.7024669539367</v>
      </c>
      <c r="DD77" s="23">
        <f>DD25*$D64</f>
        <v>823.18870640673424</v>
      </c>
      <c r="DE77" s="23">
        <f>DE25*$D64</f>
        <v>1354.803973909065</v>
      </c>
      <c r="DF77" s="23">
        <f>DF25*$D64</f>
        <v>1391.5487110366416</v>
      </c>
      <c r="DG77" s="23"/>
      <c r="DH77" s="23">
        <f>DH25*$D64</f>
        <v>1808.3830136534411</v>
      </c>
      <c r="DI77" s="23">
        <f>DI25*$D64</f>
        <v>2209.2854108114993</v>
      </c>
      <c r="DJ77" s="23">
        <f t="shared" si="134"/>
        <v>1573.2456596765587</v>
      </c>
      <c r="DK77" s="23">
        <f t="shared" si="132"/>
        <v>3963.5731917095641</v>
      </c>
      <c r="DL77" s="23">
        <f t="shared" si="132"/>
        <v>3963.5731917095641</v>
      </c>
      <c r="DM77" s="23">
        <f t="shared" si="135"/>
        <v>3963.5731917095641</v>
      </c>
      <c r="DN77" s="23">
        <f t="shared" si="132"/>
        <v>3963.5731917095641</v>
      </c>
      <c r="DO77" s="23">
        <f t="shared" si="132"/>
        <v>3963.5731917095641</v>
      </c>
      <c r="DP77" s="23">
        <f t="shared" si="132"/>
        <v>3963.5731917095641</v>
      </c>
      <c r="DQ77" s="23">
        <f t="shared" si="136"/>
        <v>3963.5731917095641</v>
      </c>
      <c r="DR77" s="23">
        <f t="shared" si="136"/>
        <v>3965.3047811256342</v>
      </c>
      <c r="DS77" s="23">
        <f t="shared" si="136"/>
        <v>6561.7950903264173</v>
      </c>
      <c r="DT77" s="23">
        <f t="shared" si="137"/>
        <v>6561.7950903264173</v>
      </c>
      <c r="DU77" s="23">
        <f t="shared" si="137"/>
        <v>5493.0186767827627</v>
      </c>
      <c r="DV77" s="23">
        <f t="shared" si="137"/>
        <v>4683.5579199758013</v>
      </c>
      <c r="DW77" s="23">
        <f t="shared" si="138"/>
        <v>4683.5579199758013</v>
      </c>
      <c r="DX77" s="23">
        <f t="shared" si="138"/>
        <v>0</v>
      </c>
      <c r="DY77" s="23">
        <f t="shared" si="138"/>
        <v>0</v>
      </c>
      <c r="DZ77" s="23">
        <f t="shared" si="138"/>
        <v>0</v>
      </c>
      <c r="EA77" s="23">
        <f t="shared" si="138"/>
        <v>0</v>
      </c>
      <c r="EB77" s="23">
        <f t="shared" si="138"/>
        <v>0</v>
      </c>
      <c r="EC77" s="23">
        <f t="shared" si="138"/>
        <v>0</v>
      </c>
      <c r="ED77" s="23">
        <f t="shared" si="139"/>
        <v>0</v>
      </c>
    </row>
    <row r="78" spans="1:136" x14ac:dyDescent="0.3">
      <c r="A78" s="21" t="s">
        <v>72</v>
      </c>
      <c r="B78" s="21" t="s">
        <v>71</v>
      </c>
      <c r="D78" s="23">
        <f t="shared" si="107"/>
        <v>88.097145398805708</v>
      </c>
      <c r="E78" s="23">
        <f t="shared" si="108"/>
        <v>88.097145398805708</v>
      </c>
      <c r="F78" s="23">
        <f t="shared" si="108"/>
        <v>88.097145398805708</v>
      </c>
      <c r="G78" s="23">
        <f t="shared" si="108"/>
        <v>88.097145398805708</v>
      </c>
      <c r="H78" s="23">
        <f t="shared" si="108"/>
        <v>88.097145398805708</v>
      </c>
      <c r="I78" s="23">
        <f t="shared" si="108"/>
        <v>88.097145398805708</v>
      </c>
      <c r="J78" s="23">
        <f t="shared" si="109"/>
        <v>88.097145398805708</v>
      </c>
      <c r="K78" s="23">
        <f t="shared" si="110"/>
        <v>88.097145398805708</v>
      </c>
      <c r="L78" s="23">
        <f t="shared" si="111"/>
        <v>88.097145398805708</v>
      </c>
      <c r="M78" s="23">
        <f t="shared" si="111"/>
        <v>88.097145398805708</v>
      </c>
      <c r="N78" s="23">
        <f t="shared" si="112"/>
        <v>88.097145398805708</v>
      </c>
      <c r="O78" s="23">
        <f t="shared" si="112"/>
        <v>88.097145398805708</v>
      </c>
      <c r="P78" s="23">
        <f t="shared" si="113"/>
        <v>88.097145398805708</v>
      </c>
      <c r="Q78" s="23">
        <f t="shared" si="113"/>
        <v>88.097145398805708</v>
      </c>
      <c r="R78" s="23">
        <f t="shared" si="113"/>
        <v>88.097145398805708</v>
      </c>
      <c r="S78" s="23">
        <f t="shared" si="113"/>
        <v>88.097145398805708</v>
      </c>
      <c r="T78" s="23">
        <f t="shared" si="114"/>
        <v>88.097145398805708</v>
      </c>
      <c r="U78" s="23">
        <f t="shared" si="114"/>
        <v>88.097145398805708</v>
      </c>
      <c r="V78" s="23">
        <f t="shared" si="114"/>
        <v>88.097145398805708</v>
      </c>
      <c r="W78" s="23">
        <f t="shared" si="115"/>
        <v>88.097145398805708</v>
      </c>
      <c r="X78" s="23">
        <f t="shared" si="116"/>
        <v>170.00781857879758</v>
      </c>
      <c r="Y78" s="23">
        <f t="shared" si="116"/>
        <v>170.00781857879758</v>
      </c>
      <c r="Z78" s="23">
        <f t="shared" si="116"/>
        <v>170.00781857879758</v>
      </c>
      <c r="AA78" s="23">
        <f t="shared" si="116"/>
        <v>170.00781857879758</v>
      </c>
      <c r="AB78" s="23">
        <f t="shared" ref="AB78:AC78" si="174">AB26*$D65</f>
        <v>170.00781857879758</v>
      </c>
      <c r="AC78" s="23">
        <f t="shared" si="174"/>
        <v>170.00781857879758</v>
      </c>
      <c r="AD78" s="23">
        <f t="shared" ref="AD78" si="175">AD26*$D65</f>
        <v>170.00781857879758</v>
      </c>
      <c r="AE78" s="23">
        <f t="shared" ref="AE78" si="176">AE26*$D65</f>
        <v>170.00781857879758</v>
      </c>
      <c r="AF78" s="23">
        <f t="shared" si="120"/>
        <v>88.097145398805708</v>
      </c>
      <c r="AG78" s="23">
        <f t="shared" ref="AG78:AX78" si="177">AG26*$D65</f>
        <v>117.50495215929138</v>
      </c>
      <c r="AH78" s="23">
        <f t="shared" si="177"/>
        <v>157.83082638326789</v>
      </c>
      <c r="AI78" s="23">
        <f t="shared" si="177"/>
        <v>157.83082638326789</v>
      </c>
      <c r="AJ78" s="23">
        <f t="shared" si="177"/>
        <v>186.53942264945834</v>
      </c>
      <c r="AK78" s="23">
        <f t="shared" si="177"/>
        <v>473.20752385644209</v>
      </c>
      <c r="AL78" s="23">
        <f t="shared" si="177"/>
        <v>463.05442961322927</v>
      </c>
      <c r="AM78" s="23">
        <f t="shared" si="177"/>
        <v>473.20752385644209</v>
      </c>
      <c r="AN78" s="23">
        <f t="shared" si="177"/>
        <v>508.9401405257621</v>
      </c>
      <c r="AO78" s="23">
        <f t="shared" si="177"/>
        <v>0</v>
      </c>
      <c r="AP78" s="23">
        <f t="shared" si="177"/>
        <v>0</v>
      </c>
      <c r="AQ78" s="23">
        <f t="shared" si="177"/>
        <v>0</v>
      </c>
      <c r="AR78" s="23">
        <f t="shared" si="177"/>
        <v>0</v>
      </c>
      <c r="AS78" s="23">
        <f t="shared" si="177"/>
        <v>0</v>
      </c>
      <c r="AT78" s="23">
        <f t="shared" si="177"/>
        <v>0</v>
      </c>
      <c r="AU78" s="23">
        <f t="shared" si="177"/>
        <v>0</v>
      </c>
      <c r="AV78" s="23">
        <f t="shared" si="177"/>
        <v>0</v>
      </c>
      <c r="AW78" s="23">
        <f t="shared" si="177"/>
        <v>0</v>
      </c>
      <c r="AX78" s="23">
        <f t="shared" si="177"/>
        <v>0</v>
      </c>
      <c r="AY78" s="23">
        <f t="shared" si="122"/>
        <v>0</v>
      </c>
      <c r="AZ78" s="23">
        <f t="shared" si="123"/>
        <v>0</v>
      </c>
      <c r="BA78" s="23">
        <f t="shared" si="123"/>
        <v>0</v>
      </c>
      <c r="BB78" s="23">
        <f t="shared" si="122"/>
        <v>0</v>
      </c>
      <c r="BC78" s="23">
        <f t="shared" si="122"/>
        <v>0</v>
      </c>
      <c r="BD78" s="23">
        <f t="shared" si="124"/>
        <v>0</v>
      </c>
      <c r="BE78" s="23">
        <f t="shared" si="124"/>
        <v>0</v>
      </c>
      <c r="BF78" s="23">
        <f t="shared" si="122"/>
        <v>0</v>
      </c>
      <c r="BG78" s="23">
        <f t="shared" si="122"/>
        <v>0</v>
      </c>
      <c r="BH78" s="23">
        <f t="shared" si="122"/>
        <v>0</v>
      </c>
      <c r="BI78" s="23">
        <f t="shared" ref="BI78:BT78" si="178">BI26*$D65</f>
        <v>0</v>
      </c>
      <c r="BJ78" s="23">
        <f t="shared" si="178"/>
        <v>0</v>
      </c>
      <c r="BK78" s="23">
        <f t="shared" si="178"/>
        <v>0</v>
      </c>
      <c r="BL78" s="23">
        <f t="shared" si="178"/>
        <v>0</v>
      </c>
      <c r="BM78" s="23">
        <f t="shared" si="178"/>
        <v>0</v>
      </c>
      <c r="BN78" s="23">
        <f t="shared" si="178"/>
        <v>0</v>
      </c>
      <c r="BO78" s="23">
        <f t="shared" si="178"/>
        <v>0</v>
      </c>
      <c r="BP78" s="23">
        <f t="shared" si="178"/>
        <v>0</v>
      </c>
      <c r="BQ78" s="23">
        <f t="shared" si="178"/>
        <v>0</v>
      </c>
      <c r="BR78" s="23">
        <f t="shared" si="178"/>
        <v>0</v>
      </c>
      <c r="BS78" s="23">
        <f t="shared" si="178"/>
        <v>0</v>
      </c>
      <c r="BT78" s="23">
        <f t="shared" si="178"/>
        <v>0</v>
      </c>
      <c r="BU78" s="23">
        <f t="shared" ref="BU78:CC78" si="179">BU26*$D65</f>
        <v>0</v>
      </c>
      <c r="BV78" s="23">
        <f t="shared" si="179"/>
        <v>0</v>
      </c>
      <c r="BW78" s="23">
        <f t="shared" si="179"/>
        <v>0</v>
      </c>
      <c r="BX78" s="23">
        <f t="shared" si="179"/>
        <v>0</v>
      </c>
      <c r="BY78" s="23">
        <f t="shared" si="179"/>
        <v>0</v>
      </c>
      <c r="BZ78" s="23">
        <f t="shared" si="179"/>
        <v>0</v>
      </c>
      <c r="CA78" s="23">
        <f t="shared" si="179"/>
        <v>0</v>
      </c>
      <c r="CB78" s="23">
        <f t="shared" si="179"/>
        <v>0</v>
      </c>
      <c r="CC78" s="23">
        <f t="shared" si="179"/>
        <v>0</v>
      </c>
      <c r="CD78" s="23">
        <f t="shared" si="127"/>
        <v>0</v>
      </c>
      <c r="CE78" s="23">
        <f t="shared" si="127"/>
        <v>0</v>
      </c>
      <c r="CF78" s="23">
        <f t="shared" si="127"/>
        <v>0</v>
      </c>
      <c r="CG78" s="23">
        <f t="shared" si="128"/>
        <v>0</v>
      </c>
      <c r="CH78" s="23">
        <f t="shared" si="128"/>
        <v>0</v>
      </c>
      <c r="CI78" s="23">
        <f t="shared" si="128"/>
        <v>0</v>
      </c>
      <c r="CJ78" s="23">
        <f t="shared" si="128"/>
        <v>0</v>
      </c>
      <c r="CK78" s="23">
        <f t="shared" si="128"/>
        <v>0</v>
      </c>
      <c r="CL78" s="23">
        <f t="shared" si="128"/>
        <v>0</v>
      </c>
      <c r="CM78" s="23">
        <f t="shared" si="128"/>
        <v>0</v>
      </c>
      <c r="CN78" s="23">
        <f t="shared" si="129"/>
        <v>0</v>
      </c>
      <c r="CO78" s="23">
        <f t="shared" si="129"/>
        <v>0</v>
      </c>
      <c r="CP78" s="23">
        <f t="shared" si="129"/>
        <v>0</v>
      </c>
      <c r="CQ78" s="23">
        <f t="shared" si="129"/>
        <v>0</v>
      </c>
      <c r="CR78" s="23">
        <f t="shared" si="130"/>
        <v>0</v>
      </c>
      <c r="CS78" s="23">
        <f t="shared" si="131"/>
        <v>0</v>
      </c>
      <c r="CT78" s="23">
        <f t="shared" si="131"/>
        <v>0</v>
      </c>
      <c r="CU78" s="23">
        <f t="shared" si="131"/>
        <v>0</v>
      </c>
      <c r="CV78" s="23">
        <f t="shared" si="131"/>
        <v>0</v>
      </c>
      <c r="CW78" s="23">
        <f t="shared" si="131"/>
        <v>0</v>
      </c>
      <c r="CX78" s="23">
        <f t="shared" si="132"/>
        <v>0</v>
      </c>
      <c r="CY78" s="23">
        <f t="shared" si="132"/>
        <v>0</v>
      </c>
      <c r="CZ78" s="23">
        <f t="shared" si="132"/>
        <v>0</v>
      </c>
      <c r="DA78" s="23">
        <f t="shared" si="132"/>
        <v>0</v>
      </c>
      <c r="DB78" s="23">
        <f t="shared" si="132"/>
        <v>0</v>
      </c>
      <c r="DC78" s="23">
        <f t="shared" si="132"/>
        <v>0</v>
      </c>
      <c r="DD78" s="23">
        <f t="shared" ref="DD78:DI78" si="180">DD26*$D65</f>
        <v>0</v>
      </c>
      <c r="DE78" s="23">
        <f t="shared" si="180"/>
        <v>0</v>
      </c>
      <c r="DF78" s="23">
        <f t="shared" si="180"/>
        <v>0</v>
      </c>
      <c r="DG78" s="23"/>
      <c r="DH78" s="23">
        <f t="shared" si="180"/>
        <v>0</v>
      </c>
      <c r="DI78" s="23">
        <f t="shared" si="180"/>
        <v>0</v>
      </c>
      <c r="DJ78" s="23">
        <f t="shared" si="134"/>
        <v>0</v>
      </c>
      <c r="DK78" s="23">
        <f t="shared" si="132"/>
        <v>0</v>
      </c>
      <c r="DL78" s="23">
        <f t="shared" si="132"/>
        <v>0</v>
      </c>
      <c r="DM78" s="23">
        <f t="shared" si="135"/>
        <v>0</v>
      </c>
      <c r="DN78" s="23">
        <f t="shared" si="132"/>
        <v>0</v>
      </c>
      <c r="DO78" s="23">
        <f t="shared" si="132"/>
        <v>0</v>
      </c>
      <c r="DP78" s="23">
        <f t="shared" si="132"/>
        <v>0</v>
      </c>
      <c r="DQ78" s="23">
        <f t="shared" si="136"/>
        <v>0</v>
      </c>
      <c r="DR78" s="23">
        <f t="shared" si="136"/>
        <v>0</v>
      </c>
      <c r="DS78" s="23">
        <f t="shared" si="136"/>
        <v>0</v>
      </c>
      <c r="DT78" s="23">
        <f t="shared" si="137"/>
        <v>0</v>
      </c>
      <c r="DU78" s="23">
        <f t="shared" si="137"/>
        <v>0</v>
      </c>
      <c r="DV78" s="23">
        <f t="shared" si="137"/>
        <v>0</v>
      </c>
      <c r="DW78" s="23">
        <f t="shared" si="138"/>
        <v>0</v>
      </c>
      <c r="DX78" s="23">
        <f t="shared" si="138"/>
        <v>0</v>
      </c>
      <c r="DY78" s="23">
        <f t="shared" si="138"/>
        <v>0</v>
      </c>
      <c r="DZ78" s="23">
        <f t="shared" si="138"/>
        <v>0</v>
      </c>
      <c r="EA78" s="23">
        <f t="shared" si="138"/>
        <v>0</v>
      </c>
      <c r="EB78" s="23">
        <f t="shared" si="138"/>
        <v>0</v>
      </c>
      <c r="EC78" s="23">
        <f t="shared" si="138"/>
        <v>0</v>
      </c>
      <c r="ED78" s="23">
        <f t="shared" si="139"/>
        <v>0</v>
      </c>
    </row>
    <row r="79" spans="1:136" x14ac:dyDescent="0.3">
      <c r="A79" s="21" t="str">
        <f>A78</f>
        <v xml:space="preserve">   Medium truck</v>
      </c>
      <c r="B79" s="21" t="s">
        <v>70</v>
      </c>
      <c r="D79" s="23">
        <f t="shared" si="107"/>
        <v>0</v>
      </c>
      <c r="E79" s="23">
        <f t="shared" si="108"/>
        <v>0</v>
      </c>
      <c r="F79" s="23">
        <f t="shared" si="108"/>
        <v>0</v>
      </c>
      <c r="G79" s="23">
        <f t="shared" si="108"/>
        <v>0</v>
      </c>
      <c r="H79" s="23">
        <f t="shared" si="108"/>
        <v>0</v>
      </c>
      <c r="I79" s="23">
        <f t="shared" si="108"/>
        <v>0</v>
      </c>
      <c r="J79" s="23">
        <f t="shared" si="109"/>
        <v>0</v>
      </c>
      <c r="K79" s="23">
        <f t="shared" si="110"/>
        <v>0</v>
      </c>
      <c r="L79" s="23">
        <f t="shared" si="111"/>
        <v>0</v>
      </c>
      <c r="M79" s="23">
        <f t="shared" si="111"/>
        <v>0</v>
      </c>
      <c r="N79" s="23">
        <f t="shared" si="112"/>
        <v>0</v>
      </c>
      <c r="O79" s="23">
        <f t="shared" si="112"/>
        <v>0</v>
      </c>
      <c r="P79" s="23">
        <f t="shared" si="113"/>
        <v>0</v>
      </c>
      <c r="Q79" s="23">
        <f t="shared" si="113"/>
        <v>0</v>
      </c>
      <c r="R79" s="23">
        <f t="shared" si="113"/>
        <v>0</v>
      </c>
      <c r="S79" s="23">
        <f t="shared" si="113"/>
        <v>0</v>
      </c>
      <c r="T79" s="23">
        <f t="shared" si="114"/>
        <v>0</v>
      </c>
      <c r="U79" s="23">
        <f t="shared" si="114"/>
        <v>0</v>
      </c>
      <c r="V79" s="23">
        <f t="shared" si="114"/>
        <v>0</v>
      </c>
      <c r="W79" s="23">
        <f t="shared" si="115"/>
        <v>0</v>
      </c>
      <c r="X79" s="23">
        <f t="shared" si="116"/>
        <v>0</v>
      </c>
      <c r="Y79" s="23">
        <f t="shared" si="116"/>
        <v>0</v>
      </c>
      <c r="Z79" s="23">
        <f t="shared" si="116"/>
        <v>0</v>
      </c>
      <c r="AA79" s="23">
        <f t="shared" si="116"/>
        <v>0</v>
      </c>
      <c r="AB79" s="23">
        <f t="shared" ref="AB79:AC79" si="181">AB27*$D66</f>
        <v>0</v>
      </c>
      <c r="AC79" s="23">
        <f t="shared" si="181"/>
        <v>0</v>
      </c>
      <c r="AD79" s="23">
        <f t="shared" ref="AD79" si="182">AD27*$D66</f>
        <v>0</v>
      </c>
      <c r="AE79" s="23">
        <f t="shared" ref="AE79" si="183">AE27*$D66</f>
        <v>0</v>
      </c>
      <c r="AF79" s="23">
        <f t="shared" si="120"/>
        <v>0</v>
      </c>
      <c r="AG79" s="23">
        <f t="shared" ref="AG79:AX79" si="184">AG27*$D66</f>
        <v>0</v>
      </c>
      <c r="AH79" s="23">
        <f t="shared" si="184"/>
        <v>0</v>
      </c>
      <c r="AI79" s="23">
        <f t="shared" si="184"/>
        <v>0</v>
      </c>
      <c r="AJ79" s="23">
        <f t="shared" si="184"/>
        <v>0</v>
      </c>
      <c r="AK79" s="23">
        <f t="shared" si="184"/>
        <v>0</v>
      </c>
      <c r="AL79" s="23">
        <f t="shared" si="184"/>
        <v>0</v>
      </c>
      <c r="AM79" s="23">
        <f t="shared" si="184"/>
        <v>0</v>
      </c>
      <c r="AN79" s="23">
        <f t="shared" si="184"/>
        <v>0</v>
      </c>
      <c r="AO79" s="23">
        <f t="shared" si="184"/>
        <v>0</v>
      </c>
      <c r="AP79" s="23">
        <f t="shared" si="184"/>
        <v>0</v>
      </c>
      <c r="AQ79" s="23">
        <f t="shared" si="184"/>
        <v>0</v>
      </c>
      <c r="AR79" s="23">
        <f t="shared" si="184"/>
        <v>0</v>
      </c>
      <c r="AS79" s="23">
        <f t="shared" si="184"/>
        <v>0</v>
      </c>
      <c r="AT79" s="23">
        <f t="shared" si="184"/>
        <v>0</v>
      </c>
      <c r="AU79" s="23">
        <f t="shared" si="184"/>
        <v>0</v>
      </c>
      <c r="AV79" s="23">
        <f t="shared" si="184"/>
        <v>0</v>
      </c>
      <c r="AW79" s="23">
        <f t="shared" si="184"/>
        <v>0</v>
      </c>
      <c r="AX79" s="23">
        <f t="shared" si="184"/>
        <v>0</v>
      </c>
      <c r="AY79" s="23">
        <f t="shared" si="122"/>
        <v>0</v>
      </c>
      <c r="AZ79" s="23">
        <f t="shared" si="123"/>
        <v>0</v>
      </c>
      <c r="BA79" s="23">
        <f t="shared" si="123"/>
        <v>0</v>
      </c>
      <c r="BB79" s="23">
        <f t="shared" si="122"/>
        <v>0</v>
      </c>
      <c r="BC79" s="23">
        <f t="shared" si="122"/>
        <v>0</v>
      </c>
      <c r="BD79" s="23">
        <f t="shared" si="124"/>
        <v>0</v>
      </c>
      <c r="BE79" s="23">
        <f t="shared" si="124"/>
        <v>0</v>
      </c>
      <c r="BF79" s="23">
        <f t="shared" si="122"/>
        <v>0</v>
      </c>
      <c r="BG79" s="23">
        <f t="shared" si="122"/>
        <v>0</v>
      </c>
      <c r="BH79" s="23">
        <f t="shared" si="122"/>
        <v>0</v>
      </c>
      <c r="BI79" s="23">
        <f t="shared" ref="BI79:BT79" si="185">BI27*$D66</f>
        <v>0</v>
      </c>
      <c r="BJ79" s="23">
        <f t="shared" si="185"/>
        <v>0</v>
      </c>
      <c r="BK79" s="23">
        <f t="shared" si="185"/>
        <v>0</v>
      </c>
      <c r="BL79" s="23">
        <f t="shared" si="185"/>
        <v>0</v>
      </c>
      <c r="BM79" s="23">
        <f t="shared" si="185"/>
        <v>0</v>
      </c>
      <c r="BN79" s="23">
        <f t="shared" si="185"/>
        <v>0</v>
      </c>
      <c r="BO79" s="23">
        <f t="shared" si="185"/>
        <v>0</v>
      </c>
      <c r="BP79" s="23">
        <f t="shared" si="185"/>
        <v>0</v>
      </c>
      <c r="BQ79" s="23">
        <f t="shared" si="185"/>
        <v>0</v>
      </c>
      <c r="BR79" s="23">
        <f t="shared" si="185"/>
        <v>0</v>
      </c>
      <c r="BS79" s="23">
        <f t="shared" si="185"/>
        <v>0</v>
      </c>
      <c r="BT79" s="23">
        <f t="shared" si="185"/>
        <v>0</v>
      </c>
      <c r="BU79" s="23">
        <f t="shared" ref="BU79:CC79" si="186">BU27*$D66</f>
        <v>0</v>
      </c>
      <c r="BV79" s="23">
        <f t="shared" si="186"/>
        <v>0</v>
      </c>
      <c r="BW79" s="23">
        <f t="shared" si="186"/>
        <v>0</v>
      </c>
      <c r="BX79" s="23">
        <f t="shared" si="186"/>
        <v>0</v>
      </c>
      <c r="BY79" s="23">
        <f t="shared" si="186"/>
        <v>0</v>
      </c>
      <c r="BZ79" s="23">
        <f t="shared" si="186"/>
        <v>0</v>
      </c>
      <c r="CA79" s="23">
        <f t="shared" si="186"/>
        <v>0</v>
      </c>
      <c r="CB79" s="23">
        <f t="shared" si="186"/>
        <v>0</v>
      </c>
      <c r="CC79" s="23">
        <f t="shared" si="186"/>
        <v>0</v>
      </c>
      <c r="CD79" s="23">
        <f t="shared" si="127"/>
        <v>0</v>
      </c>
      <c r="CE79" s="23">
        <f t="shared" si="127"/>
        <v>0</v>
      </c>
      <c r="CF79" s="23">
        <f t="shared" si="127"/>
        <v>0</v>
      </c>
      <c r="CG79" s="23">
        <f t="shared" si="128"/>
        <v>0</v>
      </c>
      <c r="CH79" s="23">
        <f t="shared" si="128"/>
        <v>0</v>
      </c>
      <c r="CI79" s="23">
        <f t="shared" si="128"/>
        <v>0</v>
      </c>
      <c r="CJ79" s="23">
        <f t="shared" si="128"/>
        <v>0</v>
      </c>
      <c r="CK79" s="23">
        <f t="shared" si="128"/>
        <v>0</v>
      </c>
      <c r="CL79" s="23">
        <f t="shared" si="128"/>
        <v>0</v>
      </c>
      <c r="CM79" s="23">
        <f t="shared" si="128"/>
        <v>0</v>
      </c>
      <c r="CN79" s="23">
        <f t="shared" si="129"/>
        <v>0</v>
      </c>
      <c r="CO79" s="23">
        <f t="shared" si="129"/>
        <v>0</v>
      </c>
      <c r="CP79" s="23">
        <f t="shared" si="129"/>
        <v>0</v>
      </c>
      <c r="CQ79" s="23">
        <f t="shared" si="129"/>
        <v>0</v>
      </c>
      <c r="CR79" s="23">
        <f t="shared" si="130"/>
        <v>0</v>
      </c>
      <c r="CS79" s="23">
        <f t="shared" si="131"/>
        <v>0</v>
      </c>
      <c r="CT79" s="23">
        <f t="shared" si="131"/>
        <v>0</v>
      </c>
      <c r="CU79" s="23">
        <f t="shared" si="131"/>
        <v>0</v>
      </c>
      <c r="CV79" s="23">
        <f t="shared" si="131"/>
        <v>0</v>
      </c>
      <c r="CW79" s="23">
        <f t="shared" si="131"/>
        <v>0</v>
      </c>
      <c r="CX79" s="23">
        <f t="shared" si="132"/>
        <v>0</v>
      </c>
      <c r="CY79" s="23">
        <f t="shared" si="132"/>
        <v>0</v>
      </c>
      <c r="CZ79" s="23">
        <f t="shared" si="132"/>
        <v>0</v>
      </c>
      <c r="DA79" s="23">
        <f t="shared" si="132"/>
        <v>0</v>
      </c>
      <c r="DB79" s="23">
        <f t="shared" si="132"/>
        <v>0</v>
      </c>
      <c r="DC79" s="23">
        <f t="shared" si="132"/>
        <v>0</v>
      </c>
      <c r="DD79" s="23">
        <f t="shared" ref="DD79:DI79" si="187">DD27*$D66</f>
        <v>0</v>
      </c>
      <c r="DE79" s="23">
        <f t="shared" si="187"/>
        <v>0</v>
      </c>
      <c r="DF79" s="23">
        <f t="shared" si="187"/>
        <v>0</v>
      </c>
      <c r="DG79" s="23"/>
      <c r="DH79" s="23">
        <f t="shared" si="187"/>
        <v>0</v>
      </c>
      <c r="DI79" s="23">
        <f t="shared" si="187"/>
        <v>0</v>
      </c>
      <c r="DJ79" s="23">
        <f t="shared" si="134"/>
        <v>0</v>
      </c>
      <c r="DK79" s="23">
        <f t="shared" si="132"/>
        <v>0</v>
      </c>
      <c r="DL79" s="23">
        <f t="shared" si="132"/>
        <v>0</v>
      </c>
      <c r="DM79" s="23">
        <f t="shared" si="135"/>
        <v>0</v>
      </c>
      <c r="DN79" s="23">
        <f t="shared" si="132"/>
        <v>0</v>
      </c>
      <c r="DO79" s="23">
        <f t="shared" si="132"/>
        <v>0</v>
      </c>
      <c r="DP79" s="23">
        <f t="shared" si="132"/>
        <v>0</v>
      </c>
      <c r="DQ79" s="23">
        <f t="shared" si="136"/>
        <v>0</v>
      </c>
      <c r="DR79" s="23">
        <f t="shared" si="136"/>
        <v>0</v>
      </c>
      <c r="DS79" s="23">
        <f t="shared" si="136"/>
        <v>0</v>
      </c>
      <c r="DT79" s="23">
        <f t="shared" si="137"/>
        <v>0</v>
      </c>
      <c r="DU79" s="23">
        <f t="shared" si="137"/>
        <v>0</v>
      </c>
      <c r="DV79" s="23">
        <f t="shared" si="137"/>
        <v>0</v>
      </c>
      <c r="DW79" s="23">
        <f t="shared" si="138"/>
        <v>0</v>
      </c>
      <c r="DX79" s="23">
        <f t="shared" si="138"/>
        <v>0</v>
      </c>
      <c r="DY79" s="23">
        <f t="shared" si="138"/>
        <v>0</v>
      </c>
      <c r="DZ79" s="23">
        <f t="shared" si="138"/>
        <v>0</v>
      </c>
      <c r="EA79" s="23">
        <f t="shared" si="138"/>
        <v>0</v>
      </c>
      <c r="EB79" s="23">
        <f t="shared" si="138"/>
        <v>0</v>
      </c>
      <c r="EC79" s="23">
        <f t="shared" si="138"/>
        <v>0</v>
      </c>
      <c r="ED79" s="23">
        <f t="shared" si="139"/>
        <v>0</v>
      </c>
    </row>
    <row r="80" spans="1:136" x14ac:dyDescent="0.3">
      <c r="A80" s="21" t="s">
        <v>74</v>
      </c>
      <c r="B80" s="21" t="s">
        <v>71</v>
      </c>
      <c r="D80" s="23">
        <f t="shared" si="107"/>
        <v>0</v>
      </c>
      <c r="E80" s="23">
        <f t="shared" si="108"/>
        <v>0</v>
      </c>
      <c r="F80" s="23">
        <f t="shared" si="108"/>
        <v>0</v>
      </c>
      <c r="G80" s="23">
        <f t="shared" si="108"/>
        <v>0</v>
      </c>
      <c r="H80" s="23">
        <f t="shared" si="108"/>
        <v>0</v>
      </c>
      <c r="I80" s="23">
        <f t="shared" si="108"/>
        <v>0</v>
      </c>
      <c r="J80" s="23">
        <f t="shared" si="109"/>
        <v>0</v>
      </c>
      <c r="K80" s="23">
        <f t="shared" si="110"/>
        <v>0</v>
      </c>
      <c r="L80" s="23">
        <f t="shared" si="111"/>
        <v>0</v>
      </c>
      <c r="M80" s="23">
        <f t="shared" si="111"/>
        <v>0</v>
      </c>
      <c r="N80" s="23">
        <f t="shared" si="112"/>
        <v>0</v>
      </c>
      <c r="O80" s="23">
        <f t="shared" si="112"/>
        <v>0</v>
      </c>
      <c r="P80" s="23">
        <f t="shared" si="113"/>
        <v>0</v>
      </c>
      <c r="Q80" s="23">
        <f t="shared" si="113"/>
        <v>0</v>
      </c>
      <c r="R80" s="23">
        <f t="shared" si="113"/>
        <v>0</v>
      </c>
      <c r="S80" s="23">
        <f t="shared" si="113"/>
        <v>0</v>
      </c>
      <c r="T80" s="23">
        <f t="shared" si="114"/>
        <v>0</v>
      </c>
      <c r="U80" s="23">
        <f t="shared" si="114"/>
        <v>0</v>
      </c>
      <c r="V80" s="23">
        <f t="shared" si="114"/>
        <v>0</v>
      </c>
      <c r="W80" s="23">
        <f t="shared" si="115"/>
        <v>0</v>
      </c>
      <c r="X80" s="23">
        <f t="shared" si="116"/>
        <v>0</v>
      </c>
      <c r="Y80" s="23">
        <f t="shared" si="116"/>
        <v>0</v>
      </c>
      <c r="Z80" s="23">
        <f t="shared" si="116"/>
        <v>0</v>
      </c>
      <c r="AA80" s="23">
        <f t="shared" si="116"/>
        <v>0</v>
      </c>
      <c r="AB80" s="23">
        <f t="shared" ref="AB80:AC80" si="188">AB28*$D67</f>
        <v>0</v>
      </c>
      <c r="AC80" s="23">
        <f t="shared" si="188"/>
        <v>0</v>
      </c>
      <c r="AD80" s="23">
        <f t="shared" ref="AD80" si="189">AD28*$D67</f>
        <v>0</v>
      </c>
      <c r="AE80" s="23">
        <f t="shared" ref="AE80" si="190">AE28*$D67</f>
        <v>0</v>
      </c>
      <c r="AF80" s="23">
        <f t="shared" si="120"/>
        <v>0</v>
      </c>
      <c r="AG80" s="23">
        <f t="shared" ref="AG80:AX80" si="191">AG28*$D67</f>
        <v>0</v>
      </c>
      <c r="AH80" s="23">
        <f t="shared" si="191"/>
        <v>0</v>
      </c>
      <c r="AI80" s="23">
        <f t="shared" si="191"/>
        <v>0</v>
      </c>
      <c r="AJ80" s="23">
        <f t="shared" si="191"/>
        <v>0</v>
      </c>
      <c r="AK80" s="23">
        <f t="shared" si="191"/>
        <v>0</v>
      </c>
      <c r="AL80" s="23">
        <f t="shared" si="191"/>
        <v>0</v>
      </c>
      <c r="AM80" s="23">
        <f t="shared" si="191"/>
        <v>0</v>
      </c>
      <c r="AN80" s="23">
        <f t="shared" si="191"/>
        <v>0</v>
      </c>
      <c r="AO80" s="23">
        <f t="shared" si="191"/>
        <v>0</v>
      </c>
      <c r="AP80" s="23">
        <f t="shared" si="191"/>
        <v>0</v>
      </c>
      <c r="AQ80" s="23">
        <f t="shared" si="191"/>
        <v>0</v>
      </c>
      <c r="AR80" s="23">
        <f t="shared" si="191"/>
        <v>0</v>
      </c>
      <c r="AS80" s="23">
        <f t="shared" si="191"/>
        <v>0</v>
      </c>
      <c r="AT80" s="23">
        <f t="shared" si="191"/>
        <v>0</v>
      </c>
      <c r="AU80" s="23">
        <f t="shared" si="191"/>
        <v>0</v>
      </c>
      <c r="AV80" s="23">
        <f t="shared" si="191"/>
        <v>0</v>
      </c>
      <c r="AW80" s="23">
        <f t="shared" si="191"/>
        <v>0</v>
      </c>
      <c r="AX80" s="23">
        <f t="shared" si="191"/>
        <v>0</v>
      </c>
      <c r="AY80" s="23">
        <f t="shared" si="122"/>
        <v>0</v>
      </c>
      <c r="AZ80" s="23">
        <f t="shared" si="123"/>
        <v>0</v>
      </c>
      <c r="BA80" s="23">
        <f t="shared" si="123"/>
        <v>0</v>
      </c>
      <c r="BB80" s="23">
        <f t="shared" si="122"/>
        <v>0</v>
      </c>
      <c r="BC80" s="23">
        <f t="shared" si="122"/>
        <v>0</v>
      </c>
      <c r="BD80" s="23">
        <f t="shared" si="124"/>
        <v>0</v>
      </c>
      <c r="BE80" s="23">
        <f t="shared" si="124"/>
        <v>0</v>
      </c>
      <c r="BF80" s="23">
        <f t="shared" si="122"/>
        <v>0</v>
      </c>
      <c r="BG80" s="23">
        <f t="shared" si="122"/>
        <v>0</v>
      </c>
      <c r="BH80" s="23">
        <f t="shared" si="122"/>
        <v>0</v>
      </c>
      <c r="BI80" s="23">
        <f t="shared" ref="BI80:BT80" si="192">BI28*$D67</f>
        <v>0</v>
      </c>
      <c r="BJ80" s="23">
        <f t="shared" si="192"/>
        <v>0</v>
      </c>
      <c r="BK80" s="23">
        <f t="shared" si="192"/>
        <v>0</v>
      </c>
      <c r="BL80" s="23">
        <f t="shared" si="192"/>
        <v>0</v>
      </c>
      <c r="BM80" s="23">
        <f t="shared" si="192"/>
        <v>0</v>
      </c>
      <c r="BN80" s="23">
        <f t="shared" si="192"/>
        <v>0</v>
      </c>
      <c r="BO80" s="23">
        <f t="shared" si="192"/>
        <v>0</v>
      </c>
      <c r="BP80" s="23">
        <f t="shared" si="192"/>
        <v>0</v>
      </c>
      <c r="BQ80" s="23">
        <f t="shared" si="192"/>
        <v>0</v>
      </c>
      <c r="BR80" s="23">
        <f t="shared" si="192"/>
        <v>0</v>
      </c>
      <c r="BS80" s="23">
        <f t="shared" si="192"/>
        <v>0</v>
      </c>
      <c r="BT80" s="23">
        <f t="shared" si="192"/>
        <v>0</v>
      </c>
      <c r="BU80" s="23">
        <f t="shared" ref="BU80:CC80" si="193">BU28*$D67</f>
        <v>0</v>
      </c>
      <c r="BV80" s="23">
        <f t="shared" si="193"/>
        <v>0</v>
      </c>
      <c r="BW80" s="23">
        <f t="shared" si="193"/>
        <v>0</v>
      </c>
      <c r="BX80" s="23">
        <f t="shared" si="193"/>
        <v>0</v>
      </c>
      <c r="BY80" s="23">
        <f t="shared" si="193"/>
        <v>0</v>
      </c>
      <c r="BZ80" s="23">
        <f t="shared" si="193"/>
        <v>0</v>
      </c>
      <c r="CA80" s="23">
        <f t="shared" si="193"/>
        <v>0</v>
      </c>
      <c r="CB80" s="23">
        <f t="shared" si="193"/>
        <v>0</v>
      </c>
      <c r="CC80" s="23">
        <f t="shared" si="193"/>
        <v>0</v>
      </c>
      <c r="CD80" s="23">
        <f t="shared" si="127"/>
        <v>0</v>
      </c>
      <c r="CE80" s="23">
        <f t="shared" si="127"/>
        <v>0</v>
      </c>
      <c r="CF80" s="23">
        <f t="shared" si="127"/>
        <v>0</v>
      </c>
      <c r="CG80" s="23">
        <f t="shared" si="128"/>
        <v>0</v>
      </c>
      <c r="CH80" s="23">
        <f t="shared" si="128"/>
        <v>0</v>
      </c>
      <c r="CI80" s="23">
        <f t="shared" si="128"/>
        <v>0</v>
      </c>
      <c r="CJ80" s="23">
        <f t="shared" si="128"/>
        <v>0</v>
      </c>
      <c r="CK80" s="23">
        <f t="shared" si="128"/>
        <v>0</v>
      </c>
      <c r="CL80" s="23">
        <f t="shared" si="128"/>
        <v>0</v>
      </c>
      <c r="CM80" s="23">
        <f t="shared" si="128"/>
        <v>0</v>
      </c>
      <c r="CN80" s="23">
        <f t="shared" si="129"/>
        <v>0</v>
      </c>
      <c r="CO80" s="23">
        <f t="shared" si="129"/>
        <v>0</v>
      </c>
      <c r="CP80" s="23">
        <f t="shared" si="129"/>
        <v>0</v>
      </c>
      <c r="CQ80" s="23">
        <f t="shared" si="129"/>
        <v>0</v>
      </c>
      <c r="CR80" s="23">
        <f t="shared" si="130"/>
        <v>0</v>
      </c>
      <c r="CS80" s="23">
        <f t="shared" si="131"/>
        <v>0</v>
      </c>
      <c r="CT80" s="23">
        <f t="shared" si="131"/>
        <v>0</v>
      </c>
      <c r="CU80" s="23">
        <f t="shared" si="131"/>
        <v>0</v>
      </c>
      <c r="CV80" s="23">
        <f t="shared" si="131"/>
        <v>0</v>
      </c>
      <c r="CW80" s="23">
        <f t="shared" si="131"/>
        <v>0</v>
      </c>
      <c r="CX80" s="23">
        <f t="shared" si="132"/>
        <v>0</v>
      </c>
      <c r="CY80" s="23">
        <f t="shared" si="132"/>
        <v>0</v>
      </c>
      <c r="CZ80" s="23">
        <f t="shared" si="132"/>
        <v>0</v>
      </c>
      <c r="DA80" s="23">
        <f t="shared" si="132"/>
        <v>0</v>
      </c>
      <c r="DB80" s="23">
        <f t="shared" si="132"/>
        <v>0</v>
      </c>
      <c r="DC80" s="23">
        <f t="shared" si="132"/>
        <v>0</v>
      </c>
      <c r="DD80" s="23">
        <f t="shared" ref="DD80:DI80" si="194">DD28*$D67</f>
        <v>0</v>
      </c>
      <c r="DE80" s="23">
        <f t="shared" si="194"/>
        <v>0</v>
      </c>
      <c r="DF80" s="23">
        <f t="shared" si="194"/>
        <v>0</v>
      </c>
      <c r="DG80" s="23"/>
      <c r="DH80" s="23">
        <f t="shared" si="194"/>
        <v>0</v>
      </c>
      <c r="DI80" s="23">
        <f t="shared" si="194"/>
        <v>0</v>
      </c>
      <c r="DJ80" s="23">
        <f t="shared" si="134"/>
        <v>0</v>
      </c>
      <c r="DK80" s="23">
        <f t="shared" si="132"/>
        <v>0</v>
      </c>
      <c r="DL80" s="23">
        <f t="shared" si="132"/>
        <v>0</v>
      </c>
      <c r="DM80" s="23">
        <f t="shared" si="135"/>
        <v>0</v>
      </c>
      <c r="DN80" s="23">
        <f t="shared" si="132"/>
        <v>0</v>
      </c>
      <c r="DO80" s="23">
        <f t="shared" si="132"/>
        <v>0</v>
      </c>
      <c r="DP80" s="23">
        <f t="shared" si="132"/>
        <v>0</v>
      </c>
      <c r="DQ80" s="23">
        <f t="shared" si="136"/>
        <v>0</v>
      </c>
      <c r="DR80" s="23">
        <f t="shared" si="136"/>
        <v>0</v>
      </c>
      <c r="DS80" s="23">
        <f t="shared" si="136"/>
        <v>0</v>
      </c>
      <c r="DT80" s="23">
        <f t="shared" si="137"/>
        <v>0</v>
      </c>
      <c r="DU80" s="23">
        <f t="shared" si="137"/>
        <v>0</v>
      </c>
      <c r="DV80" s="23">
        <f t="shared" si="137"/>
        <v>0</v>
      </c>
      <c r="DW80" s="23">
        <f t="shared" si="138"/>
        <v>0</v>
      </c>
      <c r="DX80" s="23">
        <f t="shared" si="138"/>
        <v>0</v>
      </c>
      <c r="DY80" s="23">
        <f t="shared" si="138"/>
        <v>0</v>
      </c>
      <c r="DZ80" s="23">
        <f t="shared" si="138"/>
        <v>0</v>
      </c>
      <c r="EA80" s="23">
        <f t="shared" si="138"/>
        <v>0</v>
      </c>
      <c r="EB80" s="23">
        <f t="shared" si="138"/>
        <v>0</v>
      </c>
      <c r="EC80" s="23">
        <f t="shared" si="138"/>
        <v>0</v>
      </c>
      <c r="ED80" s="23">
        <f t="shared" si="139"/>
        <v>0</v>
      </c>
    </row>
    <row r="81" spans="1:137" x14ac:dyDescent="0.3">
      <c r="A81" s="21" t="str">
        <f>A80</f>
        <v xml:space="preserve">   Delivery van</v>
      </c>
      <c r="B81" s="21" t="s">
        <v>70</v>
      </c>
      <c r="D81" s="23">
        <f t="shared" si="107"/>
        <v>0</v>
      </c>
      <c r="E81" s="23">
        <f t="shared" si="108"/>
        <v>0</v>
      </c>
      <c r="F81" s="23">
        <f t="shared" si="108"/>
        <v>0</v>
      </c>
      <c r="G81" s="23">
        <f t="shared" si="108"/>
        <v>0</v>
      </c>
      <c r="H81" s="23">
        <f t="shared" si="108"/>
        <v>0</v>
      </c>
      <c r="I81" s="23">
        <f t="shared" si="108"/>
        <v>0</v>
      </c>
      <c r="J81" s="23">
        <f t="shared" si="109"/>
        <v>0</v>
      </c>
      <c r="K81" s="23">
        <f t="shared" si="110"/>
        <v>0</v>
      </c>
      <c r="L81" s="23">
        <f t="shared" si="111"/>
        <v>0</v>
      </c>
      <c r="M81" s="23">
        <f t="shared" si="111"/>
        <v>0</v>
      </c>
      <c r="N81" s="23">
        <f t="shared" si="112"/>
        <v>0</v>
      </c>
      <c r="O81" s="23">
        <f t="shared" si="112"/>
        <v>0</v>
      </c>
      <c r="P81" s="23">
        <f t="shared" si="113"/>
        <v>0</v>
      </c>
      <c r="Q81" s="23">
        <f t="shared" si="113"/>
        <v>0</v>
      </c>
      <c r="R81" s="23">
        <f t="shared" si="113"/>
        <v>0</v>
      </c>
      <c r="S81" s="23">
        <f t="shared" si="113"/>
        <v>0</v>
      </c>
      <c r="T81" s="23">
        <f t="shared" si="114"/>
        <v>0</v>
      </c>
      <c r="U81" s="23">
        <f t="shared" si="114"/>
        <v>0</v>
      </c>
      <c r="V81" s="23">
        <f t="shared" si="114"/>
        <v>0</v>
      </c>
      <c r="W81" s="23">
        <f t="shared" si="115"/>
        <v>0</v>
      </c>
      <c r="X81" s="23">
        <f t="shared" si="116"/>
        <v>0</v>
      </c>
      <c r="Y81" s="23">
        <f t="shared" si="116"/>
        <v>0</v>
      </c>
      <c r="Z81" s="23">
        <f t="shared" si="116"/>
        <v>0</v>
      </c>
      <c r="AA81" s="23">
        <f t="shared" si="116"/>
        <v>0</v>
      </c>
      <c r="AB81" s="23">
        <f t="shared" ref="AB81:AC81" si="195">AB29*$D68</f>
        <v>0</v>
      </c>
      <c r="AC81" s="23">
        <f t="shared" si="195"/>
        <v>0</v>
      </c>
      <c r="AD81" s="23">
        <f t="shared" ref="AD81" si="196">AD29*$D68</f>
        <v>0</v>
      </c>
      <c r="AE81" s="23">
        <f t="shared" ref="AE81" si="197">AE29*$D68</f>
        <v>0</v>
      </c>
      <c r="AF81" s="23">
        <f t="shared" si="120"/>
        <v>0</v>
      </c>
      <c r="AG81" s="23">
        <f t="shared" ref="AG81:AX81" si="198">AG29*$D68</f>
        <v>0</v>
      </c>
      <c r="AH81" s="23">
        <f t="shared" si="198"/>
        <v>0</v>
      </c>
      <c r="AI81" s="23">
        <f t="shared" si="198"/>
        <v>0</v>
      </c>
      <c r="AJ81" s="23">
        <f t="shared" si="198"/>
        <v>0</v>
      </c>
      <c r="AK81" s="23">
        <f t="shared" si="198"/>
        <v>0</v>
      </c>
      <c r="AL81" s="23">
        <f t="shared" si="198"/>
        <v>0</v>
      </c>
      <c r="AM81" s="23">
        <f t="shared" si="198"/>
        <v>0</v>
      </c>
      <c r="AN81" s="23">
        <f t="shared" si="198"/>
        <v>0</v>
      </c>
      <c r="AO81" s="23">
        <f t="shared" si="198"/>
        <v>0</v>
      </c>
      <c r="AP81" s="23">
        <f t="shared" si="198"/>
        <v>0</v>
      </c>
      <c r="AQ81" s="23">
        <f t="shared" si="198"/>
        <v>0</v>
      </c>
      <c r="AR81" s="23">
        <f t="shared" si="198"/>
        <v>0</v>
      </c>
      <c r="AS81" s="23">
        <f t="shared" si="198"/>
        <v>0</v>
      </c>
      <c r="AT81" s="23">
        <f t="shared" si="198"/>
        <v>0</v>
      </c>
      <c r="AU81" s="23">
        <f t="shared" si="198"/>
        <v>0</v>
      </c>
      <c r="AV81" s="23">
        <f t="shared" si="198"/>
        <v>0</v>
      </c>
      <c r="AW81" s="23">
        <f t="shared" si="198"/>
        <v>0</v>
      </c>
      <c r="AX81" s="23">
        <f t="shared" si="198"/>
        <v>0</v>
      </c>
      <c r="AY81" s="23">
        <f t="shared" si="122"/>
        <v>0</v>
      </c>
      <c r="AZ81" s="23">
        <f t="shared" si="123"/>
        <v>0</v>
      </c>
      <c r="BA81" s="23">
        <f t="shared" si="123"/>
        <v>0</v>
      </c>
      <c r="BB81" s="23">
        <f t="shared" si="122"/>
        <v>0</v>
      </c>
      <c r="BC81" s="23">
        <f t="shared" si="122"/>
        <v>0</v>
      </c>
      <c r="BD81" s="23">
        <f t="shared" si="124"/>
        <v>0</v>
      </c>
      <c r="BE81" s="23">
        <f t="shared" si="124"/>
        <v>0</v>
      </c>
      <c r="BF81" s="23">
        <f t="shared" si="122"/>
        <v>0</v>
      </c>
      <c r="BG81" s="23">
        <f t="shared" si="122"/>
        <v>0</v>
      </c>
      <c r="BH81" s="23">
        <f t="shared" si="122"/>
        <v>0</v>
      </c>
      <c r="BI81" s="23">
        <f t="shared" ref="BI81:BT81" si="199">BI29*$D68</f>
        <v>0</v>
      </c>
      <c r="BJ81" s="23">
        <f t="shared" si="199"/>
        <v>0</v>
      </c>
      <c r="BK81" s="23">
        <f t="shared" si="199"/>
        <v>0</v>
      </c>
      <c r="BL81" s="23">
        <f t="shared" si="199"/>
        <v>0</v>
      </c>
      <c r="BM81" s="23">
        <f t="shared" si="199"/>
        <v>0</v>
      </c>
      <c r="BN81" s="23">
        <f t="shared" si="199"/>
        <v>0</v>
      </c>
      <c r="BO81" s="23">
        <f t="shared" si="199"/>
        <v>0</v>
      </c>
      <c r="BP81" s="23">
        <f t="shared" si="199"/>
        <v>0</v>
      </c>
      <c r="BQ81" s="23">
        <f t="shared" si="199"/>
        <v>0</v>
      </c>
      <c r="BR81" s="23">
        <f t="shared" si="199"/>
        <v>0</v>
      </c>
      <c r="BS81" s="23">
        <f t="shared" si="199"/>
        <v>0</v>
      </c>
      <c r="BT81" s="23">
        <f t="shared" si="199"/>
        <v>0</v>
      </c>
      <c r="BU81" s="23">
        <f t="shared" ref="BU81:CC81" si="200">BU29*$D68</f>
        <v>0</v>
      </c>
      <c r="BV81" s="23">
        <f t="shared" si="200"/>
        <v>0</v>
      </c>
      <c r="BW81" s="23">
        <f t="shared" si="200"/>
        <v>0</v>
      </c>
      <c r="BX81" s="23">
        <f t="shared" si="200"/>
        <v>0</v>
      </c>
      <c r="BY81" s="23">
        <f t="shared" si="200"/>
        <v>0</v>
      </c>
      <c r="BZ81" s="23">
        <f t="shared" si="200"/>
        <v>0</v>
      </c>
      <c r="CA81" s="23">
        <f t="shared" si="200"/>
        <v>0</v>
      </c>
      <c r="CB81" s="23">
        <f t="shared" si="200"/>
        <v>0</v>
      </c>
      <c r="CC81" s="23">
        <f t="shared" si="200"/>
        <v>0</v>
      </c>
      <c r="CD81" s="23">
        <f t="shared" si="127"/>
        <v>0</v>
      </c>
      <c r="CE81" s="23">
        <f t="shared" si="127"/>
        <v>0</v>
      </c>
      <c r="CF81" s="23">
        <f t="shared" si="127"/>
        <v>0</v>
      </c>
      <c r="CG81" s="23">
        <f t="shared" si="128"/>
        <v>0</v>
      </c>
      <c r="CH81" s="23">
        <f t="shared" si="128"/>
        <v>0</v>
      </c>
      <c r="CI81" s="23">
        <f t="shared" si="128"/>
        <v>0</v>
      </c>
      <c r="CJ81" s="23">
        <f t="shared" si="128"/>
        <v>0</v>
      </c>
      <c r="CK81" s="23">
        <f t="shared" si="128"/>
        <v>0</v>
      </c>
      <c r="CL81" s="23">
        <f t="shared" si="128"/>
        <v>0</v>
      </c>
      <c r="CM81" s="23">
        <f t="shared" si="128"/>
        <v>0</v>
      </c>
      <c r="CN81" s="23">
        <f t="shared" si="129"/>
        <v>0</v>
      </c>
      <c r="CO81" s="23">
        <f t="shared" si="129"/>
        <v>0</v>
      </c>
      <c r="CP81" s="23">
        <f t="shared" si="129"/>
        <v>0</v>
      </c>
      <c r="CQ81" s="23">
        <f t="shared" si="129"/>
        <v>0</v>
      </c>
      <c r="CR81" s="23">
        <f t="shared" si="130"/>
        <v>0</v>
      </c>
      <c r="CS81" s="23">
        <f t="shared" si="131"/>
        <v>0</v>
      </c>
      <c r="CT81" s="23">
        <f t="shared" si="131"/>
        <v>0</v>
      </c>
      <c r="CU81" s="23">
        <f t="shared" si="131"/>
        <v>0</v>
      </c>
      <c r="CV81" s="23">
        <f t="shared" si="131"/>
        <v>0</v>
      </c>
      <c r="CW81" s="23">
        <f t="shared" si="131"/>
        <v>0</v>
      </c>
      <c r="CX81" s="23">
        <f t="shared" si="132"/>
        <v>0</v>
      </c>
      <c r="CY81" s="23">
        <f t="shared" si="132"/>
        <v>0</v>
      </c>
      <c r="CZ81" s="23">
        <f t="shared" si="132"/>
        <v>0</v>
      </c>
      <c r="DA81" s="23">
        <f t="shared" si="132"/>
        <v>0</v>
      </c>
      <c r="DB81" s="23">
        <f t="shared" si="132"/>
        <v>0</v>
      </c>
      <c r="DC81" s="23">
        <f t="shared" si="132"/>
        <v>0</v>
      </c>
      <c r="DD81" s="23">
        <f t="shared" ref="DD81:DI81" si="201">DD29*$D68</f>
        <v>0</v>
      </c>
      <c r="DE81" s="23">
        <f t="shared" si="201"/>
        <v>0</v>
      </c>
      <c r="DF81" s="23">
        <f t="shared" si="201"/>
        <v>0</v>
      </c>
      <c r="DG81" s="23"/>
      <c r="DH81" s="23">
        <f t="shared" si="201"/>
        <v>0</v>
      </c>
      <c r="DI81" s="23">
        <f t="shared" si="201"/>
        <v>0</v>
      </c>
      <c r="DJ81" s="23">
        <f t="shared" si="134"/>
        <v>0</v>
      </c>
      <c r="DK81" s="23">
        <f t="shared" si="132"/>
        <v>0</v>
      </c>
      <c r="DL81" s="23">
        <f t="shared" si="132"/>
        <v>0</v>
      </c>
      <c r="DM81" s="23">
        <f t="shared" si="135"/>
        <v>0</v>
      </c>
      <c r="DN81" s="23">
        <f t="shared" si="132"/>
        <v>0</v>
      </c>
      <c r="DO81" s="23">
        <f t="shared" si="132"/>
        <v>0</v>
      </c>
      <c r="DP81" s="23">
        <f t="shared" si="132"/>
        <v>0</v>
      </c>
      <c r="DQ81" s="23">
        <f t="shared" si="136"/>
        <v>0</v>
      </c>
      <c r="DR81" s="23">
        <f t="shared" si="136"/>
        <v>0</v>
      </c>
      <c r="DS81" s="23">
        <f t="shared" si="136"/>
        <v>0</v>
      </c>
      <c r="DT81" s="23">
        <f t="shared" si="137"/>
        <v>0</v>
      </c>
      <c r="DU81" s="23">
        <f t="shared" si="137"/>
        <v>0</v>
      </c>
      <c r="DV81" s="23">
        <f t="shared" si="137"/>
        <v>0</v>
      </c>
      <c r="DW81" s="23">
        <f t="shared" si="138"/>
        <v>0</v>
      </c>
      <c r="DX81" s="23">
        <f t="shared" si="138"/>
        <v>0</v>
      </c>
      <c r="DY81" s="23">
        <f t="shared" si="138"/>
        <v>0</v>
      </c>
      <c r="DZ81" s="23">
        <f t="shared" si="138"/>
        <v>0</v>
      </c>
      <c r="EA81" s="23">
        <f t="shared" si="138"/>
        <v>0</v>
      </c>
      <c r="EB81" s="23">
        <f t="shared" si="138"/>
        <v>0</v>
      </c>
      <c r="EC81" s="23">
        <f t="shared" si="138"/>
        <v>0</v>
      </c>
      <c r="ED81" s="23">
        <f t="shared" si="139"/>
        <v>0</v>
      </c>
    </row>
    <row r="82" spans="1:137" x14ac:dyDescent="0.3">
      <c r="A82" s="24" t="s">
        <v>25</v>
      </c>
      <c r="B82" s="24"/>
      <c r="C82" s="24"/>
      <c r="D82" s="44">
        <f t="shared" ref="D82:AR82" si="202">SUM(D72:D81)</f>
        <v>105.07187074535572</v>
      </c>
      <c r="E82" s="44">
        <f t="shared" si="202"/>
        <v>105.07187074535572</v>
      </c>
      <c r="F82" s="44">
        <f t="shared" si="202"/>
        <v>105.07187074535572</v>
      </c>
      <c r="G82" s="44">
        <f t="shared" si="202"/>
        <v>105.07187074535572</v>
      </c>
      <c r="H82" s="44">
        <f t="shared" si="202"/>
        <v>105.07187074535572</v>
      </c>
      <c r="I82" s="44">
        <f t="shared" ref="I82" si="203">SUM(I72:I81)</f>
        <v>105.07187074535572</v>
      </c>
      <c r="J82" s="44">
        <f t="shared" si="202"/>
        <v>105.07187074535572</v>
      </c>
      <c r="K82" s="44">
        <f t="shared" si="202"/>
        <v>105.07187074535572</v>
      </c>
      <c r="L82" s="44">
        <f t="shared" si="202"/>
        <v>105.07187074535572</v>
      </c>
      <c r="M82" s="44">
        <f t="shared" si="202"/>
        <v>105.07187074535572</v>
      </c>
      <c r="N82" s="44">
        <f t="shared" si="202"/>
        <v>105.07187074535572</v>
      </c>
      <c r="O82" s="44">
        <f t="shared" si="202"/>
        <v>105.07187074535572</v>
      </c>
      <c r="P82" s="44">
        <f t="shared" si="202"/>
        <v>105.07187074535572</v>
      </c>
      <c r="Q82" s="44">
        <f t="shared" si="202"/>
        <v>105.07187074535572</v>
      </c>
      <c r="R82" s="44">
        <f t="shared" si="202"/>
        <v>105.07187074535572</v>
      </c>
      <c r="S82" s="44">
        <f t="shared" si="202"/>
        <v>105.07187074535572</v>
      </c>
      <c r="T82" s="44">
        <f t="shared" si="202"/>
        <v>105.07187074535572</v>
      </c>
      <c r="U82" s="44">
        <f t="shared" si="202"/>
        <v>105.07187074535572</v>
      </c>
      <c r="V82" s="44">
        <f t="shared" si="202"/>
        <v>105.07187074535572</v>
      </c>
      <c r="W82" s="44">
        <f t="shared" si="202"/>
        <v>105.07187074535572</v>
      </c>
      <c r="X82" s="44">
        <f>SUM(X72:X81)</f>
        <v>202.76524805142512</v>
      </c>
      <c r="Y82" s="44">
        <f>SUM(Y72:Y81)</f>
        <v>202.76524805142512</v>
      </c>
      <c r="Z82" s="44">
        <f>SUM(Z72:Z81)</f>
        <v>202.76524805142512</v>
      </c>
      <c r="AA82" s="44">
        <f>SUM(AA72:AA81)</f>
        <v>202.76524805142512</v>
      </c>
      <c r="AB82" s="44">
        <f t="shared" ref="AB82:AD82" si="204">SUM(AB72:AB81)</f>
        <v>202.76524805142512</v>
      </c>
      <c r="AC82" s="44">
        <f t="shared" si="204"/>
        <v>202.76524805142512</v>
      </c>
      <c r="AD82" s="44">
        <f t="shared" si="204"/>
        <v>202.76524805142512</v>
      </c>
      <c r="AE82" s="44">
        <f t="shared" ref="AE82" si="205">SUM(AE72:AE81)</f>
        <v>202.76524805142512</v>
      </c>
      <c r="AF82" s="44">
        <f t="shared" si="202"/>
        <v>105.07187074535572</v>
      </c>
      <c r="AG82" s="44">
        <f t="shared" si="202"/>
        <v>117.50495215929138</v>
      </c>
      <c r="AH82" s="44">
        <f t="shared" si="202"/>
        <v>157.83082638326789</v>
      </c>
      <c r="AI82" s="44">
        <f t="shared" si="202"/>
        <v>157.83082638326789</v>
      </c>
      <c r="AJ82" s="44">
        <f t="shared" si="202"/>
        <v>186.53942264945834</v>
      </c>
      <c r="AK82" s="44">
        <f t="shared" si="202"/>
        <v>473.20752385644209</v>
      </c>
      <c r="AL82" s="44">
        <f t="shared" si="202"/>
        <v>463.05442961322927</v>
      </c>
      <c r="AM82" s="44">
        <f t="shared" si="202"/>
        <v>473.20752385644209</v>
      </c>
      <c r="AN82" s="44">
        <f t="shared" si="202"/>
        <v>508.9401405257621</v>
      </c>
      <c r="AO82" s="44">
        <f t="shared" si="202"/>
        <v>1216.5649919980256</v>
      </c>
      <c r="AP82" s="44">
        <f t="shared" si="202"/>
        <v>1299.9295354294743</v>
      </c>
      <c r="AQ82" s="44">
        <f t="shared" si="202"/>
        <v>1440.0421320034275</v>
      </c>
      <c r="AR82" s="44">
        <f t="shared" si="202"/>
        <v>1476.4677039650121</v>
      </c>
      <c r="AS82" s="44">
        <f t="shared" ref="AS82:BX82" si="206">SUM(AS72:AS81)</f>
        <v>1476.4677039650121</v>
      </c>
      <c r="AT82" s="44">
        <f t="shared" si="206"/>
        <v>1476.4677039650121</v>
      </c>
      <c r="AU82" s="44">
        <f t="shared" si="206"/>
        <v>1476.4677039650121</v>
      </c>
      <c r="AV82" s="44">
        <f t="shared" si="206"/>
        <v>1390.8315936577837</v>
      </c>
      <c r="AW82" s="44">
        <f t="shared" si="206"/>
        <v>1562.10381427224</v>
      </c>
      <c r="AX82" s="44">
        <f t="shared" si="206"/>
        <v>1476.4677039650121</v>
      </c>
      <c r="AY82" s="44">
        <f t="shared" si="206"/>
        <v>1379.0207548322655</v>
      </c>
      <c r="AZ82" s="44">
        <f t="shared" si="206"/>
        <v>1379.0207548322655</v>
      </c>
      <c r="BA82" s="44">
        <f t="shared" si="206"/>
        <v>1379.0207548322655</v>
      </c>
      <c r="BB82" s="44">
        <f t="shared" si="206"/>
        <v>1379.0207548322655</v>
      </c>
      <c r="BC82" s="44">
        <f t="shared" si="206"/>
        <v>1216.5649919980256</v>
      </c>
      <c r="BD82" s="44">
        <f t="shared" si="206"/>
        <v>1216.5649919980256</v>
      </c>
      <c r="BE82" s="44">
        <f t="shared" si="206"/>
        <v>1216.5649919980256</v>
      </c>
      <c r="BF82" s="44">
        <f t="shared" si="206"/>
        <v>1216.5649919980256</v>
      </c>
      <c r="BG82" s="44">
        <f t="shared" si="206"/>
        <v>1216.5649919980256</v>
      </c>
      <c r="BH82" s="44">
        <f t="shared" si="206"/>
        <v>1216.5649919980256</v>
      </c>
      <c r="BI82" s="44">
        <f t="shared" si="206"/>
        <v>1216.5649919980256</v>
      </c>
      <c r="BJ82" s="44">
        <f t="shared" si="206"/>
        <v>1299.9295354294743</v>
      </c>
      <c r="BK82" s="44">
        <f t="shared" si="206"/>
        <v>1440.0421320034275</v>
      </c>
      <c r="BL82" s="44">
        <f t="shared" si="206"/>
        <v>1533.5584441698309</v>
      </c>
      <c r="BM82" s="44">
        <f t="shared" si="206"/>
        <v>1533.5584441698309</v>
      </c>
      <c r="BN82" s="44">
        <f t="shared" si="206"/>
        <v>1533.5584441698309</v>
      </c>
      <c r="BO82" s="44">
        <f t="shared" si="206"/>
        <v>1533.5584441698309</v>
      </c>
      <c r="BP82" s="44">
        <f t="shared" si="206"/>
        <v>1533.5584441698309</v>
      </c>
      <c r="BQ82" s="44">
        <f t="shared" si="206"/>
        <v>1533.5584441698309</v>
      </c>
      <c r="BR82" s="44">
        <f t="shared" si="206"/>
        <v>1433.649648811398</v>
      </c>
      <c r="BS82" s="44">
        <f t="shared" si="206"/>
        <v>1633.4672395282641</v>
      </c>
      <c r="BT82" s="44">
        <f t="shared" si="206"/>
        <v>1533.5584441698309</v>
      </c>
      <c r="BU82" s="44">
        <f t="shared" si="206"/>
        <v>1933.1936256035629</v>
      </c>
      <c r="BV82" s="44">
        <f t="shared" si="206"/>
        <v>1933.1936256035629</v>
      </c>
      <c r="BW82" s="44">
        <f t="shared" si="206"/>
        <v>1933.1936256035629</v>
      </c>
      <c r="BX82" s="44">
        <f t="shared" si="206"/>
        <v>1933.1936256035629</v>
      </c>
      <c r="BY82" s="44">
        <f t="shared" ref="BY82:DD82" si="207">SUM(BY72:BY81)</f>
        <v>1933.1936256035629</v>
      </c>
      <c r="BZ82" s="44">
        <f t="shared" si="207"/>
        <v>1933.1936256035629</v>
      </c>
      <c r="CA82" s="44">
        <f t="shared" si="207"/>
        <v>1733.3760348866967</v>
      </c>
      <c r="CB82" s="44">
        <f t="shared" si="207"/>
        <v>2133.0112163204285</v>
      </c>
      <c r="CC82" s="44">
        <f t="shared" si="207"/>
        <v>1933.1936256035629</v>
      </c>
      <c r="CD82" s="44">
        <f t="shared" si="207"/>
        <v>1379.0207548322655</v>
      </c>
      <c r="CE82" s="44">
        <f t="shared" si="207"/>
        <v>1379.0207548322655</v>
      </c>
      <c r="CF82" s="44">
        <f t="shared" si="207"/>
        <v>1379.0207548322655</v>
      </c>
      <c r="CG82" s="44">
        <f t="shared" si="207"/>
        <v>1379.0207548322655</v>
      </c>
      <c r="CH82" s="44">
        <f t="shared" si="207"/>
        <v>1216.5649919980256</v>
      </c>
      <c r="CI82" s="44">
        <f t="shared" si="207"/>
        <v>1299.9295354294743</v>
      </c>
      <c r="CJ82" s="44">
        <f t="shared" si="207"/>
        <v>1440.0421320034275</v>
      </c>
      <c r="CK82" s="44">
        <f t="shared" si="207"/>
        <v>1533.5584441698309</v>
      </c>
      <c r="CL82" s="44">
        <f t="shared" si="207"/>
        <v>1933.1936256035629</v>
      </c>
      <c r="CM82" s="44">
        <f t="shared" si="207"/>
        <v>1379.0207548322655</v>
      </c>
      <c r="CN82" s="44">
        <f t="shared" si="207"/>
        <v>1545.6072980288427</v>
      </c>
      <c r="CO82" s="44">
        <f t="shared" si="207"/>
        <v>1647.6043621880813</v>
      </c>
      <c r="CP82" s="44">
        <f t="shared" si="207"/>
        <v>1799.4179091537726</v>
      </c>
      <c r="CQ82" s="44">
        <f t="shared" si="207"/>
        <v>1789.7986466578859</v>
      </c>
      <c r="CR82" s="44">
        <f t="shared" si="207"/>
        <v>1758.4000336550398</v>
      </c>
      <c r="CS82" s="44">
        <f t="shared" si="207"/>
        <v>1545.6072980288427</v>
      </c>
      <c r="CT82" s="44">
        <f t="shared" si="207"/>
        <v>1647.6043621880813</v>
      </c>
      <c r="CU82" s="44">
        <f t="shared" si="207"/>
        <v>1799.4179091537726</v>
      </c>
      <c r="CV82" s="44">
        <f t="shared" si="207"/>
        <v>1846.8893868627047</v>
      </c>
      <c r="CW82" s="44">
        <f t="shared" si="207"/>
        <v>2246.5245682964369</v>
      </c>
      <c r="CX82" s="44">
        <f t="shared" si="207"/>
        <v>1758.4000336550398</v>
      </c>
      <c r="CY82" s="44">
        <f t="shared" si="207"/>
        <v>1545.6072980288427</v>
      </c>
      <c r="CZ82" s="44">
        <f t="shared" si="207"/>
        <v>1647.6043621880813</v>
      </c>
      <c r="DA82" s="44">
        <f t="shared" si="207"/>
        <v>1799.4179091537726</v>
      </c>
      <c r="DB82" s="44">
        <f t="shared" si="207"/>
        <v>1846.8893868627047</v>
      </c>
      <c r="DC82" s="44">
        <f t="shared" si="207"/>
        <v>2246.5245682964369</v>
      </c>
      <c r="DD82" s="44">
        <f t="shared" si="207"/>
        <v>1758.4000336550398</v>
      </c>
      <c r="DE82" s="44">
        <f t="shared" ref="DE82:DF82" si="208">SUM(DE72:DE81)</f>
        <v>2893.9747773223253</v>
      </c>
      <c r="DF82" s="44">
        <f t="shared" si="208"/>
        <v>2972.4646138554467</v>
      </c>
      <c r="DG82" s="44"/>
      <c r="DH82" s="44">
        <f>SUM(DH72:DH81)</f>
        <v>3862.8576015694962</v>
      </c>
      <c r="DI82" s="44">
        <f>SUM(DI72:DI81)</f>
        <v>4719.2187046417785</v>
      </c>
      <c r="DJ82" s="44">
        <f>SUM(DJ72:DJ81)</f>
        <v>3360.5845165179435</v>
      </c>
      <c r="DK82" s="44">
        <f t="shared" ref="DK82:DP82" si="209">SUM(DK72:DK81)</f>
        <v>8466.5243576029898</v>
      </c>
      <c r="DL82" s="44">
        <f t="shared" si="209"/>
        <v>8466.5243576029898</v>
      </c>
      <c r="DM82" s="44">
        <f>SUM(DM72:DM81)</f>
        <v>8466.5243576029898</v>
      </c>
      <c r="DN82" s="44">
        <f t="shared" si="209"/>
        <v>8466.5243576029898</v>
      </c>
      <c r="DO82" s="44">
        <f t="shared" si="209"/>
        <v>8466.5243576029898</v>
      </c>
      <c r="DP82" s="44">
        <f t="shared" si="209"/>
        <v>8466.5243576029898</v>
      </c>
      <c r="DQ82" s="44">
        <f t="shared" ref="DQ82:DW82" si="210">SUM(DQ72:DQ81)</f>
        <v>8466.5243576029898</v>
      </c>
      <c r="DR82" s="44">
        <f t="shared" si="210"/>
        <v>8470.2231776472836</v>
      </c>
      <c r="DS82" s="44">
        <f t="shared" si="210"/>
        <v>14016.543980580849</v>
      </c>
      <c r="DT82" s="44">
        <f t="shared" si="210"/>
        <v>14016.543980580849</v>
      </c>
      <c r="DU82" s="44">
        <f t="shared" si="210"/>
        <v>11733.54803212052</v>
      </c>
      <c r="DV82" s="44">
        <f t="shared" si="210"/>
        <v>10004.472048771786</v>
      </c>
      <c r="DW82" s="44">
        <f t="shared" si="210"/>
        <v>10004.472048771786</v>
      </c>
      <c r="DX82" s="44">
        <f t="shared" ref="DX82:EC82" si="211">SUM(DX72:DX81)</f>
        <v>156996.95550200692</v>
      </c>
      <c r="DY82" s="44">
        <f t="shared" si="211"/>
        <v>156996.95550200692</v>
      </c>
      <c r="DZ82" s="44">
        <f t="shared" si="211"/>
        <v>156996.95550200692</v>
      </c>
      <c r="EA82" s="44">
        <f t="shared" si="211"/>
        <v>156996.95550200692</v>
      </c>
      <c r="EB82" s="44">
        <f t="shared" si="211"/>
        <v>156996.95550200692</v>
      </c>
      <c r="EC82" s="44">
        <f t="shared" si="211"/>
        <v>156996.95550200692</v>
      </c>
      <c r="ED82" s="44">
        <f>SUM(ED72:ED81)</f>
        <v>156996.95550200692</v>
      </c>
      <c r="EE82" s="24"/>
    </row>
    <row r="84" spans="1:137" x14ac:dyDescent="0.3">
      <c r="A84" s="21" t="s">
        <v>78</v>
      </c>
      <c r="B84" s="21" t="s">
        <v>344</v>
      </c>
    </row>
    <row r="85" spans="1:137" x14ac:dyDescent="0.3">
      <c r="A85" s="21" t="s">
        <v>68</v>
      </c>
      <c r="B85" s="21" t="s">
        <v>71</v>
      </c>
      <c r="D85" s="25">
        <f>Convert!$F$19*1000/Convert!$C$17*WTW_Fuel_properties!$C$77/WTW_Fuel_properties!D77</f>
        <v>86.003378097902967</v>
      </c>
      <c r="EF85" s="21" t="s">
        <v>82</v>
      </c>
    </row>
    <row r="86" spans="1:137" x14ac:dyDescent="0.3">
      <c r="A86" s="21" t="s">
        <v>24</v>
      </c>
      <c r="B86" s="21" t="s">
        <v>71</v>
      </c>
      <c r="D86" s="26">
        <f>Convert!$F$26*1000/Convert!$C$17*WTW_Fuel_properties!C77/WTW_Fuel_properties!D77</f>
        <v>93.060065531577067</v>
      </c>
      <c r="EF86" s="27" t="s">
        <v>91</v>
      </c>
      <c r="EG86" s="27"/>
    </row>
    <row r="87" spans="1:137" x14ac:dyDescent="0.3">
      <c r="A87" s="21" t="s">
        <v>69</v>
      </c>
      <c r="B87" s="21" t="s">
        <v>71</v>
      </c>
      <c r="D87" s="28">
        <f>Convert!$F$18*1000/Convert!$C$17*WTW_Fuel_properties!$C$77/WTW_Fuel_properties!$D$77</f>
        <v>89.090678850135376</v>
      </c>
      <c r="EF87" s="29" t="s">
        <v>84</v>
      </c>
      <c r="EG87" s="29"/>
    </row>
    <row r="88" spans="1:137" x14ac:dyDescent="0.3">
      <c r="A88" s="21" t="str">
        <f>A87</f>
        <v xml:space="preserve">   Train</v>
      </c>
      <c r="B88" s="21" t="s">
        <v>70</v>
      </c>
      <c r="D88" s="47">
        <v>143.92002630728314</v>
      </c>
      <c r="EF88" s="31" t="s">
        <v>90</v>
      </c>
      <c r="EG88" s="31"/>
    </row>
    <row r="89" spans="1:137" x14ac:dyDescent="0.3">
      <c r="A89" s="21" t="s">
        <v>73</v>
      </c>
      <c r="B89" s="21" t="s">
        <v>71</v>
      </c>
      <c r="D89" s="28">
        <f>Convert!$F$18*1000/Convert!$C$17*WTW_Fuel_properties!$C$77/WTW_Fuel_properties!$D$77</f>
        <v>89.090678850135376</v>
      </c>
      <c r="EF89" s="30" t="s">
        <v>83</v>
      </c>
      <c r="EG89" s="30"/>
    </row>
    <row r="90" spans="1:137" x14ac:dyDescent="0.3">
      <c r="A90" s="21" t="str">
        <f>A89</f>
        <v xml:space="preserve">   Heavy truck</v>
      </c>
      <c r="B90" s="21" t="s">
        <v>70</v>
      </c>
      <c r="D90" s="47">
        <v>143.92002630728314</v>
      </c>
    </row>
    <row r="91" spans="1:137" x14ac:dyDescent="0.3">
      <c r="A91" s="21" t="s">
        <v>72</v>
      </c>
      <c r="B91" s="21" t="s">
        <v>71</v>
      </c>
      <c r="D91" s="28">
        <f>Convert!$F$18*1000/Convert!$C$17*WTW_Fuel_properties!$C$77/WTW_Fuel_properties!$D$77</f>
        <v>89.090678850135376</v>
      </c>
      <c r="EF91" s="21" t="s">
        <v>92</v>
      </c>
    </row>
    <row r="92" spans="1:137" x14ac:dyDescent="0.3">
      <c r="A92" s="21" t="str">
        <f>A91</f>
        <v xml:space="preserve">   Medium truck</v>
      </c>
      <c r="B92" s="21" t="s">
        <v>70</v>
      </c>
      <c r="D92" s="47">
        <v>143.92002630728314</v>
      </c>
      <c r="EF92" s="21" t="s">
        <v>93</v>
      </c>
    </row>
    <row r="93" spans="1:137" x14ac:dyDescent="0.3">
      <c r="A93" s="21" t="s">
        <v>74</v>
      </c>
      <c r="B93" s="21" t="s">
        <v>71</v>
      </c>
      <c r="D93" s="28">
        <f>Convert!$F$18*1000/Convert!$C$17*WTW_Fuel_properties!$C$77/WTW_Fuel_properties!$D$77</f>
        <v>89.090678850135376</v>
      </c>
    </row>
    <row r="94" spans="1:137" x14ac:dyDescent="0.3">
      <c r="A94" s="21" t="str">
        <f>A93</f>
        <v xml:space="preserve">   Delivery van</v>
      </c>
      <c r="B94" s="21" t="s">
        <v>70</v>
      </c>
      <c r="D94" s="47">
        <v>143.92002630728314</v>
      </c>
    </row>
    <row r="97" spans="1:137" x14ac:dyDescent="0.3">
      <c r="A97" s="21" t="s">
        <v>89</v>
      </c>
      <c r="B97" s="21" t="s">
        <v>343</v>
      </c>
    </row>
    <row r="98" spans="1:137" x14ac:dyDescent="0.3">
      <c r="A98" s="21" t="s">
        <v>68</v>
      </c>
      <c r="B98" s="21" t="s">
        <v>71</v>
      </c>
      <c r="D98" s="23">
        <f t="shared" ref="D98:D105" si="212">D72*$D85</f>
        <v>0</v>
      </c>
      <c r="E98" s="23">
        <f t="shared" ref="E98:I105" si="213">E72*$D85</f>
        <v>0</v>
      </c>
      <c r="F98" s="23">
        <f t="shared" si="213"/>
        <v>0</v>
      </c>
      <c r="G98" s="23">
        <f t="shared" si="213"/>
        <v>0</v>
      </c>
      <c r="H98" s="23">
        <f t="shared" si="213"/>
        <v>0</v>
      </c>
      <c r="I98" s="23">
        <f t="shared" si="213"/>
        <v>0</v>
      </c>
      <c r="J98" s="23">
        <f t="shared" ref="J98:J105" si="214">J72*$D85</f>
        <v>0</v>
      </c>
      <c r="K98" s="23">
        <f t="shared" ref="K98:K105" si="215">K72*$D85</f>
        <v>0</v>
      </c>
      <c r="L98" s="23">
        <f t="shared" ref="L98:M105" si="216">L72*$D85</f>
        <v>0</v>
      </c>
      <c r="M98" s="23">
        <f t="shared" si="216"/>
        <v>0</v>
      </c>
      <c r="N98" s="23">
        <f t="shared" ref="N98:O105" si="217">N72*$D85</f>
        <v>0</v>
      </c>
      <c r="O98" s="23">
        <f t="shared" si="217"/>
        <v>0</v>
      </c>
      <c r="P98" s="23">
        <f t="shared" ref="P98:S105" si="218">P72*$D85</f>
        <v>0</v>
      </c>
      <c r="Q98" s="23">
        <f t="shared" si="218"/>
        <v>0</v>
      </c>
      <c r="R98" s="23">
        <f t="shared" si="218"/>
        <v>0</v>
      </c>
      <c r="S98" s="23">
        <f t="shared" si="218"/>
        <v>0</v>
      </c>
      <c r="T98" s="23">
        <f t="shared" ref="T98:V105" si="219">T72*$D85</f>
        <v>0</v>
      </c>
      <c r="U98" s="23">
        <f t="shared" si="219"/>
        <v>0</v>
      </c>
      <c r="V98" s="23">
        <f t="shared" si="219"/>
        <v>0</v>
      </c>
      <c r="W98" s="23">
        <f t="shared" ref="W98:W105" si="220">W72*$D85</f>
        <v>0</v>
      </c>
      <c r="X98" s="23">
        <f t="shared" ref="X98:AA105" si="221">X72*$D85</f>
        <v>0</v>
      </c>
      <c r="Y98" s="23">
        <f t="shared" si="221"/>
        <v>0</v>
      </c>
      <c r="Z98" s="23">
        <f t="shared" si="221"/>
        <v>0</v>
      </c>
      <c r="AA98" s="23">
        <f t="shared" si="221"/>
        <v>0</v>
      </c>
      <c r="AB98" s="23">
        <f t="shared" ref="AB98:AC98" si="222">AB72*$D85</f>
        <v>0</v>
      </c>
      <c r="AC98" s="23">
        <f t="shared" si="222"/>
        <v>0</v>
      </c>
      <c r="AD98" s="23">
        <f t="shared" ref="AD98" si="223">AD72*$D85</f>
        <v>0</v>
      </c>
      <c r="AE98" s="23">
        <f t="shared" ref="AE98" si="224">AE72*$D85</f>
        <v>0</v>
      </c>
      <c r="AF98" s="23">
        <f t="shared" ref="AF98:AF105" si="225">AF72*$D85</f>
        <v>0</v>
      </c>
      <c r="AG98" s="23">
        <f t="shared" ref="AG98:AX98" si="226">AG72*$D85</f>
        <v>0</v>
      </c>
      <c r="AH98" s="23">
        <f t="shared" si="226"/>
        <v>0</v>
      </c>
      <c r="AI98" s="23">
        <f t="shared" si="226"/>
        <v>0</v>
      </c>
      <c r="AJ98" s="23">
        <f t="shared" si="226"/>
        <v>0</v>
      </c>
      <c r="AK98" s="23">
        <f t="shared" si="226"/>
        <v>0</v>
      </c>
      <c r="AL98" s="23">
        <f t="shared" si="226"/>
        <v>0</v>
      </c>
      <c r="AM98" s="23">
        <f t="shared" si="226"/>
        <v>0</v>
      </c>
      <c r="AN98" s="23">
        <f t="shared" si="226"/>
        <v>0</v>
      </c>
      <c r="AO98" s="23">
        <f t="shared" si="226"/>
        <v>0</v>
      </c>
      <c r="AP98" s="23">
        <f t="shared" si="226"/>
        <v>0</v>
      </c>
      <c r="AQ98" s="23">
        <f t="shared" si="226"/>
        <v>0</v>
      </c>
      <c r="AR98" s="23">
        <f t="shared" si="226"/>
        <v>0</v>
      </c>
      <c r="AS98" s="23">
        <f t="shared" si="226"/>
        <v>0</v>
      </c>
      <c r="AT98" s="23">
        <f t="shared" si="226"/>
        <v>0</v>
      </c>
      <c r="AU98" s="23">
        <f t="shared" si="226"/>
        <v>0</v>
      </c>
      <c r="AV98" s="23">
        <f t="shared" si="226"/>
        <v>0</v>
      </c>
      <c r="AW98" s="23">
        <f t="shared" si="226"/>
        <v>0</v>
      </c>
      <c r="AX98" s="23">
        <f t="shared" si="226"/>
        <v>0</v>
      </c>
      <c r="AY98" s="23">
        <f t="shared" ref="AY98:BH105" si="227">AY72*$D85</f>
        <v>0</v>
      </c>
      <c r="AZ98" s="23">
        <f t="shared" ref="AZ98:BA105" si="228">AZ72*$D85</f>
        <v>0</v>
      </c>
      <c r="BA98" s="23">
        <f t="shared" si="228"/>
        <v>0</v>
      </c>
      <c r="BB98" s="23">
        <f t="shared" si="227"/>
        <v>0</v>
      </c>
      <c r="BC98" s="23">
        <f t="shared" si="227"/>
        <v>0</v>
      </c>
      <c r="BD98" s="23">
        <f t="shared" ref="BD98:BE105" si="229">BD72*$D85</f>
        <v>0</v>
      </c>
      <c r="BE98" s="23">
        <f t="shared" si="229"/>
        <v>0</v>
      </c>
      <c r="BF98" s="23">
        <f t="shared" si="227"/>
        <v>0</v>
      </c>
      <c r="BG98" s="23">
        <f t="shared" si="227"/>
        <v>0</v>
      </c>
      <c r="BH98" s="23">
        <f t="shared" si="227"/>
        <v>0</v>
      </c>
      <c r="BI98" s="23">
        <f t="shared" ref="BI98:BT98" si="230">BI72*$D85</f>
        <v>0</v>
      </c>
      <c r="BJ98" s="23">
        <f t="shared" si="230"/>
        <v>0</v>
      </c>
      <c r="BK98" s="23">
        <f t="shared" si="230"/>
        <v>0</v>
      </c>
      <c r="BL98" s="23">
        <f t="shared" si="230"/>
        <v>0</v>
      </c>
      <c r="BM98" s="23">
        <f t="shared" si="230"/>
        <v>0</v>
      </c>
      <c r="BN98" s="23">
        <f t="shared" si="230"/>
        <v>0</v>
      </c>
      <c r="BO98" s="23">
        <f t="shared" si="230"/>
        <v>0</v>
      </c>
      <c r="BP98" s="23">
        <f t="shared" si="230"/>
        <v>0</v>
      </c>
      <c r="BQ98" s="23">
        <f t="shared" si="230"/>
        <v>0</v>
      </c>
      <c r="BR98" s="23">
        <f t="shared" si="230"/>
        <v>0</v>
      </c>
      <c r="BS98" s="23">
        <f t="shared" si="230"/>
        <v>0</v>
      </c>
      <c r="BT98" s="23">
        <f t="shared" si="230"/>
        <v>0</v>
      </c>
      <c r="BU98" s="23">
        <f t="shared" ref="BU98:CC98" si="231">BU72*$D85</f>
        <v>0</v>
      </c>
      <c r="BV98" s="23">
        <f t="shared" si="231"/>
        <v>0</v>
      </c>
      <c r="BW98" s="23">
        <f t="shared" si="231"/>
        <v>0</v>
      </c>
      <c r="BX98" s="23">
        <f t="shared" si="231"/>
        <v>0</v>
      </c>
      <c r="BY98" s="23">
        <f t="shared" si="231"/>
        <v>0</v>
      </c>
      <c r="BZ98" s="23">
        <f t="shared" si="231"/>
        <v>0</v>
      </c>
      <c r="CA98" s="23">
        <f t="shared" si="231"/>
        <v>0</v>
      </c>
      <c r="CB98" s="23">
        <f t="shared" si="231"/>
        <v>0</v>
      </c>
      <c r="CC98" s="23">
        <f t="shared" si="231"/>
        <v>0</v>
      </c>
      <c r="CD98" s="23">
        <f t="shared" ref="CD98:CF105" si="232">CD72*$D85</f>
        <v>0</v>
      </c>
      <c r="CE98" s="23">
        <f t="shared" si="232"/>
        <v>0</v>
      </c>
      <c r="CF98" s="23">
        <f t="shared" si="232"/>
        <v>0</v>
      </c>
      <c r="CG98" s="23">
        <f t="shared" ref="CG98:CM105" si="233">CG72*$D85</f>
        <v>0</v>
      </c>
      <c r="CH98" s="23">
        <f t="shared" si="233"/>
        <v>0</v>
      </c>
      <c r="CI98" s="23">
        <f t="shared" si="233"/>
        <v>0</v>
      </c>
      <c r="CJ98" s="23">
        <f t="shared" si="233"/>
        <v>0</v>
      </c>
      <c r="CK98" s="23">
        <f t="shared" si="233"/>
        <v>0</v>
      </c>
      <c r="CL98" s="23">
        <f t="shared" si="233"/>
        <v>0</v>
      </c>
      <c r="CM98" s="23">
        <f t="shared" si="233"/>
        <v>0</v>
      </c>
      <c r="CN98" s="23">
        <f t="shared" ref="CN98:CQ105" si="234">CN72*$D85</f>
        <v>0</v>
      </c>
      <c r="CO98" s="23">
        <f t="shared" si="234"/>
        <v>0</v>
      </c>
      <c r="CP98" s="23">
        <f t="shared" si="234"/>
        <v>0</v>
      </c>
      <c r="CQ98" s="23">
        <f t="shared" si="234"/>
        <v>0</v>
      </c>
      <c r="CR98" s="23">
        <f t="shared" ref="CR98:CR105" si="235">CR72*$D85</f>
        <v>0</v>
      </c>
      <c r="CS98" s="23">
        <f t="shared" ref="CS98:CW105" si="236">CS72*$D85</f>
        <v>0</v>
      </c>
      <c r="CT98" s="23">
        <f t="shared" si="236"/>
        <v>0</v>
      </c>
      <c r="CU98" s="23">
        <f t="shared" si="236"/>
        <v>0</v>
      </c>
      <c r="CV98" s="23">
        <f t="shared" si="236"/>
        <v>0</v>
      </c>
      <c r="CW98" s="23">
        <f t="shared" si="236"/>
        <v>0</v>
      </c>
      <c r="CX98" s="23">
        <f t="shared" ref="CX98:DP105" si="237">CX72*$D85</f>
        <v>0</v>
      </c>
      <c r="CY98" s="23">
        <f t="shared" si="237"/>
        <v>0</v>
      </c>
      <c r="CZ98" s="23">
        <f t="shared" si="237"/>
        <v>0</v>
      </c>
      <c r="DA98" s="23">
        <f t="shared" si="237"/>
        <v>0</v>
      </c>
      <c r="DB98" s="23">
        <f t="shared" si="237"/>
        <v>0</v>
      </c>
      <c r="DC98" s="23">
        <f t="shared" si="237"/>
        <v>0</v>
      </c>
      <c r="DD98" s="23">
        <f t="shared" ref="DD98:DI98" si="238">DD72*$D85</f>
        <v>0</v>
      </c>
      <c r="DE98" s="23">
        <f t="shared" si="238"/>
        <v>0</v>
      </c>
      <c r="DF98" s="23">
        <f t="shared" si="238"/>
        <v>0</v>
      </c>
      <c r="DG98" s="23"/>
      <c r="DH98" s="23">
        <f t="shared" si="238"/>
        <v>0</v>
      </c>
      <c r="DI98" s="23">
        <f t="shared" si="238"/>
        <v>0</v>
      </c>
      <c r="DJ98" s="23">
        <f t="shared" ref="DJ98:DJ105" si="239">DJ72*$D85</f>
        <v>0</v>
      </c>
      <c r="DK98" s="23">
        <f t="shared" si="237"/>
        <v>0</v>
      </c>
      <c r="DL98" s="23">
        <f t="shared" si="237"/>
        <v>0</v>
      </c>
      <c r="DM98" s="23">
        <f t="shared" ref="DM98:DM105" si="240">DM72*$D85</f>
        <v>0</v>
      </c>
      <c r="DN98" s="23">
        <f t="shared" si="237"/>
        <v>0</v>
      </c>
      <c r="DO98" s="23">
        <f t="shared" si="237"/>
        <v>0</v>
      </c>
      <c r="DP98" s="23">
        <f t="shared" si="237"/>
        <v>0</v>
      </c>
      <c r="DQ98" s="23">
        <f t="shared" ref="DQ98:DS105" si="241">DQ72*$D85</f>
        <v>0</v>
      </c>
      <c r="DR98" s="23">
        <f t="shared" si="241"/>
        <v>0</v>
      </c>
      <c r="DS98" s="23">
        <f t="shared" si="241"/>
        <v>0</v>
      </c>
      <c r="DT98" s="23">
        <f t="shared" ref="DT98:DV105" si="242">DT72*$D85</f>
        <v>0</v>
      </c>
      <c r="DU98" s="23">
        <f t="shared" si="242"/>
        <v>0</v>
      </c>
      <c r="DV98" s="23">
        <f t="shared" si="242"/>
        <v>0</v>
      </c>
      <c r="DW98" s="23">
        <f t="shared" ref="DW98:EC105" si="243">DW72*$D85</f>
        <v>0</v>
      </c>
      <c r="DX98" s="23">
        <f t="shared" si="243"/>
        <v>0</v>
      </c>
      <c r="DY98" s="23">
        <f t="shared" si="243"/>
        <v>0</v>
      </c>
      <c r="DZ98" s="23">
        <f t="shared" si="243"/>
        <v>0</v>
      </c>
      <c r="EA98" s="23">
        <f t="shared" si="243"/>
        <v>0</v>
      </c>
      <c r="EB98" s="23">
        <f t="shared" si="243"/>
        <v>0</v>
      </c>
      <c r="EC98" s="23">
        <f t="shared" si="243"/>
        <v>0</v>
      </c>
      <c r="ED98" s="23">
        <f t="shared" ref="ED98:ED105" si="244">ED72*$D85</f>
        <v>0</v>
      </c>
    </row>
    <row r="99" spans="1:137" x14ac:dyDescent="0.3">
      <c r="A99" s="21" t="s">
        <v>24</v>
      </c>
      <c r="B99" s="21" t="s">
        <v>71</v>
      </c>
      <c r="D99" s="23">
        <f t="shared" si="212"/>
        <v>1579.6690531304669</v>
      </c>
      <c r="E99" s="23">
        <f t="shared" si="213"/>
        <v>1579.6690531304669</v>
      </c>
      <c r="F99" s="23">
        <f t="shared" si="213"/>
        <v>1579.6690531304669</v>
      </c>
      <c r="G99" s="23">
        <f t="shared" si="213"/>
        <v>1579.6690531304669</v>
      </c>
      <c r="H99" s="23">
        <f t="shared" si="213"/>
        <v>1579.6690531304669</v>
      </c>
      <c r="I99" s="23">
        <f t="shared" si="213"/>
        <v>1579.6690531304669</v>
      </c>
      <c r="J99" s="23">
        <f t="shared" si="214"/>
        <v>1579.6690531304669</v>
      </c>
      <c r="K99" s="23">
        <f t="shared" si="215"/>
        <v>1579.6690531304669</v>
      </c>
      <c r="L99" s="23">
        <f t="shared" si="216"/>
        <v>1579.6690531304669</v>
      </c>
      <c r="M99" s="23">
        <f t="shared" si="216"/>
        <v>1579.6690531304669</v>
      </c>
      <c r="N99" s="23">
        <f t="shared" si="217"/>
        <v>1579.6690531304669</v>
      </c>
      <c r="O99" s="23">
        <f t="shared" si="217"/>
        <v>1579.6690531304669</v>
      </c>
      <c r="P99" s="23">
        <f t="shared" si="218"/>
        <v>1579.6690531304669</v>
      </c>
      <c r="Q99" s="23">
        <f t="shared" si="218"/>
        <v>1579.6690531304669</v>
      </c>
      <c r="R99" s="23">
        <f t="shared" si="218"/>
        <v>1579.6690531304669</v>
      </c>
      <c r="S99" s="23">
        <f t="shared" si="218"/>
        <v>1579.6690531304669</v>
      </c>
      <c r="T99" s="23">
        <f t="shared" si="219"/>
        <v>1579.6690531304669</v>
      </c>
      <c r="U99" s="23">
        <f t="shared" si="219"/>
        <v>1579.6690531304669</v>
      </c>
      <c r="V99" s="23">
        <f t="shared" si="219"/>
        <v>1579.6690531304669</v>
      </c>
      <c r="W99" s="23">
        <f t="shared" si="220"/>
        <v>1579.6690531304669</v>
      </c>
      <c r="X99" s="23">
        <f t="shared" si="221"/>
        <v>3048.4085333687331</v>
      </c>
      <c r="Y99" s="23">
        <f t="shared" si="221"/>
        <v>3048.4085333687331</v>
      </c>
      <c r="Z99" s="23">
        <f t="shared" si="221"/>
        <v>3048.4085333687331</v>
      </c>
      <c r="AA99" s="23">
        <f t="shared" si="221"/>
        <v>3048.4085333687331</v>
      </c>
      <c r="AB99" s="23">
        <f t="shared" ref="AB99:AC99" si="245">AB73*$D86</f>
        <v>3048.4085333687331</v>
      </c>
      <c r="AC99" s="23">
        <f t="shared" si="245"/>
        <v>3048.4085333687331</v>
      </c>
      <c r="AD99" s="23">
        <f t="shared" ref="AD99" si="246">AD73*$D86</f>
        <v>3048.4085333687331</v>
      </c>
      <c r="AE99" s="23">
        <f t="shared" ref="AE99" si="247">AE73*$D86</f>
        <v>3048.4085333687331</v>
      </c>
      <c r="AF99" s="23">
        <f t="shared" si="225"/>
        <v>1579.6690531304669</v>
      </c>
      <c r="AG99" s="23">
        <f t="shared" ref="AG99:AX99" si="248">AG73*$D86</f>
        <v>0</v>
      </c>
      <c r="AH99" s="23">
        <f t="shared" si="248"/>
        <v>0</v>
      </c>
      <c r="AI99" s="23">
        <f t="shared" si="248"/>
        <v>0</v>
      </c>
      <c r="AJ99" s="23">
        <f t="shared" si="248"/>
        <v>0</v>
      </c>
      <c r="AK99" s="23">
        <f t="shared" si="248"/>
        <v>0</v>
      </c>
      <c r="AL99" s="23">
        <f t="shared" si="248"/>
        <v>0</v>
      </c>
      <c r="AM99" s="23">
        <f t="shared" si="248"/>
        <v>0</v>
      </c>
      <c r="AN99" s="23">
        <f t="shared" si="248"/>
        <v>0</v>
      </c>
      <c r="AO99" s="23">
        <f t="shared" si="248"/>
        <v>0</v>
      </c>
      <c r="AP99" s="23">
        <f t="shared" si="248"/>
        <v>0</v>
      </c>
      <c r="AQ99" s="23">
        <f t="shared" si="248"/>
        <v>0</v>
      </c>
      <c r="AR99" s="23">
        <f t="shared" si="248"/>
        <v>0</v>
      </c>
      <c r="AS99" s="23">
        <f t="shared" si="248"/>
        <v>0</v>
      </c>
      <c r="AT99" s="23">
        <f t="shared" si="248"/>
        <v>0</v>
      </c>
      <c r="AU99" s="23">
        <f t="shared" si="248"/>
        <v>0</v>
      </c>
      <c r="AV99" s="23">
        <f t="shared" si="248"/>
        <v>0</v>
      </c>
      <c r="AW99" s="23">
        <f t="shared" si="248"/>
        <v>0</v>
      </c>
      <c r="AX99" s="23">
        <f t="shared" si="248"/>
        <v>0</v>
      </c>
      <c r="AY99" s="23">
        <f t="shared" si="227"/>
        <v>0</v>
      </c>
      <c r="AZ99" s="23">
        <f t="shared" si="228"/>
        <v>0</v>
      </c>
      <c r="BA99" s="23">
        <f t="shared" si="228"/>
        <v>0</v>
      </c>
      <c r="BB99" s="23">
        <f t="shared" si="227"/>
        <v>0</v>
      </c>
      <c r="BC99" s="23">
        <f t="shared" si="227"/>
        <v>0</v>
      </c>
      <c r="BD99" s="23">
        <f t="shared" si="229"/>
        <v>0</v>
      </c>
      <c r="BE99" s="23">
        <f t="shared" si="229"/>
        <v>0</v>
      </c>
      <c r="BF99" s="23">
        <f t="shared" si="227"/>
        <v>0</v>
      </c>
      <c r="BG99" s="23">
        <f t="shared" si="227"/>
        <v>0</v>
      </c>
      <c r="BH99" s="23">
        <f t="shared" si="227"/>
        <v>0</v>
      </c>
      <c r="BI99" s="23">
        <f t="shared" ref="BI99:BT99" si="249">BI73*$D86</f>
        <v>0</v>
      </c>
      <c r="BJ99" s="23">
        <f t="shared" si="249"/>
        <v>0</v>
      </c>
      <c r="BK99" s="23">
        <f t="shared" si="249"/>
        <v>0</v>
      </c>
      <c r="BL99" s="23">
        <f t="shared" si="249"/>
        <v>0</v>
      </c>
      <c r="BM99" s="23">
        <f t="shared" si="249"/>
        <v>0</v>
      </c>
      <c r="BN99" s="23">
        <f t="shared" si="249"/>
        <v>0</v>
      </c>
      <c r="BO99" s="23">
        <f t="shared" si="249"/>
        <v>0</v>
      </c>
      <c r="BP99" s="23">
        <f t="shared" si="249"/>
        <v>0</v>
      </c>
      <c r="BQ99" s="23">
        <f t="shared" si="249"/>
        <v>0</v>
      </c>
      <c r="BR99" s="23">
        <f t="shared" si="249"/>
        <v>0</v>
      </c>
      <c r="BS99" s="23">
        <f t="shared" si="249"/>
        <v>0</v>
      </c>
      <c r="BT99" s="23">
        <f t="shared" si="249"/>
        <v>0</v>
      </c>
      <c r="BU99" s="23">
        <f t="shared" ref="BU99:CC99" si="250">BU73*$D86</f>
        <v>0</v>
      </c>
      <c r="BV99" s="23">
        <f t="shared" si="250"/>
        <v>0</v>
      </c>
      <c r="BW99" s="23">
        <f t="shared" si="250"/>
        <v>0</v>
      </c>
      <c r="BX99" s="23">
        <f t="shared" si="250"/>
        <v>0</v>
      </c>
      <c r="BY99" s="23">
        <f t="shared" si="250"/>
        <v>0</v>
      </c>
      <c r="BZ99" s="23">
        <f t="shared" si="250"/>
        <v>0</v>
      </c>
      <c r="CA99" s="23">
        <f t="shared" si="250"/>
        <v>0</v>
      </c>
      <c r="CB99" s="23">
        <f t="shared" si="250"/>
        <v>0</v>
      </c>
      <c r="CC99" s="23">
        <f t="shared" si="250"/>
        <v>0</v>
      </c>
      <c r="CD99" s="23">
        <f t="shared" si="232"/>
        <v>0</v>
      </c>
      <c r="CE99" s="23">
        <f t="shared" si="232"/>
        <v>0</v>
      </c>
      <c r="CF99" s="23">
        <f t="shared" si="232"/>
        <v>0</v>
      </c>
      <c r="CG99" s="23">
        <f t="shared" si="233"/>
        <v>0</v>
      </c>
      <c r="CH99" s="23">
        <f t="shared" si="233"/>
        <v>0</v>
      </c>
      <c r="CI99" s="23">
        <f t="shared" si="233"/>
        <v>0</v>
      </c>
      <c r="CJ99" s="23">
        <f t="shared" si="233"/>
        <v>0</v>
      </c>
      <c r="CK99" s="23">
        <f t="shared" si="233"/>
        <v>0</v>
      </c>
      <c r="CL99" s="23">
        <f t="shared" si="233"/>
        <v>0</v>
      </c>
      <c r="CM99" s="23">
        <f t="shared" si="233"/>
        <v>0</v>
      </c>
      <c r="CN99" s="23">
        <f t="shared" si="234"/>
        <v>0</v>
      </c>
      <c r="CO99" s="23">
        <f t="shared" si="234"/>
        <v>0</v>
      </c>
      <c r="CP99" s="23">
        <f t="shared" si="234"/>
        <v>0</v>
      </c>
      <c r="CQ99" s="23">
        <f t="shared" si="234"/>
        <v>0</v>
      </c>
      <c r="CR99" s="23">
        <f t="shared" si="235"/>
        <v>0</v>
      </c>
      <c r="CS99" s="23">
        <f t="shared" si="236"/>
        <v>0</v>
      </c>
      <c r="CT99" s="23">
        <f t="shared" si="236"/>
        <v>0</v>
      </c>
      <c r="CU99" s="23">
        <f t="shared" si="236"/>
        <v>0</v>
      </c>
      <c r="CV99" s="23">
        <f t="shared" si="236"/>
        <v>0</v>
      </c>
      <c r="CW99" s="23">
        <f t="shared" si="236"/>
        <v>0</v>
      </c>
      <c r="CX99" s="23">
        <f t="shared" si="237"/>
        <v>0</v>
      </c>
      <c r="CY99" s="23">
        <f t="shared" si="237"/>
        <v>0</v>
      </c>
      <c r="CZ99" s="23">
        <f t="shared" si="237"/>
        <v>0</v>
      </c>
      <c r="DA99" s="23">
        <f t="shared" si="237"/>
        <v>0</v>
      </c>
      <c r="DB99" s="23">
        <f t="shared" si="237"/>
        <v>0</v>
      </c>
      <c r="DC99" s="23">
        <f t="shared" si="237"/>
        <v>0</v>
      </c>
      <c r="DD99" s="23">
        <f t="shared" ref="DD99:DI99" si="251">DD73*$D86</f>
        <v>0</v>
      </c>
      <c r="DE99" s="23">
        <f t="shared" si="251"/>
        <v>0</v>
      </c>
      <c r="DF99" s="23">
        <f t="shared" si="251"/>
        <v>0</v>
      </c>
      <c r="DG99" s="23"/>
      <c r="DH99" s="23">
        <f t="shared" si="251"/>
        <v>0</v>
      </c>
      <c r="DI99" s="23">
        <f t="shared" si="251"/>
        <v>0</v>
      </c>
      <c r="DJ99" s="23">
        <f t="shared" si="239"/>
        <v>0</v>
      </c>
      <c r="DK99" s="23">
        <f t="shared" si="237"/>
        <v>0</v>
      </c>
      <c r="DL99" s="23">
        <f t="shared" si="237"/>
        <v>0</v>
      </c>
      <c r="DM99" s="23">
        <f t="shared" si="240"/>
        <v>0</v>
      </c>
      <c r="DN99" s="23">
        <f t="shared" si="237"/>
        <v>0</v>
      </c>
      <c r="DO99" s="23">
        <f t="shared" si="237"/>
        <v>0</v>
      </c>
      <c r="DP99" s="23">
        <f t="shared" si="237"/>
        <v>0</v>
      </c>
      <c r="DQ99" s="23">
        <f t="shared" si="241"/>
        <v>0</v>
      </c>
      <c r="DR99" s="23">
        <f t="shared" si="241"/>
        <v>0</v>
      </c>
      <c r="DS99" s="23">
        <f t="shared" si="241"/>
        <v>0</v>
      </c>
      <c r="DT99" s="23">
        <f t="shared" si="242"/>
        <v>0</v>
      </c>
      <c r="DU99" s="23">
        <f t="shared" si="242"/>
        <v>0</v>
      </c>
      <c r="DV99" s="23">
        <f t="shared" si="242"/>
        <v>0</v>
      </c>
      <c r="DW99" s="23">
        <f t="shared" si="243"/>
        <v>0</v>
      </c>
      <c r="DX99" s="23">
        <f t="shared" si="243"/>
        <v>7114248.0358902365</v>
      </c>
      <c r="DY99" s="23">
        <f t="shared" si="243"/>
        <v>7114248.0358902365</v>
      </c>
      <c r="DZ99" s="23">
        <f t="shared" si="243"/>
        <v>7114248.0358902365</v>
      </c>
      <c r="EA99" s="23">
        <f t="shared" si="243"/>
        <v>7114248.0358902365</v>
      </c>
      <c r="EB99" s="23">
        <f t="shared" si="243"/>
        <v>7114248.0358902365</v>
      </c>
      <c r="EC99" s="23">
        <f t="shared" si="243"/>
        <v>7114248.0358902365</v>
      </c>
      <c r="ED99" s="23">
        <f t="shared" si="244"/>
        <v>7114248.0358902365</v>
      </c>
    </row>
    <row r="100" spans="1:137" x14ac:dyDescent="0.3">
      <c r="A100" s="21" t="s">
        <v>69</v>
      </c>
      <c r="B100" s="21" t="s">
        <v>71</v>
      </c>
      <c r="D100" s="23">
        <f t="shared" si="212"/>
        <v>0</v>
      </c>
      <c r="E100" s="23">
        <f t="shared" si="213"/>
        <v>0</v>
      </c>
      <c r="F100" s="23">
        <f t="shared" si="213"/>
        <v>0</v>
      </c>
      <c r="G100" s="23">
        <f t="shared" si="213"/>
        <v>0</v>
      </c>
      <c r="H100" s="23">
        <f t="shared" si="213"/>
        <v>0</v>
      </c>
      <c r="I100" s="23">
        <f t="shared" si="213"/>
        <v>0</v>
      </c>
      <c r="J100" s="23">
        <f t="shared" si="214"/>
        <v>0</v>
      </c>
      <c r="K100" s="23">
        <f t="shared" si="215"/>
        <v>0</v>
      </c>
      <c r="L100" s="23">
        <f t="shared" si="216"/>
        <v>0</v>
      </c>
      <c r="M100" s="23">
        <f t="shared" si="216"/>
        <v>0</v>
      </c>
      <c r="N100" s="23">
        <f t="shared" si="217"/>
        <v>0</v>
      </c>
      <c r="O100" s="23">
        <f t="shared" si="217"/>
        <v>0</v>
      </c>
      <c r="P100" s="23">
        <f t="shared" si="218"/>
        <v>0</v>
      </c>
      <c r="Q100" s="23">
        <f t="shared" si="218"/>
        <v>0</v>
      </c>
      <c r="R100" s="23">
        <f t="shared" si="218"/>
        <v>0</v>
      </c>
      <c r="S100" s="23">
        <f t="shared" si="218"/>
        <v>0</v>
      </c>
      <c r="T100" s="23">
        <f t="shared" si="219"/>
        <v>0</v>
      </c>
      <c r="U100" s="23">
        <f t="shared" si="219"/>
        <v>0</v>
      </c>
      <c r="V100" s="23">
        <f t="shared" si="219"/>
        <v>0</v>
      </c>
      <c r="W100" s="23">
        <f t="shared" si="220"/>
        <v>0</v>
      </c>
      <c r="X100" s="23">
        <f t="shared" si="221"/>
        <v>0</v>
      </c>
      <c r="Y100" s="23">
        <f t="shared" si="221"/>
        <v>0</v>
      </c>
      <c r="Z100" s="23">
        <f t="shared" si="221"/>
        <v>0</v>
      </c>
      <c r="AA100" s="23">
        <f t="shared" si="221"/>
        <v>0</v>
      </c>
      <c r="AB100" s="23">
        <f t="shared" ref="AB100:AC100" si="252">AB74*$D87</f>
        <v>0</v>
      </c>
      <c r="AC100" s="23">
        <f t="shared" si="252"/>
        <v>0</v>
      </c>
      <c r="AD100" s="23">
        <f t="shared" ref="AD100" si="253">AD74*$D87</f>
        <v>0</v>
      </c>
      <c r="AE100" s="23">
        <f t="shared" ref="AE100" si="254">AE74*$D87</f>
        <v>0</v>
      </c>
      <c r="AF100" s="23">
        <f t="shared" si="225"/>
        <v>0</v>
      </c>
      <c r="AG100" s="23">
        <f t="shared" ref="AG100:AX100" si="255">AG74*$D87</f>
        <v>0</v>
      </c>
      <c r="AH100" s="23">
        <f t="shared" si="255"/>
        <v>0</v>
      </c>
      <c r="AI100" s="23">
        <f t="shared" si="255"/>
        <v>0</v>
      </c>
      <c r="AJ100" s="23">
        <f t="shared" si="255"/>
        <v>0</v>
      </c>
      <c r="AK100" s="23">
        <f t="shared" si="255"/>
        <v>0</v>
      </c>
      <c r="AL100" s="23">
        <f t="shared" si="255"/>
        <v>0</v>
      </c>
      <c r="AM100" s="23">
        <f t="shared" si="255"/>
        <v>0</v>
      </c>
      <c r="AN100" s="23">
        <f t="shared" si="255"/>
        <v>0</v>
      </c>
      <c r="AO100" s="23">
        <f t="shared" si="255"/>
        <v>57644.736474470745</v>
      </c>
      <c r="AP100" s="23">
        <f t="shared" si="255"/>
        <v>61594.814907623811</v>
      </c>
      <c r="AQ100" s="23">
        <f t="shared" si="255"/>
        <v>68233.797419355062</v>
      </c>
      <c r="AR100" s="23">
        <f t="shared" si="255"/>
        <v>69959.757405437616</v>
      </c>
      <c r="AS100" s="23">
        <f t="shared" si="255"/>
        <v>69959.757405437616</v>
      </c>
      <c r="AT100" s="23">
        <f t="shared" si="255"/>
        <v>69959.757405437616</v>
      </c>
      <c r="AU100" s="23">
        <f t="shared" si="255"/>
        <v>69959.757405437616</v>
      </c>
      <c r="AV100" s="23">
        <f t="shared" si="255"/>
        <v>65902.044875627369</v>
      </c>
      <c r="AW100" s="23">
        <f t="shared" si="255"/>
        <v>74017.469935247835</v>
      </c>
      <c r="AX100" s="23">
        <f t="shared" si="255"/>
        <v>69959.757405437616</v>
      </c>
      <c r="AY100" s="23">
        <f t="shared" si="227"/>
        <v>65342.409594226345</v>
      </c>
      <c r="AZ100" s="23">
        <f t="shared" si="228"/>
        <v>65342.409594226345</v>
      </c>
      <c r="BA100" s="23">
        <f t="shared" si="228"/>
        <v>65342.409594226345</v>
      </c>
      <c r="BB100" s="23">
        <f t="shared" si="227"/>
        <v>65342.409594226345</v>
      </c>
      <c r="BC100" s="23">
        <f t="shared" si="227"/>
        <v>57644.736474470745</v>
      </c>
      <c r="BD100" s="23">
        <f t="shared" si="229"/>
        <v>57644.736474470745</v>
      </c>
      <c r="BE100" s="23">
        <f t="shared" si="229"/>
        <v>57644.736474470745</v>
      </c>
      <c r="BF100" s="23">
        <f t="shared" si="227"/>
        <v>57644.736474470745</v>
      </c>
      <c r="BG100" s="23">
        <f t="shared" si="227"/>
        <v>57644.736474470745</v>
      </c>
      <c r="BH100" s="23">
        <f t="shared" si="227"/>
        <v>57644.736474470745</v>
      </c>
      <c r="BI100" s="23">
        <f t="shared" ref="BI100:BT100" si="256">BI74*$D87</f>
        <v>57644.736474470745</v>
      </c>
      <c r="BJ100" s="23">
        <f t="shared" si="256"/>
        <v>61594.814907623811</v>
      </c>
      <c r="BK100" s="23">
        <f t="shared" si="256"/>
        <v>68233.797419355062</v>
      </c>
      <c r="BL100" s="23">
        <f t="shared" si="256"/>
        <v>72664.899091977772</v>
      </c>
      <c r="BM100" s="23">
        <f t="shared" si="256"/>
        <v>72664.899091977772</v>
      </c>
      <c r="BN100" s="23">
        <f t="shared" si="256"/>
        <v>72664.899091977772</v>
      </c>
      <c r="BO100" s="23">
        <f t="shared" si="256"/>
        <v>72664.899091977772</v>
      </c>
      <c r="BP100" s="23">
        <f t="shared" si="256"/>
        <v>72664.899091977772</v>
      </c>
      <c r="BQ100" s="23">
        <f t="shared" si="256"/>
        <v>72664.899091977772</v>
      </c>
      <c r="BR100" s="23">
        <f t="shared" si="256"/>
        <v>67930.901140532485</v>
      </c>
      <c r="BS100" s="23">
        <f t="shared" si="256"/>
        <v>77398.897043423058</v>
      </c>
      <c r="BT100" s="23">
        <f t="shared" si="256"/>
        <v>72664.899091977772</v>
      </c>
      <c r="BU100" s="23">
        <f t="shared" ref="BU100:CC100" si="257">BU74*$D87</f>
        <v>91600.890897758887</v>
      </c>
      <c r="BV100" s="23">
        <f t="shared" si="257"/>
        <v>91600.890897758887</v>
      </c>
      <c r="BW100" s="23">
        <f t="shared" si="257"/>
        <v>91600.890897758887</v>
      </c>
      <c r="BX100" s="23">
        <f t="shared" si="257"/>
        <v>91600.890897758887</v>
      </c>
      <c r="BY100" s="23">
        <f t="shared" si="257"/>
        <v>91600.890897758887</v>
      </c>
      <c r="BZ100" s="23">
        <f t="shared" si="257"/>
        <v>91600.890897758887</v>
      </c>
      <c r="CA100" s="23">
        <f t="shared" si="257"/>
        <v>82132.894994868329</v>
      </c>
      <c r="CB100" s="23">
        <f t="shared" si="257"/>
        <v>101068.88680064942</v>
      </c>
      <c r="CC100" s="23">
        <f t="shared" si="257"/>
        <v>91600.890897758887</v>
      </c>
      <c r="CD100" s="23">
        <f t="shared" si="232"/>
        <v>65342.409594226345</v>
      </c>
      <c r="CE100" s="23">
        <f t="shared" si="232"/>
        <v>65342.409594226345</v>
      </c>
      <c r="CF100" s="23">
        <f t="shared" si="232"/>
        <v>65342.409594226345</v>
      </c>
      <c r="CG100" s="23">
        <f t="shared" si="233"/>
        <v>65342.409594226345</v>
      </c>
      <c r="CH100" s="23">
        <f t="shared" si="233"/>
        <v>57644.736474470745</v>
      </c>
      <c r="CI100" s="23">
        <f t="shared" si="233"/>
        <v>61594.814907623811</v>
      </c>
      <c r="CJ100" s="23">
        <f t="shared" si="233"/>
        <v>68233.797419355062</v>
      </c>
      <c r="CK100" s="23">
        <f t="shared" si="233"/>
        <v>72664.899091977772</v>
      </c>
      <c r="CL100" s="23">
        <f t="shared" si="233"/>
        <v>91600.890897758887</v>
      </c>
      <c r="CM100" s="23">
        <f t="shared" si="233"/>
        <v>65342.409594226345</v>
      </c>
      <c r="CN100" s="23">
        <f t="shared" si="234"/>
        <v>73235.812286168453</v>
      </c>
      <c r="CO100" s="23">
        <f t="shared" si="234"/>
        <v>78068.759085806858</v>
      </c>
      <c r="CP100" s="23">
        <f t="shared" si="234"/>
        <v>85262.170013832452</v>
      </c>
      <c r="CQ100" s="23">
        <f t="shared" si="234"/>
        <v>84806.378621427299</v>
      </c>
      <c r="CR100" s="23">
        <f t="shared" si="235"/>
        <v>83318.612012887665</v>
      </c>
      <c r="CS100" s="23">
        <f t="shared" si="236"/>
        <v>73235.812286168453</v>
      </c>
      <c r="CT100" s="23">
        <f t="shared" si="236"/>
        <v>78068.759085806858</v>
      </c>
      <c r="CU100" s="23">
        <f t="shared" si="236"/>
        <v>85262.170013832452</v>
      </c>
      <c r="CV100" s="23">
        <f t="shared" si="236"/>
        <v>87511.520307967454</v>
      </c>
      <c r="CW100" s="23">
        <f t="shared" si="236"/>
        <v>106447.51211374857</v>
      </c>
      <c r="CX100" s="23">
        <f t="shared" si="237"/>
        <v>83318.612012887665</v>
      </c>
      <c r="CY100" s="23">
        <f t="shared" si="237"/>
        <v>73235.812286168453</v>
      </c>
      <c r="CZ100" s="23">
        <f t="shared" si="237"/>
        <v>78068.759085806858</v>
      </c>
      <c r="DA100" s="23">
        <f t="shared" si="237"/>
        <v>85262.170013832452</v>
      </c>
      <c r="DB100" s="23">
        <f t="shared" si="237"/>
        <v>87511.520307967454</v>
      </c>
      <c r="DC100" s="23">
        <f t="shared" si="237"/>
        <v>106447.51211374857</v>
      </c>
      <c r="DD100" s="23">
        <f t="shared" ref="DD100:DI100" si="258">DD74*$D87</f>
        <v>83318.612012887665</v>
      </c>
      <c r="DE100" s="23">
        <f t="shared" si="258"/>
        <v>137125.77174239565</v>
      </c>
      <c r="DF100" s="23">
        <f t="shared" si="258"/>
        <v>140844.87098710198</v>
      </c>
      <c r="DG100" s="23"/>
      <c r="DH100" s="23">
        <f t="shared" si="258"/>
        <v>183034.53571779348</v>
      </c>
      <c r="DI100" s="23">
        <f t="shared" si="258"/>
        <v>223611.66101589584</v>
      </c>
      <c r="DJ100" s="23">
        <f t="shared" si="239"/>
        <v>159235.23209122388</v>
      </c>
      <c r="DK100" s="23">
        <f t="shared" si="237"/>
        <v>401170.97619845381</v>
      </c>
      <c r="DL100" s="23">
        <f t="shared" si="237"/>
        <v>401170.97619845381</v>
      </c>
      <c r="DM100" s="23">
        <f t="shared" si="240"/>
        <v>401170.97619845381</v>
      </c>
      <c r="DN100" s="23">
        <f t="shared" si="237"/>
        <v>401170.97619845381</v>
      </c>
      <c r="DO100" s="23">
        <f t="shared" si="237"/>
        <v>401170.97619845381</v>
      </c>
      <c r="DP100" s="23">
        <f t="shared" si="237"/>
        <v>401170.97619845381</v>
      </c>
      <c r="DQ100" s="23">
        <f t="shared" si="241"/>
        <v>401170.97619845381</v>
      </c>
      <c r="DR100" s="23">
        <f t="shared" si="241"/>
        <v>401346.23811057711</v>
      </c>
      <c r="DS100" s="23">
        <f t="shared" si="241"/>
        <v>664148.63929006073</v>
      </c>
      <c r="DT100" s="23">
        <f t="shared" si="242"/>
        <v>664148.63929006073</v>
      </c>
      <c r="DU100" s="23">
        <f t="shared" si="242"/>
        <v>555972.99665123841</v>
      </c>
      <c r="DV100" s="23">
        <f t="shared" si="242"/>
        <v>474043.851837711</v>
      </c>
      <c r="DW100" s="23">
        <f t="shared" si="243"/>
        <v>474043.851837711</v>
      </c>
      <c r="DX100" s="23">
        <f t="shared" si="243"/>
        <v>7176168.6452118112</v>
      </c>
      <c r="DY100" s="23">
        <f t="shared" si="243"/>
        <v>7176168.6452118112</v>
      </c>
      <c r="DZ100" s="23">
        <f t="shared" si="243"/>
        <v>7176168.6452118112</v>
      </c>
      <c r="EA100" s="23">
        <f t="shared" si="243"/>
        <v>7176168.6452118112</v>
      </c>
      <c r="EB100" s="23">
        <f t="shared" si="243"/>
        <v>7176168.6452118112</v>
      </c>
      <c r="EC100" s="23">
        <f t="shared" si="243"/>
        <v>7176168.6452118112</v>
      </c>
      <c r="ED100" s="23">
        <f t="shared" si="244"/>
        <v>7176168.6452118112</v>
      </c>
    </row>
    <row r="101" spans="1:137" x14ac:dyDescent="0.3">
      <c r="A101" s="21" t="str">
        <f>A100</f>
        <v xml:space="preserve">   Train</v>
      </c>
      <c r="B101" s="21" t="s">
        <v>70</v>
      </c>
      <c r="D101" s="23">
        <f t="shared" si="212"/>
        <v>0</v>
      </c>
      <c r="E101" s="23">
        <f t="shared" si="213"/>
        <v>0</v>
      </c>
      <c r="F101" s="23">
        <f t="shared" si="213"/>
        <v>0</v>
      </c>
      <c r="G101" s="23">
        <f t="shared" si="213"/>
        <v>0</v>
      </c>
      <c r="H101" s="23">
        <f t="shared" si="213"/>
        <v>0</v>
      </c>
      <c r="I101" s="23">
        <f t="shared" si="213"/>
        <v>0</v>
      </c>
      <c r="J101" s="23">
        <f t="shared" si="214"/>
        <v>0</v>
      </c>
      <c r="K101" s="23">
        <f t="shared" si="215"/>
        <v>0</v>
      </c>
      <c r="L101" s="23">
        <f t="shared" si="216"/>
        <v>0</v>
      </c>
      <c r="M101" s="23">
        <f t="shared" si="216"/>
        <v>0</v>
      </c>
      <c r="N101" s="23">
        <f t="shared" si="217"/>
        <v>0</v>
      </c>
      <c r="O101" s="23">
        <f t="shared" si="217"/>
        <v>0</v>
      </c>
      <c r="P101" s="23">
        <f t="shared" si="218"/>
        <v>0</v>
      </c>
      <c r="Q101" s="23">
        <f t="shared" si="218"/>
        <v>0</v>
      </c>
      <c r="R101" s="23">
        <f t="shared" si="218"/>
        <v>0</v>
      </c>
      <c r="S101" s="23">
        <f t="shared" si="218"/>
        <v>0</v>
      </c>
      <c r="T101" s="23">
        <f t="shared" si="219"/>
        <v>0</v>
      </c>
      <c r="U101" s="23">
        <f t="shared" si="219"/>
        <v>0</v>
      </c>
      <c r="V101" s="23">
        <f t="shared" si="219"/>
        <v>0</v>
      </c>
      <c r="W101" s="23">
        <f t="shared" si="220"/>
        <v>0</v>
      </c>
      <c r="X101" s="23">
        <f t="shared" si="221"/>
        <v>0</v>
      </c>
      <c r="Y101" s="23">
        <f t="shared" si="221"/>
        <v>0</v>
      </c>
      <c r="Z101" s="23">
        <f t="shared" si="221"/>
        <v>0</v>
      </c>
      <c r="AA101" s="23">
        <f t="shared" si="221"/>
        <v>0</v>
      </c>
      <c r="AB101" s="23">
        <f t="shared" ref="AB101:AC101" si="259">AB75*$D88</f>
        <v>0</v>
      </c>
      <c r="AC101" s="23">
        <f t="shared" si="259"/>
        <v>0</v>
      </c>
      <c r="AD101" s="23">
        <f t="shared" ref="AD101" si="260">AD75*$D88</f>
        <v>0</v>
      </c>
      <c r="AE101" s="23">
        <f t="shared" ref="AE101" si="261">AE75*$D88</f>
        <v>0</v>
      </c>
      <c r="AF101" s="23">
        <f t="shared" si="225"/>
        <v>0</v>
      </c>
      <c r="AG101" s="23">
        <f t="shared" ref="AG101:AX101" si="262">AG75*$D88</f>
        <v>0</v>
      </c>
      <c r="AH101" s="23">
        <f t="shared" si="262"/>
        <v>0</v>
      </c>
      <c r="AI101" s="23">
        <f t="shared" si="262"/>
        <v>0</v>
      </c>
      <c r="AJ101" s="23">
        <f t="shared" si="262"/>
        <v>0</v>
      </c>
      <c r="AK101" s="23">
        <f t="shared" si="262"/>
        <v>0</v>
      </c>
      <c r="AL101" s="23">
        <f t="shared" si="262"/>
        <v>0</v>
      </c>
      <c r="AM101" s="23">
        <f t="shared" si="262"/>
        <v>0</v>
      </c>
      <c r="AN101" s="23">
        <f t="shared" si="262"/>
        <v>0</v>
      </c>
      <c r="AO101" s="23">
        <f t="shared" si="262"/>
        <v>0</v>
      </c>
      <c r="AP101" s="23">
        <f t="shared" si="262"/>
        <v>0</v>
      </c>
      <c r="AQ101" s="23">
        <f t="shared" si="262"/>
        <v>0</v>
      </c>
      <c r="AR101" s="23">
        <f t="shared" si="262"/>
        <v>0</v>
      </c>
      <c r="AS101" s="23">
        <f t="shared" si="262"/>
        <v>0</v>
      </c>
      <c r="AT101" s="23">
        <f t="shared" si="262"/>
        <v>0</v>
      </c>
      <c r="AU101" s="23">
        <f t="shared" si="262"/>
        <v>0</v>
      </c>
      <c r="AV101" s="23">
        <f t="shared" si="262"/>
        <v>0</v>
      </c>
      <c r="AW101" s="23">
        <f t="shared" si="262"/>
        <v>0</v>
      </c>
      <c r="AX101" s="23">
        <f t="shared" si="262"/>
        <v>0</v>
      </c>
      <c r="AY101" s="23">
        <f t="shared" si="227"/>
        <v>0</v>
      </c>
      <c r="AZ101" s="23">
        <f t="shared" si="228"/>
        <v>0</v>
      </c>
      <c r="BA101" s="23">
        <f t="shared" si="228"/>
        <v>0</v>
      </c>
      <c r="BB101" s="23">
        <f t="shared" si="227"/>
        <v>0</v>
      </c>
      <c r="BC101" s="23">
        <f t="shared" si="227"/>
        <v>0</v>
      </c>
      <c r="BD101" s="23">
        <f t="shared" si="229"/>
        <v>0</v>
      </c>
      <c r="BE101" s="23">
        <f t="shared" si="229"/>
        <v>0</v>
      </c>
      <c r="BF101" s="23">
        <f t="shared" si="227"/>
        <v>0</v>
      </c>
      <c r="BG101" s="23">
        <f t="shared" si="227"/>
        <v>0</v>
      </c>
      <c r="BH101" s="23">
        <f t="shared" si="227"/>
        <v>0</v>
      </c>
      <c r="BI101" s="23">
        <f t="shared" ref="BI101:BT101" si="263">BI75*$D88</f>
        <v>0</v>
      </c>
      <c r="BJ101" s="23">
        <f t="shared" si="263"/>
        <v>0</v>
      </c>
      <c r="BK101" s="23">
        <f t="shared" si="263"/>
        <v>0</v>
      </c>
      <c r="BL101" s="23">
        <f t="shared" si="263"/>
        <v>0</v>
      </c>
      <c r="BM101" s="23">
        <f t="shared" si="263"/>
        <v>0</v>
      </c>
      <c r="BN101" s="23">
        <f t="shared" si="263"/>
        <v>0</v>
      </c>
      <c r="BO101" s="23">
        <f t="shared" si="263"/>
        <v>0</v>
      </c>
      <c r="BP101" s="23">
        <f t="shared" si="263"/>
        <v>0</v>
      </c>
      <c r="BQ101" s="23">
        <f t="shared" si="263"/>
        <v>0</v>
      </c>
      <c r="BR101" s="23">
        <f t="shared" si="263"/>
        <v>0</v>
      </c>
      <c r="BS101" s="23">
        <f t="shared" si="263"/>
        <v>0</v>
      </c>
      <c r="BT101" s="23">
        <f t="shared" si="263"/>
        <v>0</v>
      </c>
      <c r="BU101" s="23">
        <f t="shared" ref="BU101:CC101" si="264">BU75*$D88</f>
        <v>0</v>
      </c>
      <c r="BV101" s="23">
        <f t="shared" si="264"/>
        <v>0</v>
      </c>
      <c r="BW101" s="23">
        <f t="shared" si="264"/>
        <v>0</v>
      </c>
      <c r="BX101" s="23">
        <f t="shared" si="264"/>
        <v>0</v>
      </c>
      <c r="BY101" s="23">
        <f t="shared" si="264"/>
        <v>0</v>
      </c>
      <c r="BZ101" s="23">
        <f t="shared" si="264"/>
        <v>0</v>
      </c>
      <c r="CA101" s="23">
        <f t="shared" si="264"/>
        <v>0</v>
      </c>
      <c r="CB101" s="23">
        <f t="shared" si="264"/>
        <v>0</v>
      </c>
      <c r="CC101" s="23">
        <f t="shared" si="264"/>
        <v>0</v>
      </c>
      <c r="CD101" s="23">
        <f t="shared" si="232"/>
        <v>0</v>
      </c>
      <c r="CE101" s="23">
        <f t="shared" si="232"/>
        <v>0</v>
      </c>
      <c r="CF101" s="23">
        <f t="shared" si="232"/>
        <v>0</v>
      </c>
      <c r="CG101" s="23">
        <f t="shared" si="233"/>
        <v>0</v>
      </c>
      <c r="CH101" s="23">
        <f t="shared" si="233"/>
        <v>0</v>
      </c>
      <c r="CI101" s="23">
        <f t="shared" si="233"/>
        <v>0</v>
      </c>
      <c r="CJ101" s="23">
        <f t="shared" si="233"/>
        <v>0</v>
      </c>
      <c r="CK101" s="23">
        <f t="shared" si="233"/>
        <v>0</v>
      </c>
      <c r="CL101" s="23">
        <f t="shared" si="233"/>
        <v>0</v>
      </c>
      <c r="CM101" s="23">
        <f t="shared" si="233"/>
        <v>0</v>
      </c>
      <c r="CN101" s="23">
        <f t="shared" si="234"/>
        <v>0</v>
      </c>
      <c r="CO101" s="23">
        <f t="shared" si="234"/>
        <v>0</v>
      </c>
      <c r="CP101" s="23">
        <f t="shared" si="234"/>
        <v>0</v>
      </c>
      <c r="CQ101" s="23">
        <f t="shared" si="234"/>
        <v>0</v>
      </c>
      <c r="CR101" s="23">
        <f t="shared" si="235"/>
        <v>0</v>
      </c>
      <c r="CS101" s="23">
        <f t="shared" si="236"/>
        <v>0</v>
      </c>
      <c r="CT101" s="23">
        <f t="shared" si="236"/>
        <v>0</v>
      </c>
      <c r="CU101" s="23">
        <f t="shared" si="236"/>
        <v>0</v>
      </c>
      <c r="CV101" s="23">
        <f t="shared" si="236"/>
        <v>0</v>
      </c>
      <c r="CW101" s="23">
        <f t="shared" si="236"/>
        <v>0</v>
      </c>
      <c r="CX101" s="23">
        <f t="shared" si="237"/>
        <v>0</v>
      </c>
      <c r="CY101" s="23">
        <f t="shared" si="237"/>
        <v>0</v>
      </c>
      <c r="CZ101" s="23">
        <f t="shared" si="237"/>
        <v>0</v>
      </c>
      <c r="DA101" s="23">
        <f t="shared" si="237"/>
        <v>0</v>
      </c>
      <c r="DB101" s="23">
        <f t="shared" si="237"/>
        <v>0</v>
      </c>
      <c r="DC101" s="23">
        <f t="shared" si="237"/>
        <v>0</v>
      </c>
      <c r="DD101" s="23">
        <f t="shared" ref="DD101:DI101" si="265">DD75*$D88</f>
        <v>0</v>
      </c>
      <c r="DE101" s="23">
        <f t="shared" si="265"/>
        <v>0</v>
      </c>
      <c r="DF101" s="23">
        <f t="shared" si="265"/>
        <v>0</v>
      </c>
      <c r="DG101" s="23"/>
      <c r="DH101" s="23">
        <f t="shared" si="265"/>
        <v>0</v>
      </c>
      <c r="DI101" s="23">
        <f t="shared" si="265"/>
        <v>0</v>
      </c>
      <c r="DJ101" s="23">
        <f t="shared" si="239"/>
        <v>0</v>
      </c>
      <c r="DK101" s="23">
        <f t="shared" si="237"/>
        <v>0</v>
      </c>
      <c r="DL101" s="23">
        <f t="shared" si="237"/>
        <v>0</v>
      </c>
      <c r="DM101" s="23">
        <f t="shared" si="240"/>
        <v>0</v>
      </c>
      <c r="DN101" s="23">
        <f t="shared" si="237"/>
        <v>0</v>
      </c>
      <c r="DO101" s="23">
        <f t="shared" si="237"/>
        <v>0</v>
      </c>
      <c r="DP101" s="23">
        <f t="shared" si="237"/>
        <v>0</v>
      </c>
      <c r="DQ101" s="23">
        <f t="shared" si="241"/>
        <v>0</v>
      </c>
      <c r="DR101" s="23">
        <f t="shared" si="241"/>
        <v>0</v>
      </c>
      <c r="DS101" s="23">
        <f t="shared" si="241"/>
        <v>0</v>
      </c>
      <c r="DT101" s="23">
        <f t="shared" si="242"/>
        <v>0</v>
      </c>
      <c r="DU101" s="23">
        <f t="shared" si="242"/>
        <v>0</v>
      </c>
      <c r="DV101" s="23">
        <f t="shared" si="242"/>
        <v>0</v>
      </c>
      <c r="DW101" s="23">
        <f t="shared" si="243"/>
        <v>0</v>
      </c>
      <c r="DX101" s="23">
        <f t="shared" si="243"/>
        <v>0</v>
      </c>
      <c r="DY101" s="23">
        <f t="shared" si="243"/>
        <v>0</v>
      </c>
      <c r="DZ101" s="23">
        <f t="shared" si="243"/>
        <v>0</v>
      </c>
      <c r="EA101" s="23">
        <f t="shared" si="243"/>
        <v>0</v>
      </c>
      <c r="EB101" s="23">
        <f t="shared" si="243"/>
        <v>0</v>
      </c>
      <c r="EC101" s="23">
        <f t="shared" si="243"/>
        <v>0</v>
      </c>
      <c r="ED101" s="23">
        <f t="shared" si="244"/>
        <v>0</v>
      </c>
    </row>
    <row r="102" spans="1:137" x14ac:dyDescent="0.3">
      <c r="A102" s="21" t="s">
        <v>73</v>
      </c>
      <c r="B102" s="21" t="s">
        <v>71</v>
      </c>
      <c r="D102" s="23">
        <f t="shared" si="212"/>
        <v>0</v>
      </c>
      <c r="E102" s="23">
        <f t="shared" si="213"/>
        <v>0</v>
      </c>
      <c r="F102" s="23">
        <f t="shared" si="213"/>
        <v>0</v>
      </c>
      <c r="G102" s="23">
        <f t="shared" si="213"/>
        <v>0</v>
      </c>
      <c r="H102" s="23">
        <f t="shared" si="213"/>
        <v>0</v>
      </c>
      <c r="I102" s="23">
        <f t="shared" si="213"/>
        <v>0</v>
      </c>
      <c r="J102" s="23">
        <f t="shared" si="214"/>
        <v>0</v>
      </c>
      <c r="K102" s="23">
        <f t="shared" si="215"/>
        <v>0</v>
      </c>
      <c r="L102" s="23">
        <f t="shared" si="216"/>
        <v>0</v>
      </c>
      <c r="M102" s="23">
        <f t="shared" si="216"/>
        <v>0</v>
      </c>
      <c r="N102" s="23">
        <f t="shared" si="217"/>
        <v>0</v>
      </c>
      <c r="O102" s="23">
        <f t="shared" si="217"/>
        <v>0</v>
      </c>
      <c r="P102" s="23">
        <f t="shared" si="218"/>
        <v>0</v>
      </c>
      <c r="Q102" s="23">
        <f t="shared" si="218"/>
        <v>0</v>
      </c>
      <c r="R102" s="23">
        <f t="shared" si="218"/>
        <v>0</v>
      </c>
      <c r="S102" s="23">
        <f t="shared" si="218"/>
        <v>0</v>
      </c>
      <c r="T102" s="23">
        <f t="shared" si="219"/>
        <v>0</v>
      </c>
      <c r="U102" s="23">
        <f t="shared" si="219"/>
        <v>0</v>
      </c>
      <c r="V102" s="23">
        <f t="shared" si="219"/>
        <v>0</v>
      </c>
      <c r="W102" s="23">
        <f t="shared" si="220"/>
        <v>0</v>
      </c>
      <c r="X102" s="23">
        <f t="shared" si="221"/>
        <v>0</v>
      </c>
      <c r="Y102" s="23">
        <f t="shared" si="221"/>
        <v>0</v>
      </c>
      <c r="Z102" s="23">
        <f t="shared" si="221"/>
        <v>0</v>
      </c>
      <c r="AA102" s="23">
        <f t="shared" si="221"/>
        <v>0</v>
      </c>
      <c r="AB102" s="23">
        <f t="shared" ref="AB102:AC102" si="266">AB76*$D89</f>
        <v>0</v>
      </c>
      <c r="AC102" s="23">
        <f t="shared" si="266"/>
        <v>0</v>
      </c>
      <c r="AD102" s="23">
        <f t="shared" ref="AD102" si="267">AD76*$D89</f>
        <v>0</v>
      </c>
      <c r="AE102" s="23">
        <f t="shared" ref="AE102" si="268">AE76*$D89</f>
        <v>0</v>
      </c>
      <c r="AF102" s="23">
        <f t="shared" si="225"/>
        <v>0</v>
      </c>
      <c r="AG102" s="23">
        <f t="shared" ref="AG102:AX102" si="269">AG76*$D89</f>
        <v>0</v>
      </c>
      <c r="AH102" s="23">
        <f t="shared" si="269"/>
        <v>0</v>
      </c>
      <c r="AI102" s="23">
        <f t="shared" si="269"/>
        <v>0</v>
      </c>
      <c r="AJ102" s="23">
        <f t="shared" si="269"/>
        <v>0</v>
      </c>
      <c r="AK102" s="23">
        <f t="shared" si="269"/>
        <v>0</v>
      </c>
      <c r="AL102" s="23">
        <f t="shared" si="269"/>
        <v>0</v>
      </c>
      <c r="AM102" s="23">
        <f t="shared" si="269"/>
        <v>0</v>
      </c>
      <c r="AN102" s="23">
        <f t="shared" si="269"/>
        <v>0</v>
      </c>
      <c r="AO102" s="23">
        <f t="shared" si="269"/>
        <v>0</v>
      </c>
      <c r="AP102" s="23">
        <f t="shared" si="269"/>
        <v>0</v>
      </c>
      <c r="AQ102" s="23">
        <f t="shared" si="269"/>
        <v>0</v>
      </c>
      <c r="AR102" s="23">
        <f t="shared" si="269"/>
        <v>0</v>
      </c>
      <c r="AS102" s="23">
        <f t="shared" si="269"/>
        <v>0</v>
      </c>
      <c r="AT102" s="23">
        <f t="shared" si="269"/>
        <v>0</v>
      </c>
      <c r="AU102" s="23">
        <f t="shared" si="269"/>
        <v>0</v>
      </c>
      <c r="AV102" s="23">
        <f t="shared" si="269"/>
        <v>0</v>
      </c>
      <c r="AW102" s="23">
        <f t="shared" si="269"/>
        <v>0</v>
      </c>
      <c r="AX102" s="23">
        <f t="shared" si="269"/>
        <v>0</v>
      </c>
      <c r="AY102" s="23">
        <f t="shared" si="227"/>
        <v>0</v>
      </c>
      <c r="AZ102" s="23">
        <f t="shared" si="228"/>
        <v>0</v>
      </c>
      <c r="BA102" s="23">
        <f t="shared" si="228"/>
        <v>0</v>
      </c>
      <c r="BB102" s="23">
        <f t="shared" si="227"/>
        <v>0</v>
      </c>
      <c r="BC102" s="23">
        <f t="shared" si="227"/>
        <v>0</v>
      </c>
      <c r="BD102" s="23">
        <f t="shared" si="229"/>
        <v>0</v>
      </c>
      <c r="BE102" s="23">
        <f t="shared" si="229"/>
        <v>0</v>
      </c>
      <c r="BF102" s="23">
        <f t="shared" si="227"/>
        <v>0</v>
      </c>
      <c r="BG102" s="23">
        <f t="shared" si="227"/>
        <v>0</v>
      </c>
      <c r="BH102" s="23">
        <f t="shared" si="227"/>
        <v>0</v>
      </c>
      <c r="BI102" s="23">
        <f t="shared" ref="BI102:BT102" si="270">BI76*$D89</f>
        <v>0</v>
      </c>
      <c r="BJ102" s="23">
        <f t="shared" si="270"/>
        <v>0</v>
      </c>
      <c r="BK102" s="23">
        <f t="shared" si="270"/>
        <v>0</v>
      </c>
      <c r="BL102" s="23">
        <f t="shared" si="270"/>
        <v>0</v>
      </c>
      <c r="BM102" s="23">
        <f t="shared" si="270"/>
        <v>0</v>
      </c>
      <c r="BN102" s="23">
        <f t="shared" si="270"/>
        <v>0</v>
      </c>
      <c r="BO102" s="23">
        <f t="shared" si="270"/>
        <v>0</v>
      </c>
      <c r="BP102" s="23">
        <f t="shared" si="270"/>
        <v>0</v>
      </c>
      <c r="BQ102" s="23">
        <f t="shared" si="270"/>
        <v>0</v>
      </c>
      <c r="BR102" s="23">
        <f t="shared" si="270"/>
        <v>0</v>
      </c>
      <c r="BS102" s="23">
        <f t="shared" si="270"/>
        <v>0</v>
      </c>
      <c r="BT102" s="23">
        <f t="shared" si="270"/>
        <v>0</v>
      </c>
      <c r="BU102" s="23">
        <f t="shared" ref="BU102:CC102" si="271">BU76*$D89</f>
        <v>0</v>
      </c>
      <c r="BV102" s="23">
        <f t="shared" si="271"/>
        <v>0</v>
      </c>
      <c r="BW102" s="23">
        <f t="shared" si="271"/>
        <v>0</v>
      </c>
      <c r="BX102" s="23">
        <f t="shared" si="271"/>
        <v>0</v>
      </c>
      <c r="BY102" s="23">
        <f t="shared" si="271"/>
        <v>0</v>
      </c>
      <c r="BZ102" s="23">
        <f t="shared" si="271"/>
        <v>0</v>
      </c>
      <c r="CA102" s="23">
        <f t="shared" si="271"/>
        <v>0</v>
      </c>
      <c r="CB102" s="23">
        <f t="shared" si="271"/>
        <v>0</v>
      </c>
      <c r="CC102" s="23">
        <f t="shared" si="271"/>
        <v>0</v>
      </c>
      <c r="CD102" s="23">
        <f t="shared" si="232"/>
        <v>0</v>
      </c>
      <c r="CE102" s="23">
        <f t="shared" si="232"/>
        <v>0</v>
      </c>
      <c r="CF102" s="23">
        <f t="shared" si="232"/>
        <v>0</v>
      </c>
      <c r="CG102" s="23">
        <f t="shared" si="233"/>
        <v>0</v>
      </c>
      <c r="CH102" s="23">
        <f t="shared" si="233"/>
        <v>0</v>
      </c>
      <c r="CI102" s="23">
        <f t="shared" si="233"/>
        <v>0</v>
      </c>
      <c r="CJ102" s="23">
        <f t="shared" si="233"/>
        <v>0</v>
      </c>
      <c r="CK102" s="23">
        <f t="shared" si="233"/>
        <v>0</v>
      </c>
      <c r="CL102" s="23">
        <f t="shared" si="233"/>
        <v>0</v>
      </c>
      <c r="CM102" s="23">
        <f t="shared" si="233"/>
        <v>0</v>
      </c>
      <c r="CN102" s="23">
        <f t="shared" si="234"/>
        <v>0</v>
      </c>
      <c r="CO102" s="23">
        <f t="shared" si="234"/>
        <v>0</v>
      </c>
      <c r="CP102" s="23">
        <f t="shared" si="234"/>
        <v>0</v>
      </c>
      <c r="CQ102" s="23">
        <f t="shared" si="234"/>
        <v>0</v>
      </c>
      <c r="CR102" s="23">
        <f t="shared" si="235"/>
        <v>0</v>
      </c>
      <c r="CS102" s="23">
        <f t="shared" si="236"/>
        <v>0</v>
      </c>
      <c r="CT102" s="23">
        <f t="shared" si="236"/>
        <v>0</v>
      </c>
      <c r="CU102" s="23">
        <f t="shared" si="236"/>
        <v>0</v>
      </c>
      <c r="CV102" s="23">
        <f t="shared" si="236"/>
        <v>0</v>
      </c>
      <c r="CW102" s="23">
        <f t="shared" si="236"/>
        <v>0</v>
      </c>
      <c r="CX102" s="23">
        <f t="shared" si="237"/>
        <v>0</v>
      </c>
      <c r="CY102" s="23">
        <f t="shared" si="237"/>
        <v>0</v>
      </c>
      <c r="CZ102" s="23">
        <f t="shared" si="237"/>
        <v>0</v>
      </c>
      <c r="DA102" s="23">
        <f t="shared" si="237"/>
        <v>0</v>
      </c>
      <c r="DB102" s="23">
        <f t="shared" si="237"/>
        <v>0</v>
      </c>
      <c r="DC102" s="23">
        <f t="shared" si="237"/>
        <v>0</v>
      </c>
      <c r="DD102" s="23">
        <f t="shared" ref="DD102:DI102" si="272">DD76*$D89</f>
        <v>0</v>
      </c>
      <c r="DE102" s="23">
        <f t="shared" si="272"/>
        <v>0</v>
      </c>
      <c r="DF102" s="23">
        <f t="shared" si="272"/>
        <v>0</v>
      </c>
      <c r="DG102" s="23"/>
      <c r="DH102" s="23">
        <f t="shared" si="272"/>
        <v>0</v>
      </c>
      <c r="DI102" s="23">
        <f t="shared" si="272"/>
        <v>0</v>
      </c>
      <c r="DJ102" s="23">
        <f t="shared" si="239"/>
        <v>0</v>
      </c>
      <c r="DK102" s="23">
        <f t="shared" si="237"/>
        <v>0</v>
      </c>
      <c r="DL102" s="23">
        <f t="shared" si="237"/>
        <v>0</v>
      </c>
      <c r="DM102" s="23">
        <f t="shared" si="240"/>
        <v>0</v>
      </c>
      <c r="DN102" s="23">
        <f t="shared" si="237"/>
        <v>0</v>
      </c>
      <c r="DO102" s="23">
        <f t="shared" si="237"/>
        <v>0</v>
      </c>
      <c r="DP102" s="23">
        <f t="shared" si="237"/>
        <v>0</v>
      </c>
      <c r="DQ102" s="23">
        <f t="shared" si="241"/>
        <v>0</v>
      </c>
      <c r="DR102" s="23">
        <f t="shared" si="241"/>
        <v>0</v>
      </c>
      <c r="DS102" s="23">
        <f t="shared" si="241"/>
        <v>0</v>
      </c>
      <c r="DT102" s="23">
        <f t="shared" si="242"/>
        <v>0</v>
      </c>
      <c r="DU102" s="23">
        <f t="shared" si="242"/>
        <v>0</v>
      </c>
      <c r="DV102" s="23">
        <f t="shared" si="242"/>
        <v>0</v>
      </c>
      <c r="DW102" s="23">
        <f t="shared" si="243"/>
        <v>0</v>
      </c>
      <c r="DX102" s="23">
        <f t="shared" si="243"/>
        <v>0</v>
      </c>
      <c r="DY102" s="23">
        <f t="shared" si="243"/>
        <v>0</v>
      </c>
      <c r="DZ102" s="23">
        <f t="shared" si="243"/>
        <v>0</v>
      </c>
      <c r="EA102" s="23">
        <f t="shared" si="243"/>
        <v>0</v>
      </c>
      <c r="EB102" s="23">
        <f t="shared" si="243"/>
        <v>0</v>
      </c>
      <c r="EC102" s="23">
        <f t="shared" si="243"/>
        <v>0</v>
      </c>
      <c r="ED102" s="23">
        <f t="shared" si="244"/>
        <v>0</v>
      </c>
    </row>
    <row r="103" spans="1:137" x14ac:dyDescent="0.3">
      <c r="A103" s="21" t="str">
        <f>A102</f>
        <v xml:space="preserve">   Heavy truck</v>
      </c>
      <c r="B103" s="21" t="s">
        <v>70</v>
      </c>
      <c r="D103" s="23">
        <f t="shared" si="212"/>
        <v>0</v>
      </c>
      <c r="E103" s="23">
        <f t="shared" si="213"/>
        <v>0</v>
      </c>
      <c r="F103" s="23">
        <f t="shared" si="213"/>
        <v>0</v>
      </c>
      <c r="G103" s="23">
        <f t="shared" si="213"/>
        <v>0</v>
      </c>
      <c r="H103" s="23">
        <f t="shared" si="213"/>
        <v>0</v>
      </c>
      <c r="I103" s="23">
        <f t="shared" si="213"/>
        <v>0</v>
      </c>
      <c r="J103" s="23">
        <f t="shared" si="214"/>
        <v>0</v>
      </c>
      <c r="K103" s="23">
        <f t="shared" si="215"/>
        <v>0</v>
      </c>
      <c r="L103" s="23">
        <f t="shared" si="216"/>
        <v>0</v>
      </c>
      <c r="M103" s="23">
        <f t="shared" si="216"/>
        <v>0</v>
      </c>
      <c r="N103" s="23">
        <f t="shared" si="217"/>
        <v>0</v>
      </c>
      <c r="O103" s="23">
        <f t="shared" si="217"/>
        <v>0</v>
      </c>
      <c r="P103" s="23">
        <f t="shared" si="218"/>
        <v>0</v>
      </c>
      <c r="Q103" s="23">
        <f t="shared" si="218"/>
        <v>0</v>
      </c>
      <c r="R103" s="23">
        <f t="shared" si="218"/>
        <v>0</v>
      </c>
      <c r="S103" s="23">
        <f t="shared" si="218"/>
        <v>0</v>
      </c>
      <c r="T103" s="23">
        <f t="shared" si="219"/>
        <v>0</v>
      </c>
      <c r="U103" s="23">
        <f t="shared" si="219"/>
        <v>0</v>
      </c>
      <c r="V103" s="23">
        <f t="shared" si="219"/>
        <v>0</v>
      </c>
      <c r="W103" s="23">
        <f t="shared" si="220"/>
        <v>0</v>
      </c>
      <c r="X103" s="23">
        <f t="shared" si="221"/>
        <v>0</v>
      </c>
      <c r="Y103" s="23">
        <f t="shared" si="221"/>
        <v>0</v>
      </c>
      <c r="Z103" s="23">
        <f t="shared" si="221"/>
        <v>0</v>
      </c>
      <c r="AA103" s="23">
        <f t="shared" si="221"/>
        <v>0</v>
      </c>
      <c r="AB103" s="23">
        <f t="shared" ref="AB103:AC103" si="273">AB77*$D90</f>
        <v>0</v>
      </c>
      <c r="AC103" s="23">
        <f t="shared" si="273"/>
        <v>0</v>
      </c>
      <c r="AD103" s="23">
        <f t="shared" ref="AD103" si="274">AD77*$D90</f>
        <v>0</v>
      </c>
      <c r="AE103" s="23">
        <f t="shared" ref="AE103" si="275">AE77*$D90</f>
        <v>0</v>
      </c>
      <c r="AF103" s="23">
        <f t="shared" si="225"/>
        <v>0</v>
      </c>
      <c r="AG103" s="23">
        <f t="shared" ref="AG103:AX103" si="276">AG77*$D90</f>
        <v>0</v>
      </c>
      <c r="AH103" s="23">
        <f t="shared" si="276"/>
        <v>0</v>
      </c>
      <c r="AI103" s="23">
        <f t="shared" si="276"/>
        <v>0</v>
      </c>
      <c r="AJ103" s="23">
        <f t="shared" si="276"/>
        <v>0</v>
      </c>
      <c r="AK103" s="23">
        <f t="shared" si="276"/>
        <v>0</v>
      </c>
      <c r="AL103" s="23">
        <f t="shared" si="276"/>
        <v>0</v>
      </c>
      <c r="AM103" s="23">
        <f t="shared" si="276"/>
        <v>0</v>
      </c>
      <c r="AN103" s="23">
        <f t="shared" si="276"/>
        <v>0</v>
      </c>
      <c r="AO103" s="23">
        <f t="shared" si="276"/>
        <v>81966.853681443492</v>
      </c>
      <c r="AP103" s="23">
        <f t="shared" si="276"/>
        <v>87583.593747622377</v>
      </c>
      <c r="AQ103" s="23">
        <f t="shared" si="276"/>
        <v>97023.770620904426</v>
      </c>
      <c r="AR103" s="23">
        <f t="shared" si="276"/>
        <v>99477.967105988675</v>
      </c>
      <c r="AS103" s="23">
        <f t="shared" si="276"/>
        <v>99477.967105988675</v>
      </c>
      <c r="AT103" s="23">
        <f t="shared" si="276"/>
        <v>99477.967105988675</v>
      </c>
      <c r="AU103" s="23">
        <f t="shared" si="276"/>
        <v>99477.967105988675</v>
      </c>
      <c r="AV103" s="23">
        <f t="shared" si="276"/>
        <v>93708.17875142461</v>
      </c>
      <c r="AW103" s="23">
        <f t="shared" si="276"/>
        <v>105247.75546055273</v>
      </c>
      <c r="AX103" s="23">
        <f t="shared" si="276"/>
        <v>99477.967105988675</v>
      </c>
      <c r="AY103" s="23">
        <f t="shared" si="227"/>
        <v>92912.415841728842</v>
      </c>
      <c r="AZ103" s="23">
        <f t="shared" si="228"/>
        <v>92912.415841728842</v>
      </c>
      <c r="BA103" s="23">
        <f t="shared" si="228"/>
        <v>92912.415841728842</v>
      </c>
      <c r="BB103" s="23">
        <f t="shared" si="227"/>
        <v>92912.415841728842</v>
      </c>
      <c r="BC103" s="23">
        <f t="shared" si="227"/>
        <v>81966.853681443492</v>
      </c>
      <c r="BD103" s="23">
        <f t="shared" si="229"/>
        <v>81966.853681443492</v>
      </c>
      <c r="BE103" s="23">
        <f t="shared" si="229"/>
        <v>81966.853681443492</v>
      </c>
      <c r="BF103" s="23">
        <f t="shared" si="227"/>
        <v>81966.853681443492</v>
      </c>
      <c r="BG103" s="23">
        <f t="shared" si="227"/>
        <v>81966.853681443492</v>
      </c>
      <c r="BH103" s="23">
        <f t="shared" si="227"/>
        <v>81966.853681443492</v>
      </c>
      <c r="BI103" s="23">
        <f t="shared" ref="BI103:BT103" si="277">BI77*$D90</f>
        <v>81966.853681443492</v>
      </c>
      <c r="BJ103" s="23">
        <f t="shared" si="277"/>
        <v>87583.593747622377</v>
      </c>
      <c r="BK103" s="23">
        <f t="shared" si="277"/>
        <v>97023.770620904426</v>
      </c>
      <c r="BL103" s="23">
        <f t="shared" si="277"/>
        <v>103324.49267569806</v>
      </c>
      <c r="BM103" s="23">
        <f t="shared" si="277"/>
        <v>103324.49267569806</v>
      </c>
      <c r="BN103" s="23">
        <f t="shared" si="277"/>
        <v>103324.49267569806</v>
      </c>
      <c r="BO103" s="23">
        <f t="shared" si="277"/>
        <v>103324.49267569806</v>
      </c>
      <c r="BP103" s="23">
        <f t="shared" si="277"/>
        <v>103324.49267569806</v>
      </c>
      <c r="BQ103" s="23">
        <f t="shared" si="277"/>
        <v>103324.49267569806</v>
      </c>
      <c r="BR103" s="23">
        <f t="shared" si="277"/>
        <v>96593.072928706664</v>
      </c>
      <c r="BS103" s="23">
        <f t="shared" si="277"/>
        <v>110055.91242268948</v>
      </c>
      <c r="BT103" s="23">
        <f t="shared" si="277"/>
        <v>103324.49267569806</v>
      </c>
      <c r="BU103" s="23">
        <f t="shared" ref="BU103:CC103" si="278">BU77*$D90</f>
        <v>130250.1716636637</v>
      </c>
      <c r="BV103" s="23">
        <f t="shared" si="278"/>
        <v>130250.1716636637</v>
      </c>
      <c r="BW103" s="23">
        <f t="shared" si="278"/>
        <v>130250.1716636637</v>
      </c>
      <c r="BX103" s="23">
        <f t="shared" si="278"/>
        <v>130250.1716636637</v>
      </c>
      <c r="BY103" s="23">
        <f t="shared" si="278"/>
        <v>130250.1716636637</v>
      </c>
      <c r="BZ103" s="23">
        <f t="shared" si="278"/>
        <v>130250.1716636637</v>
      </c>
      <c r="CA103" s="23">
        <f t="shared" si="278"/>
        <v>116787.33216968087</v>
      </c>
      <c r="CB103" s="23">
        <f t="shared" si="278"/>
        <v>143713.01115764648</v>
      </c>
      <c r="CC103" s="23">
        <f t="shared" si="278"/>
        <v>130250.1716636637</v>
      </c>
      <c r="CD103" s="23">
        <f t="shared" si="232"/>
        <v>92912.415841728842</v>
      </c>
      <c r="CE103" s="23">
        <f t="shared" si="232"/>
        <v>92912.415841728842</v>
      </c>
      <c r="CF103" s="23">
        <f t="shared" si="232"/>
        <v>92912.415841728842</v>
      </c>
      <c r="CG103" s="23">
        <f t="shared" si="233"/>
        <v>92912.415841728842</v>
      </c>
      <c r="CH103" s="23">
        <f t="shared" si="233"/>
        <v>81966.853681443492</v>
      </c>
      <c r="CI103" s="23">
        <f t="shared" si="233"/>
        <v>87583.593747622377</v>
      </c>
      <c r="CJ103" s="23">
        <f t="shared" si="233"/>
        <v>97023.770620904426</v>
      </c>
      <c r="CK103" s="23">
        <f>CK77*$D90</f>
        <v>103324.49267569806</v>
      </c>
      <c r="CL103" s="23">
        <f>CL77*$D90</f>
        <v>130250.1716636637</v>
      </c>
      <c r="CM103" s="23">
        <f>CM77*$D90</f>
        <v>92912.415841728842</v>
      </c>
      <c r="CN103" s="23">
        <f t="shared" si="234"/>
        <v>104136.29200231581</v>
      </c>
      <c r="CO103" s="23">
        <f t="shared" si="234"/>
        <v>111008.41021126282</v>
      </c>
      <c r="CP103" s="23">
        <f t="shared" si="234"/>
        <v>121236.94618989631</v>
      </c>
      <c r="CQ103" s="23">
        <f t="shared" si="234"/>
        <v>120588.84215377012</v>
      </c>
      <c r="CR103" s="23">
        <f t="shared" si="235"/>
        <v>118473.34028191556</v>
      </c>
      <c r="CS103" s="23">
        <f t="shared" si="236"/>
        <v>104136.29200231581</v>
      </c>
      <c r="CT103" s="23">
        <f t="shared" si="236"/>
        <v>111008.41021126282</v>
      </c>
      <c r="CU103" s="23">
        <f t="shared" si="236"/>
        <v>121236.94618989631</v>
      </c>
      <c r="CV103" s="23">
        <f t="shared" si="236"/>
        <v>124435.36772347947</v>
      </c>
      <c r="CW103" s="23">
        <f t="shared" si="236"/>
        <v>151361.04671144515</v>
      </c>
      <c r="CX103" s="23">
        <f t="shared" si="237"/>
        <v>118473.34028191556</v>
      </c>
      <c r="CY103" s="23">
        <f t="shared" si="237"/>
        <v>104136.29200231581</v>
      </c>
      <c r="CZ103" s="23">
        <f t="shared" si="237"/>
        <v>111008.41021126282</v>
      </c>
      <c r="DA103" s="23">
        <f t="shared" si="237"/>
        <v>121236.94618989631</v>
      </c>
      <c r="DB103" s="23">
        <f>DB77*$D90</f>
        <v>124435.36772347947</v>
      </c>
      <c r="DC103" s="23">
        <f>DC77*$D90</f>
        <v>151361.04671144515</v>
      </c>
      <c r="DD103" s="23">
        <f>DD77*$D90</f>
        <v>118473.34028191556</v>
      </c>
      <c r="DE103" s="23">
        <f>DE77*$D90</f>
        <v>194983.42356620438</v>
      </c>
      <c r="DF103" s="23">
        <f>DF77*$D90</f>
        <v>200271.72710025939</v>
      </c>
      <c r="DG103" s="23"/>
      <c r="DH103" s="23">
        <f>DH77*$D90</f>
        <v>260262.53089864721</v>
      </c>
      <c r="DI103" s="23">
        <f>DI77*$D90</f>
        <v>317960.41444428783</v>
      </c>
      <c r="DJ103" s="23">
        <f t="shared" si="239"/>
        <v>226421.55672846935</v>
      </c>
      <c r="DK103" s="23">
        <f t="shared" si="237"/>
        <v>570437.55802168266</v>
      </c>
      <c r="DL103" s="23">
        <f t="shared" si="237"/>
        <v>570437.55802168266</v>
      </c>
      <c r="DM103" s="23">
        <f t="shared" si="240"/>
        <v>570437.55802168266</v>
      </c>
      <c r="DN103" s="23">
        <f t="shared" si="237"/>
        <v>570437.55802168266</v>
      </c>
      <c r="DO103" s="23">
        <f t="shared" si="237"/>
        <v>570437.55802168266</v>
      </c>
      <c r="DP103" s="23">
        <f t="shared" si="237"/>
        <v>570437.55802168266</v>
      </c>
      <c r="DQ103" s="23">
        <f t="shared" si="241"/>
        <v>570437.55802168266</v>
      </c>
      <c r="DR103" s="23">
        <f t="shared" si="241"/>
        <v>570686.76841599692</v>
      </c>
      <c r="DS103" s="23">
        <f t="shared" si="241"/>
        <v>944373.72202277929</v>
      </c>
      <c r="DT103" s="23">
        <f t="shared" si="242"/>
        <v>944373.72202277929</v>
      </c>
      <c r="DU103" s="23">
        <f t="shared" si="242"/>
        <v>790555.39246897283</v>
      </c>
      <c r="DV103" s="23">
        <f t="shared" si="242"/>
        <v>674057.77905460156</v>
      </c>
      <c r="DW103" s="23">
        <f t="shared" si="243"/>
        <v>674057.77905460156</v>
      </c>
      <c r="DX103" s="23">
        <f t="shared" si="243"/>
        <v>0</v>
      </c>
      <c r="DY103" s="23">
        <f t="shared" si="243"/>
        <v>0</v>
      </c>
      <c r="DZ103" s="23">
        <f t="shared" si="243"/>
        <v>0</v>
      </c>
      <c r="EA103" s="23">
        <f t="shared" si="243"/>
        <v>0</v>
      </c>
      <c r="EB103" s="23">
        <f t="shared" si="243"/>
        <v>0</v>
      </c>
      <c r="EC103" s="23">
        <f t="shared" si="243"/>
        <v>0</v>
      </c>
      <c r="ED103" s="23">
        <f t="shared" si="244"/>
        <v>0</v>
      </c>
    </row>
    <row r="104" spans="1:137" x14ac:dyDescent="0.3">
      <c r="A104" s="21" t="s">
        <v>72</v>
      </c>
      <c r="B104" s="21" t="s">
        <v>71</v>
      </c>
      <c r="D104" s="23">
        <f t="shared" si="212"/>
        <v>7848.634488338681</v>
      </c>
      <c r="E104" s="23">
        <f t="shared" si="213"/>
        <v>7848.634488338681</v>
      </c>
      <c r="F104" s="23">
        <f t="shared" si="213"/>
        <v>7848.634488338681</v>
      </c>
      <c r="G104" s="23">
        <f t="shared" si="213"/>
        <v>7848.634488338681</v>
      </c>
      <c r="H104" s="23">
        <f t="shared" si="213"/>
        <v>7848.634488338681</v>
      </c>
      <c r="I104" s="23">
        <f t="shared" si="213"/>
        <v>7848.634488338681</v>
      </c>
      <c r="J104" s="23">
        <f t="shared" si="214"/>
        <v>7848.634488338681</v>
      </c>
      <c r="K104" s="23">
        <f t="shared" si="215"/>
        <v>7848.634488338681</v>
      </c>
      <c r="L104" s="23">
        <f t="shared" si="216"/>
        <v>7848.634488338681</v>
      </c>
      <c r="M104" s="23">
        <f t="shared" si="216"/>
        <v>7848.634488338681</v>
      </c>
      <c r="N104" s="23">
        <f t="shared" si="217"/>
        <v>7848.634488338681</v>
      </c>
      <c r="O104" s="23">
        <f t="shared" si="217"/>
        <v>7848.634488338681</v>
      </c>
      <c r="P104" s="23">
        <f t="shared" si="218"/>
        <v>7848.634488338681</v>
      </c>
      <c r="Q104" s="23">
        <f t="shared" si="218"/>
        <v>7848.634488338681</v>
      </c>
      <c r="R104" s="23">
        <f t="shared" si="218"/>
        <v>7848.634488338681</v>
      </c>
      <c r="S104" s="23">
        <f t="shared" si="218"/>
        <v>7848.634488338681</v>
      </c>
      <c r="T104" s="23">
        <f t="shared" si="219"/>
        <v>7848.634488338681</v>
      </c>
      <c r="U104" s="23">
        <f t="shared" si="219"/>
        <v>7848.634488338681</v>
      </c>
      <c r="V104" s="23">
        <f t="shared" si="219"/>
        <v>7848.634488338681</v>
      </c>
      <c r="W104" s="23">
        <f t="shared" si="220"/>
        <v>7848.634488338681</v>
      </c>
      <c r="X104" s="23">
        <f t="shared" si="221"/>
        <v>15146.111967015733</v>
      </c>
      <c r="Y104" s="23">
        <f t="shared" si="221"/>
        <v>15146.111967015733</v>
      </c>
      <c r="Z104" s="23">
        <f t="shared" si="221"/>
        <v>15146.111967015733</v>
      </c>
      <c r="AA104" s="23">
        <f t="shared" si="221"/>
        <v>15146.111967015733</v>
      </c>
      <c r="AB104" s="23">
        <f t="shared" ref="AB104:AC104" si="279">AB78*$D91</f>
        <v>15146.111967015733</v>
      </c>
      <c r="AC104" s="23">
        <f t="shared" si="279"/>
        <v>15146.111967015733</v>
      </c>
      <c r="AD104" s="23">
        <f t="shared" ref="AD104" si="280">AD78*$D91</f>
        <v>15146.111967015733</v>
      </c>
      <c r="AE104" s="23">
        <f t="shared" ref="AE104" si="281">AE78*$D91</f>
        <v>15146.111967015733</v>
      </c>
      <c r="AF104" s="23">
        <f t="shared" si="225"/>
        <v>7848.634488338681</v>
      </c>
      <c r="AG104" s="23">
        <f t="shared" ref="AG104:AX104" si="282">AG78*$D91</f>
        <v>10468.595956123949</v>
      </c>
      <c r="AH104" s="23">
        <f t="shared" si="282"/>
        <v>14061.255465963193</v>
      </c>
      <c r="AI104" s="23">
        <f t="shared" si="282"/>
        <v>14061.255465963193</v>
      </c>
      <c r="AJ104" s="23">
        <f t="shared" si="282"/>
        <v>16618.923796152561</v>
      </c>
      <c r="AK104" s="23">
        <f t="shared" si="282"/>
        <v>42158.37953736206</v>
      </c>
      <c r="AL104" s="23">
        <f t="shared" si="282"/>
        <v>41253.833478804823</v>
      </c>
      <c r="AM104" s="23">
        <f t="shared" si="282"/>
        <v>42158.37953736206</v>
      </c>
      <c r="AN104" s="23">
        <f t="shared" si="282"/>
        <v>45341.822613523444</v>
      </c>
      <c r="AO104" s="23">
        <f t="shared" si="282"/>
        <v>0</v>
      </c>
      <c r="AP104" s="23">
        <f t="shared" si="282"/>
        <v>0</v>
      </c>
      <c r="AQ104" s="23">
        <f t="shared" si="282"/>
        <v>0</v>
      </c>
      <c r="AR104" s="23">
        <f t="shared" si="282"/>
        <v>0</v>
      </c>
      <c r="AS104" s="23">
        <f t="shared" si="282"/>
        <v>0</v>
      </c>
      <c r="AT104" s="23">
        <f t="shared" si="282"/>
        <v>0</v>
      </c>
      <c r="AU104" s="23">
        <f t="shared" si="282"/>
        <v>0</v>
      </c>
      <c r="AV104" s="23">
        <f t="shared" si="282"/>
        <v>0</v>
      </c>
      <c r="AW104" s="23">
        <f t="shared" si="282"/>
        <v>0</v>
      </c>
      <c r="AX104" s="23">
        <f t="shared" si="282"/>
        <v>0</v>
      </c>
      <c r="AY104" s="23">
        <f t="shared" si="227"/>
        <v>0</v>
      </c>
      <c r="AZ104" s="23">
        <f t="shared" si="228"/>
        <v>0</v>
      </c>
      <c r="BA104" s="23">
        <f t="shared" si="228"/>
        <v>0</v>
      </c>
      <c r="BB104" s="23">
        <f t="shared" si="227"/>
        <v>0</v>
      </c>
      <c r="BC104" s="23">
        <f t="shared" si="227"/>
        <v>0</v>
      </c>
      <c r="BD104" s="23">
        <f t="shared" si="229"/>
        <v>0</v>
      </c>
      <c r="BE104" s="23">
        <f t="shared" si="229"/>
        <v>0</v>
      </c>
      <c r="BF104" s="23">
        <f t="shared" si="227"/>
        <v>0</v>
      </c>
      <c r="BG104" s="23">
        <f t="shared" si="227"/>
        <v>0</v>
      </c>
      <c r="BH104" s="23">
        <f t="shared" si="227"/>
        <v>0</v>
      </c>
      <c r="BI104" s="23">
        <f t="shared" ref="BI104:BT104" si="283">BI78*$D91</f>
        <v>0</v>
      </c>
      <c r="BJ104" s="23">
        <f t="shared" si="283"/>
        <v>0</v>
      </c>
      <c r="BK104" s="23">
        <f t="shared" si="283"/>
        <v>0</v>
      </c>
      <c r="BL104" s="23">
        <f t="shared" si="283"/>
        <v>0</v>
      </c>
      <c r="BM104" s="23">
        <f t="shared" si="283"/>
        <v>0</v>
      </c>
      <c r="BN104" s="23">
        <f t="shared" si="283"/>
        <v>0</v>
      </c>
      <c r="BO104" s="23">
        <f t="shared" si="283"/>
        <v>0</v>
      </c>
      <c r="BP104" s="23">
        <f t="shared" si="283"/>
        <v>0</v>
      </c>
      <c r="BQ104" s="23">
        <f t="shared" si="283"/>
        <v>0</v>
      </c>
      <c r="BR104" s="23">
        <f t="shared" si="283"/>
        <v>0</v>
      </c>
      <c r="BS104" s="23">
        <f t="shared" si="283"/>
        <v>0</v>
      </c>
      <c r="BT104" s="23">
        <f t="shared" si="283"/>
        <v>0</v>
      </c>
      <c r="BU104" s="23">
        <f t="shared" ref="BU104:CC104" si="284">BU78*$D91</f>
        <v>0</v>
      </c>
      <c r="BV104" s="23">
        <f t="shared" si="284"/>
        <v>0</v>
      </c>
      <c r="BW104" s="23">
        <f t="shared" si="284"/>
        <v>0</v>
      </c>
      <c r="BX104" s="23">
        <f t="shared" si="284"/>
        <v>0</v>
      </c>
      <c r="BY104" s="23">
        <f t="shared" si="284"/>
        <v>0</v>
      </c>
      <c r="BZ104" s="23">
        <f t="shared" si="284"/>
        <v>0</v>
      </c>
      <c r="CA104" s="23">
        <f t="shared" si="284"/>
        <v>0</v>
      </c>
      <c r="CB104" s="23">
        <f t="shared" si="284"/>
        <v>0</v>
      </c>
      <c r="CC104" s="23">
        <f t="shared" si="284"/>
        <v>0</v>
      </c>
      <c r="CD104" s="23">
        <f t="shared" si="232"/>
        <v>0</v>
      </c>
      <c r="CE104" s="23">
        <f t="shared" si="232"/>
        <v>0</v>
      </c>
      <c r="CF104" s="23">
        <f t="shared" si="232"/>
        <v>0</v>
      </c>
      <c r="CG104" s="23">
        <f t="shared" si="233"/>
        <v>0</v>
      </c>
      <c r="CH104" s="23">
        <f t="shared" si="233"/>
        <v>0</v>
      </c>
      <c r="CI104" s="23">
        <f t="shared" si="233"/>
        <v>0</v>
      </c>
      <c r="CJ104" s="23">
        <f t="shared" si="233"/>
        <v>0</v>
      </c>
      <c r="CK104" s="23">
        <f t="shared" si="233"/>
        <v>0</v>
      </c>
      <c r="CL104" s="23">
        <f t="shared" si="233"/>
        <v>0</v>
      </c>
      <c r="CM104" s="23">
        <f t="shared" si="233"/>
        <v>0</v>
      </c>
      <c r="CN104" s="23">
        <f t="shared" si="234"/>
        <v>0</v>
      </c>
      <c r="CO104" s="23">
        <f t="shared" si="234"/>
        <v>0</v>
      </c>
      <c r="CP104" s="23">
        <f t="shared" si="234"/>
        <v>0</v>
      </c>
      <c r="CQ104" s="23">
        <f t="shared" si="234"/>
        <v>0</v>
      </c>
      <c r="CR104" s="23">
        <f t="shared" si="235"/>
        <v>0</v>
      </c>
      <c r="CS104" s="23">
        <f t="shared" si="236"/>
        <v>0</v>
      </c>
      <c r="CT104" s="23">
        <f t="shared" si="236"/>
        <v>0</v>
      </c>
      <c r="CU104" s="23">
        <f t="shared" si="236"/>
        <v>0</v>
      </c>
      <c r="CV104" s="23">
        <f t="shared" si="236"/>
        <v>0</v>
      </c>
      <c r="CW104" s="23">
        <f t="shared" si="236"/>
        <v>0</v>
      </c>
      <c r="CX104" s="23">
        <f t="shared" si="237"/>
        <v>0</v>
      </c>
      <c r="CY104" s="23">
        <f t="shared" si="237"/>
        <v>0</v>
      </c>
      <c r="CZ104" s="23">
        <f t="shared" si="237"/>
        <v>0</v>
      </c>
      <c r="DA104" s="23">
        <f t="shared" si="237"/>
        <v>0</v>
      </c>
      <c r="DB104" s="23">
        <f t="shared" si="237"/>
        <v>0</v>
      </c>
      <c r="DC104" s="23">
        <f t="shared" si="237"/>
        <v>0</v>
      </c>
      <c r="DD104" s="23">
        <f t="shared" ref="DD104:DI104" si="285">DD78*$D91</f>
        <v>0</v>
      </c>
      <c r="DE104" s="23">
        <f t="shared" si="285"/>
        <v>0</v>
      </c>
      <c r="DF104" s="23">
        <f t="shared" si="285"/>
        <v>0</v>
      </c>
      <c r="DG104" s="23"/>
      <c r="DH104" s="23">
        <f t="shared" si="285"/>
        <v>0</v>
      </c>
      <c r="DI104" s="23">
        <f t="shared" si="285"/>
        <v>0</v>
      </c>
      <c r="DJ104" s="23">
        <f t="shared" si="239"/>
        <v>0</v>
      </c>
      <c r="DK104" s="23">
        <f t="shared" si="237"/>
        <v>0</v>
      </c>
      <c r="DL104" s="23">
        <f t="shared" si="237"/>
        <v>0</v>
      </c>
      <c r="DM104" s="23">
        <f t="shared" si="240"/>
        <v>0</v>
      </c>
      <c r="DN104" s="23">
        <f t="shared" si="237"/>
        <v>0</v>
      </c>
      <c r="DO104" s="23">
        <f t="shared" si="237"/>
        <v>0</v>
      </c>
      <c r="DP104" s="23">
        <f t="shared" si="237"/>
        <v>0</v>
      </c>
      <c r="DQ104" s="23">
        <f t="shared" si="241"/>
        <v>0</v>
      </c>
      <c r="DR104" s="23">
        <f t="shared" si="241"/>
        <v>0</v>
      </c>
      <c r="DS104" s="23">
        <f t="shared" si="241"/>
        <v>0</v>
      </c>
      <c r="DT104" s="23">
        <f t="shared" si="242"/>
        <v>0</v>
      </c>
      <c r="DU104" s="23">
        <f t="shared" si="242"/>
        <v>0</v>
      </c>
      <c r="DV104" s="23">
        <f t="shared" si="242"/>
        <v>0</v>
      </c>
      <c r="DW104" s="23">
        <f t="shared" si="243"/>
        <v>0</v>
      </c>
      <c r="DX104" s="23">
        <f t="shared" si="243"/>
        <v>0</v>
      </c>
      <c r="DY104" s="23">
        <f t="shared" si="243"/>
        <v>0</v>
      </c>
      <c r="DZ104" s="23">
        <f t="shared" si="243"/>
        <v>0</v>
      </c>
      <c r="EA104" s="23">
        <f t="shared" si="243"/>
        <v>0</v>
      </c>
      <c r="EB104" s="23">
        <f t="shared" si="243"/>
        <v>0</v>
      </c>
      <c r="EC104" s="23">
        <f t="shared" si="243"/>
        <v>0</v>
      </c>
      <c r="ED104" s="23">
        <f t="shared" si="244"/>
        <v>0</v>
      </c>
    </row>
    <row r="105" spans="1:137" x14ac:dyDescent="0.3">
      <c r="A105" s="21" t="str">
        <f>A104</f>
        <v xml:space="preserve">   Medium truck</v>
      </c>
      <c r="B105" s="21" t="s">
        <v>70</v>
      </c>
      <c r="D105" s="23">
        <f t="shared" si="212"/>
        <v>0</v>
      </c>
      <c r="E105" s="23">
        <f t="shared" si="213"/>
        <v>0</v>
      </c>
      <c r="F105" s="23">
        <f t="shared" si="213"/>
        <v>0</v>
      </c>
      <c r="G105" s="23">
        <f t="shared" si="213"/>
        <v>0</v>
      </c>
      <c r="H105" s="23">
        <f t="shared" si="213"/>
        <v>0</v>
      </c>
      <c r="I105" s="23">
        <f t="shared" si="213"/>
        <v>0</v>
      </c>
      <c r="J105" s="23">
        <f t="shared" si="214"/>
        <v>0</v>
      </c>
      <c r="K105" s="23">
        <f t="shared" si="215"/>
        <v>0</v>
      </c>
      <c r="L105" s="23">
        <f t="shared" si="216"/>
        <v>0</v>
      </c>
      <c r="M105" s="23">
        <f t="shared" si="216"/>
        <v>0</v>
      </c>
      <c r="N105" s="23">
        <f t="shared" si="217"/>
        <v>0</v>
      </c>
      <c r="O105" s="23">
        <f t="shared" si="217"/>
        <v>0</v>
      </c>
      <c r="P105" s="23">
        <f t="shared" si="218"/>
        <v>0</v>
      </c>
      <c r="Q105" s="23">
        <f t="shared" si="218"/>
        <v>0</v>
      </c>
      <c r="R105" s="23">
        <f t="shared" si="218"/>
        <v>0</v>
      </c>
      <c r="S105" s="23">
        <f t="shared" si="218"/>
        <v>0</v>
      </c>
      <c r="T105" s="23">
        <f t="shared" si="219"/>
        <v>0</v>
      </c>
      <c r="U105" s="23">
        <f t="shared" si="219"/>
        <v>0</v>
      </c>
      <c r="V105" s="23">
        <f t="shared" si="219"/>
        <v>0</v>
      </c>
      <c r="W105" s="23">
        <f t="shared" si="220"/>
        <v>0</v>
      </c>
      <c r="X105" s="23">
        <f t="shared" si="221"/>
        <v>0</v>
      </c>
      <c r="Y105" s="23">
        <f t="shared" si="221"/>
        <v>0</v>
      </c>
      <c r="Z105" s="23">
        <f t="shared" si="221"/>
        <v>0</v>
      </c>
      <c r="AA105" s="23">
        <f t="shared" si="221"/>
        <v>0</v>
      </c>
      <c r="AB105" s="23">
        <f t="shared" ref="AB105:AC105" si="286">AB79*$D92</f>
        <v>0</v>
      </c>
      <c r="AC105" s="23">
        <f t="shared" si="286"/>
        <v>0</v>
      </c>
      <c r="AD105" s="23">
        <f t="shared" ref="AD105" si="287">AD79*$D92</f>
        <v>0</v>
      </c>
      <c r="AE105" s="23">
        <f t="shared" ref="AE105" si="288">AE79*$D92</f>
        <v>0</v>
      </c>
      <c r="AF105" s="23">
        <f t="shared" si="225"/>
        <v>0</v>
      </c>
      <c r="AG105" s="23">
        <f t="shared" ref="AG105:AX105" si="289">AG79*$D92</f>
        <v>0</v>
      </c>
      <c r="AH105" s="23">
        <f t="shared" si="289"/>
        <v>0</v>
      </c>
      <c r="AI105" s="23">
        <f t="shared" si="289"/>
        <v>0</v>
      </c>
      <c r="AJ105" s="23">
        <f t="shared" si="289"/>
        <v>0</v>
      </c>
      <c r="AK105" s="23">
        <f t="shared" si="289"/>
        <v>0</v>
      </c>
      <c r="AL105" s="23">
        <f t="shared" si="289"/>
        <v>0</v>
      </c>
      <c r="AM105" s="23">
        <f t="shared" si="289"/>
        <v>0</v>
      </c>
      <c r="AN105" s="23">
        <f t="shared" si="289"/>
        <v>0</v>
      </c>
      <c r="AO105" s="23">
        <f t="shared" si="289"/>
        <v>0</v>
      </c>
      <c r="AP105" s="23">
        <f t="shared" si="289"/>
        <v>0</v>
      </c>
      <c r="AQ105" s="23">
        <f t="shared" si="289"/>
        <v>0</v>
      </c>
      <c r="AR105" s="23">
        <f t="shared" si="289"/>
        <v>0</v>
      </c>
      <c r="AS105" s="23">
        <f t="shared" si="289"/>
        <v>0</v>
      </c>
      <c r="AT105" s="23">
        <f t="shared" si="289"/>
        <v>0</v>
      </c>
      <c r="AU105" s="23">
        <f t="shared" si="289"/>
        <v>0</v>
      </c>
      <c r="AV105" s="23">
        <f t="shared" si="289"/>
        <v>0</v>
      </c>
      <c r="AW105" s="23">
        <f t="shared" si="289"/>
        <v>0</v>
      </c>
      <c r="AX105" s="23">
        <f t="shared" si="289"/>
        <v>0</v>
      </c>
      <c r="AY105" s="23">
        <f t="shared" si="227"/>
        <v>0</v>
      </c>
      <c r="AZ105" s="23">
        <f t="shared" si="228"/>
        <v>0</v>
      </c>
      <c r="BA105" s="23">
        <f t="shared" si="228"/>
        <v>0</v>
      </c>
      <c r="BB105" s="23">
        <f t="shared" si="227"/>
        <v>0</v>
      </c>
      <c r="BC105" s="23">
        <f t="shared" si="227"/>
        <v>0</v>
      </c>
      <c r="BD105" s="23">
        <f t="shared" si="229"/>
        <v>0</v>
      </c>
      <c r="BE105" s="23">
        <f t="shared" si="229"/>
        <v>0</v>
      </c>
      <c r="BF105" s="23">
        <f t="shared" si="227"/>
        <v>0</v>
      </c>
      <c r="BG105" s="23">
        <f t="shared" si="227"/>
        <v>0</v>
      </c>
      <c r="BH105" s="23">
        <f t="shared" si="227"/>
        <v>0</v>
      </c>
      <c r="BI105" s="23">
        <f t="shared" ref="BI105:BT105" si="290">BI79*$D92</f>
        <v>0</v>
      </c>
      <c r="BJ105" s="23">
        <f t="shared" si="290"/>
        <v>0</v>
      </c>
      <c r="BK105" s="23">
        <f t="shared" si="290"/>
        <v>0</v>
      </c>
      <c r="BL105" s="23">
        <f t="shared" si="290"/>
        <v>0</v>
      </c>
      <c r="BM105" s="23">
        <f t="shared" si="290"/>
        <v>0</v>
      </c>
      <c r="BN105" s="23">
        <f t="shared" si="290"/>
        <v>0</v>
      </c>
      <c r="BO105" s="23">
        <f t="shared" si="290"/>
        <v>0</v>
      </c>
      <c r="BP105" s="23">
        <f t="shared" si="290"/>
        <v>0</v>
      </c>
      <c r="BQ105" s="23">
        <f t="shared" si="290"/>
        <v>0</v>
      </c>
      <c r="BR105" s="23">
        <f t="shared" si="290"/>
        <v>0</v>
      </c>
      <c r="BS105" s="23">
        <f t="shared" si="290"/>
        <v>0</v>
      </c>
      <c r="BT105" s="23">
        <f t="shared" si="290"/>
        <v>0</v>
      </c>
      <c r="BU105" s="23">
        <f t="shared" ref="BU105:CC105" si="291">BU79*$D92</f>
        <v>0</v>
      </c>
      <c r="BV105" s="23">
        <f t="shared" si="291"/>
        <v>0</v>
      </c>
      <c r="BW105" s="23">
        <f t="shared" si="291"/>
        <v>0</v>
      </c>
      <c r="BX105" s="23">
        <f t="shared" si="291"/>
        <v>0</v>
      </c>
      <c r="BY105" s="23">
        <f t="shared" si="291"/>
        <v>0</v>
      </c>
      <c r="BZ105" s="23">
        <f t="shared" si="291"/>
        <v>0</v>
      </c>
      <c r="CA105" s="23">
        <f t="shared" si="291"/>
        <v>0</v>
      </c>
      <c r="CB105" s="23">
        <f t="shared" si="291"/>
        <v>0</v>
      </c>
      <c r="CC105" s="23">
        <f t="shared" si="291"/>
        <v>0</v>
      </c>
      <c r="CD105" s="23">
        <f t="shared" si="232"/>
        <v>0</v>
      </c>
      <c r="CE105" s="23">
        <f t="shared" si="232"/>
        <v>0</v>
      </c>
      <c r="CF105" s="23">
        <f t="shared" si="232"/>
        <v>0</v>
      </c>
      <c r="CG105" s="23">
        <f t="shared" si="233"/>
        <v>0</v>
      </c>
      <c r="CH105" s="23">
        <f t="shared" si="233"/>
        <v>0</v>
      </c>
      <c r="CI105" s="23">
        <f t="shared" si="233"/>
        <v>0</v>
      </c>
      <c r="CJ105" s="23">
        <f t="shared" si="233"/>
        <v>0</v>
      </c>
      <c r="CK105" s="23">
        <f t="shared" si="233"/>
        <v>0</v>
      </c>
      <c r="CL105" s="23">
        <f t="shared" si="233"/>
        <v>0</v>
      </c>
      <c r="CM105" s="23">
        <f t="shared" si="233"/>
        <v>0</v>
      </c>
      <c r="CN105" s="23">
        <f t="shared" si="234"/>
        <v>0</v>
      </c>
      <c r="CO105" s="23">
        <f t="shared" si="234"/>
        <v>0</v>
      </c>
      <c r="CP105" s="23">
        <f t="shared" si="234"/>
        <v>0</v>
      </c>
      <c r="CQ105" s="23">
        <f t="shared" si="234"/>
        <v>0</v>
      </c>
      <c r="CR105" s="23">
        <f t="shared" si="235"/>
        <v>0</v>
      </c>
      <c r="CS105" s="23">
        <f t="shared" si="236"/>
        <v>0</v>
      </c>
      <c r="CT105" s="23">
        <f t="shared" si="236"/>
        <v>0</v>
      </c>
      <c r="CU105" s="23">
        <f t="shared" si="236"/>
        <v>0</v>
      </c>
      <c r="CV105" s="23">
        <f t="shared" si="236"/>
        <v>0</v>
      </c>
      <c r="CW105" s="23">
        <f t="shared" si="236"/>
        <v>0</v>
      </c>
      <c r="CX105" s="23">
        <f t="shared" si="237"/>
        <v>0</v>
      </c>
      <c r="CY105" s="23">
        <f t="shared" si="237"/>
        <v>0</v>
      </c>
      <c r="CZ105" s="23">
        <f t="shared" si="237"/>
        <v>0</v>
      </c>
      <c r="DA105" s="23">
        <f t="shared" si="237"/>
        <v>0</v>
      </c>
      <c r="DB105" s="23">
        <f t="shared" si="237"/>
        <v>0</v>
      </c>
      <c r="DC105" s="23">
        <f t="shared" si="237"/>
        <v>0</v>
      </c>
      <c r="DD105" s="23">
        <f t="shared" ref="DD105:DI105" si="292">DD79*$D92</f>
        <v>0</v>
      </c>
      <c r="DE105" s="23">
        <f t="shared" si="292"/>
        <v>0</v>
      </c>
      <c r="DF105" s="23">
        <f t="shared" si="292"/>
        <v>0</v>
      </c>
      <c r="DG105" s="23"/>
      <c r="DH105" s="23">
        <f t="shared" si="292"/>
        <v>0</v>
      </c>
      <c r="DI105" s="23">
        <f t="shared" si="292"/>
        <v>0</v>
      </c>
      <c r="DJ105" s="23">
        <f t="shared" si="239"/>
        <v>0</v>
      </c>
      <c r="DK105" s="23">
        <f t="shared" si="237"/>
        <v>0</v>
      </c>
      <c r="DL105" s="23">
        <f t="shared" si="237"/>
        <v>0</v>
      </c>
      <c r="DM105" s="23">
        <f t="shared" si="240"/>
        <v>0</v>
      </c>
      <c r="DN105" s="23">
        <f t="shared" si="237"/>
        <v>0</v>
      </c>
      <c r="DO105" s="23">
        <f t="shared" si="237"/>
        <v>0</v>
      </c>
      <c r="DP105" s="23">
        <f t="shared" si="237"/>
        <v>0</v>
      </c>
      <c r="DQ105" s="23">
        <f t="shared" si="241"/>
        <v>0</v>
      </c>
      <c r="DR105" s="23">
        <f t="shared" si="241"/>
        <v>0</v>
      </c>
      <c r="DS105" s="23">
        <f t="shared" si="241"/>
        <v>0</v>
      </c>
      <c r="DT105" s="23">
        <f t="shared" si="242"/>
        <v>0</v>
      </c>
      <c r="DU105" s="23">
        <f t="shared" si="242"/>
        <v>0</v>
      </c>
      <c r="DV105" s="23">
        <f t="shared" si="242"/>
        <v>0</v>
      </c>
      <c r="DW105" s="23">
        <f t="shared" si="243"/>
        <v>0</v>
      </c>
      <c r="DX105" s="23">
        <f t="shared" si="243"/>
        <v>0</v>
      </c>
      <c r="DY105" s="23">
        <f t="shared" si="243"/>
        <v>0</v>
      </c>
      <c r="DZ105" s="23">
        <f t="shared" si="243"/>
        <v>0</v>
      </c>
      <c r="EA105" s="23">
        <f t="shared" si="243"/>
        <v>0</v>
      </c>
      <c r="EB105" s="23">
        <f t="shared" si="243"/>
        <v>0</v>
      </c>
      <c r="EC105" s="23">
        <f t="shared" si="243"/>
        <v>0</v>
      </c>
      <c r="ED105" s="23">
        <f t="shared" si="244"/>
        <v>0</v>
      </c>
    </row>
    <row r="106" spans="1:137" x14ac:dyDescent="0.3">
      <c r="A106" s="21" t="s">
        <v>74</v>
      </c>
      <c r="B106" s="21" t="s">
        <v>71</v>
      </c>
      <c r="D106" s="45">
        <f t="shared" ref="D106:AR106" si="293">D94*D$32</f>
        <v>0</v>
      </c>
      <c r="E106" s="45">
        <f t="shared" si="293"/>
        <v>0</v>
      </c>
      <c r="F106" s="45">
        <f t="shared" si="293"/>
        <v>0</v>
      </c>
      <c r="G106" s="45">
        <f t="shared" si="293"/>
        <v>0</v>
      </c>
      <c r="H106" s="45">
        <f t="shared" si="293"/>
        <v>0</v>
      </c>
      <c r="I106" s="45">
        <f t="shared" ref="I106" si="294">I94*I$32</f>
        <v>0</v>
      </c>
      <c r="J106" s="45">
        <f t="shared" si="293"/>
        <v>0</v>
      </c>
      <c r="K106" s="45">
        <f t="shared" si="293"/>
        <v>0</v>
      </c>
      <c r="L106" s="45">
        <f t="shared" si="293"/>
        <v>0</v>
      </c>
      <c r="M106" s="45">
        <f t="shared" si="293"/>
        <v>0</v>
      </c>
      <c r="N106" s="45">
        <f t="shared" si="293"/>
        <v>0</v>
      </c>
      <c r="O106" s="45">
        <f t="shared" si="293"/>
        <v>0</v>
      </c>
      <c r="P106" s="45">
        <f t="shared" si="293"/>
        <v>0</v>
      </c>
      <c r="Q106" s="45">
        <f t="shared" si="293"/>
        <v>0</v>
      </c>
      <c r="R106" s="45">
        <f t="shared" si="293"/>
        <v>0</v>
      </c>
      <c r="S106" s="45">
        <f t="shared" si="293"/>
        <v>0</v>
      </c>
      <c r="T106" s="45">
        <f t="shared" si="293"/>
        <v>0</v>
      </c>
      <c r="U106" s="45">
        <f t="shared" si="293"/>
        <v>0</v>
      </c>
      <c r="V106" s="45">
        <f t="shared" si="293"/>
        <v>0</v>
      </c>
      <c r="W106" s="45">
        <f t="shared" si="293"/>
        <v>0</v>
      </c>
      <c r="X106" s="45">
        <f>X94*X$32</f>
        <v>0</v>
      </c>
      <c r="Y106" s="45">
        <f>Y94*Y$32</f>
        <v>0</v>
      </c>
      <c r="Z106" s="45">
        <f>Z94*Z$32</f>
        <v>0</v>
      </c>
      <c r="AA106" s="45">
        <f>AA94*AA$32</f>
        <v>0</v>
      </c>
      <c r="AB106" s="45">
        <f t="shared" ref="AB106:AC106" si="295">AB94*AB$32</f>
        <v>0</v>
      </c>
      <c r="AC106" s="45">
        <f t="shared" si="295"/>
        <v>0</v>
      </c>
      <c r="AD106" s="45">
        <f t="shared" ref="AD106" si="296">AD94*AD$32</f>
        <v>0</v>
      </c>
      <c r="AE106" s="45">
        <f t="shared" ref="AE106" si="297">AE94*AE$32</f>
        <v>0</v>
      </c>
      <c r="AF106" s="45">
        <f t="shared" si="293"/>
        <v>0</v>
      </c>
      <c r="AG106" s="45">
        <f t="shared" si="293"/>
        <v>0</v>
      </c>
      <c r="AH106" s="45">
        <f t="shared" si="293"/>
        <v>0</v>
      </c>
      <c r="AI106" s="45">
        <f t="shared" si="293"/>
        <v>0</v>
      </c>
      <c r="AJ106" s="45">
        <f t="shared" si="293"/>
        <v>0</v>
      </c>
      <c r="AK106" s="45">
        <f t="shared" si="293"/>
        <v>0</v>
      </c>
      <c r="AL106" s="45">
        <f t="shared" si="293"/>
        <v>0</v>
      </c>
      <c r="AM106" s="45">
        <f t="shared" si="293"/>
        <v>0</v>
      </c>
      <c r="AN106" s="45">
        <f t="shared" si="293"/>
        <v>0</v>
      </c>
      <c r="AO106" s="45">
        <f t="shared" si="293"/>
        <v>0</v>
      </c>
      <c r="AP106" s="45">
        <f t="shared" si="293"/>
        <v>0</v>
      </c>
      <c r="AQ106" s="45">
        <f t="shared" si="293"/>
        <v>0</v>
      </c>
      <c r="AR106" s="45">
        <f t="shared" si="293"/>
        <v>0</v>
      </c>
      <c r="AS106" s="45">
        <f t="shared" ref="AS106:BT106" si="298">AS94*AS$32</f>
        <v>0</v>
      </c>
      <c r="AT106" s="45">
        <f t="shared" si="298"/>
        <v>0</v>
      </c>
      <c r="AU106" s="45">
        <f t="shared" si="298"/>
        <v>0</v>
      </c>
      <c r="AV106" s="45">
        <f t="shared" si="298"/>
        <v>0</v>
      </c>
      <c r="AW106" s="45">
        <f t="shared" si="298"/>
        <v>0</v>
      </c>
      <c r="AX106" s="45">
        <f t="shared" si="298"/>
        <v>0</v>
      </c>
      <c r="AY106" s="45">
        <f t="shared" si="298"/>
        <v>0</v>
      </c>
      <c r="AZ106" s="45">
        <f t="shared" si="298"/>
        <v>0</v>
      </c>
      <c r="BA106" s="45">
        <f t="shared" si="298"/>
        <v>0</v>
      </c>
      <c r="BB106" s="45">
        <f t="shared" si="298"/>
        <v>0</v>
      </c>
      <c r="BC106" s="45">
        <f t="shared" si="298"/>
        <v>0</v>
      </c>
      <c r="BD106" s="45">
        <f t="shared" si="298"/>
        <v>0</v>
      </c>
      <c r="BE106" s="45">
        <f t="shared" si="298"/>
        <v>0</v>
      </c>
      <c r="BF106" s="45">
        <f t="shared" si="298"/>
        <v>0</v>
      </c>
      <c r="BG106" s="45">
        <f t="shared" si="298"/>
        <v>0</v>
      </c>
      <c r="BH106" s="45">
        <f t="shared" si="298"/>
        <v>0</v>
      </c>
      <c r="BI106" s="45">
        <f t="shared" si="298"/>
        <v>0</v>
      </c>
      <c r="BJ106" s="45">
        <f t="shared" si="298"/>
        <v>0</v>
      </c>
      <c r="BK106" s="45">
        <f t="shared" si="298"/>
        <v>0</v>
      </c>
      <c r="BL106" s="45">
        <f t="shared" si="298"/>
        <v>0</v>
      </c>
      <c r="BM106" s="45">
        <f t="shared" si="298"/>
        <v>0</v>
      </c>
      <c r="BN106" s="45">
        <f t="shared" si="298"/>
        <v>0</v>
      </c>
      <c r="BO106" s="45">
        <f t="shared" si="298"/>
        <v>0</v>
      </c>
      <c r="BP106" s="45">
        <f t="shared" si="298"/>
        <v>0</v>
      </c>
      <c r="BQ106" s="45">
        <f t="shared" si="298"/>
        <v>0</v>
      </c>
      <c r="BR106" s="45">
        <f t="shared" si="298"/>
        <v>0</v>
      </c>
      <c r="BS106" s="45">
        <f t="shared" si="298"/>
        <v>0</v>
      </c>
      <c r="BT106" s="45">
        <f t="shared" si="298"/>
        <v>0</v>
      </c>
      <c r="BU106" s="45">
        <f t="shared" ref="BU106:CL106" si="299">BU94*BU$32</f>
        <v>0</v>
      </c>
      <c r="BV106" s="45">
        <f t="shared" si="299"/>
        <v>0</v>
      </c>
      <c r="BW106" s="45">
        <f t="shared" si="299"/>
        <v>0</v>
      </c>
      <c r="BX106" s="45">
        <f t="shared" si="299"/>
        <v>0</v>
      </c>
      <c r="BY106" s="45">
        <f t="shared" si="299"/>
        <v>0</v>
      </c>
      <c r="BZ106" s="45">
        <f t="shared" si="299"/>
        <v>0</v>
      </c>
      <c r="CA106" s="45">
        <f t="shared" si="299"/>
        <v>0</v>
      </c>
      <c r="CB106" s="45">
        <f t="shared" si="299"/>
        <v>0</v>
      </c>
      <c r="CC106" s="45">
        <f t="shared" si="299"/>
        <v>0</v>
      </c>
      <c r="CD106" s="45">
        <f t="shared" si="299"/>
        <v>0</v>
      </c>
      <c r="CE106" s="45">
        <f t="shared" si="299"/>
        <v>0</v>
      </c>
      <c r="CF106" s="45">
        <f t="shared" si="299"/>
        <v>0</v>
      </c>
      <c r="CG106" s="45">
        <f t="shared" si="299"/>
        <v>0</v>
      </c>
      <c r="CH106" s="45">
        <f t="shared" si="299"/>
        <v>0</v>
      </c>
      <c r="CI106" s="45">
        <f t="shared" si="299"/>
        <v>0</v>
      </c>
      <c r="CJ106" s="45">
        <f t="shared" si="299"/>
        <v>0</v>
      </c>
      <c r="CK106" s="45">
        <f t="shared" si="299"/>
        <v>0</v>
      </c>
      <c r="CL106" s="45">
        <f t="shared" si="299"/>
        <v>0</v>
      </c>
      <c r="CM106" s="45">
        <f t="shared" ref="CM106:DF106" si="300">CM94*CM$32</f>
        <v>0</v>
      </c>
      <c r="CN106" s="45">
        <f t="shared" si="300"/>
        <v>0</v>
      </c>
      <c r="CO106" s="45">
        <f t="shared" si="300"/>
        <v>0</v>
      </c>
      <c r="CP106" s="45">
        <f t="shared" si="300"/>
        <v>0</v>
      </c>
      <c r="CQ106" s="45">
        <f t="shared" si="300"/>
        <v>0</v>
      </c>
      <c r="CR106" s="45">
        <f t="shared" si="300"/>
        <v>0</v>
      </c>
      <c r="CS106" s="45">
        <f t="shared" si="300"/>
        <v>0</v>
      </c>
      <c r="CT106" s="45">
        <f t="shared" si="300"/>
        <v>0</v>
      </c>
      <c r="CU106" s="45">
        <f t="shared" si="300"/>
        <v>0</v>
      </c>
      <c r="CV106" s="45">
        <f t="shared" si="300"/>
        <v>0</v>
      </c>
      <c r="CW106" s="45">
        <f t="shared" si="300"/>
        <v>0</v>
      </c>
      <c r="CX106" s="45">
        <f t="shared" si="300"/>
        <v>0</v>
      </c>
      <c r="CY106" s="45">
        <f t="shared" si="300"/>
        <v>0</v>
      </c>
      <c r="CZ106" s="45">
        <f t="shared" si="300"/>
        <v>0</v>
      </c>
      <c r="DA106" s="45">
        <f t="shared" si="300"/>
        <v>0</v>
      </c>
      <c r="DB106" s="45">
        <f t="shared" si="300"/>
        <v>0</v>
      </c>
      <c r="DC106" s="45">
        <f t="shared" si="300"/>
        <v>0</v>
      </c>
      <c r="DD106" s="45">
        <f t="shared" si="300"/>
        <v>0</v>
      </c>
      <c r="DE106" s="45">
        <f t="shared" si="300"/>
        <v>0</v>
      </c>
      <c r="DF106" s="45">
        <f t="shared" si="300"/>
        <v>0</v>
      </c>
      <c r="DG106" s="45"/>
      <c r="DH106" s="45">
        <f>DH94*DH$32</f>
        <v>0</v>
      </c>
      <c r="DI106" s="45">
        <f>DI94*DI$32</f>
        <v>0</v>
      </c>
      <c r="DJ106" s="45">
        <f>DJ94*DJ$32</f>
        <v>0</v>
      </c>
      <c r="DK106" s="45">
        <f t="shared" ref="DK106:DP106" si="301">DK94*DK$32</f>
        <v>0</v>
      </c>
      <c r="DL106" s="45">
        <f t="shared" si="301"/>
        <v>0</v>
      </c>
      <c r="DM106" s="45">
        <f>DM94*DM$32</f>
        <v>0</v>
      </c>
      <c r="DN106" s="45">
        <f t="shared" si="301"/>
        <v>0</v>
      </c>
      <c r="DO106" s="45">
        <f t="shared" si="301"/>
        <v>0</v>
      </c>
      <c r="DP106" s="45">
        <f t="shared" si="301"/>
        <v>0</v>
      </c>
      <c r="DQ106" s="45">
        <f t="shared" ref="DQ106:DW106" si="302">DQ94*DQ$32</f>
        <v>0</v>
      </c>
      <c r="DR106" s="45">
        <f t="shared" si="302"/>
        <v>0</v>
      </c>
      <c r="DS106" s="45">
        <f t="shared" si="302"/>
        <v>0</v>
      </c>
      <c r="DT106" s="45">
        <f t="shared" si="302"/>
        <v>0</v>
      </c>
      <c r="DU106" s="45">
        <f t="shared" si="302"/>
        <v>0</v>
      </c>
      <c r="DV106" s="45">
        <f t="shared" si="302"/>
        <v>0</v>
      </c>
      <c r="DW106" s="45">
        <f t="shared" si="302"/>
        <v>0</v>
      </c>
      <c r="DX106" s="45">
        <f t="shared" ref="DX106:EC106" si="303">DX94*DX$32</f>
        <v>0</v>
      </c>
      <c r="DY106" s="45">
        <f t="shared" si="303"/>
        <v>0</v>
      </c>
      <c r="DZ106" s="45">
        <f t="shared" si="303"/>
        <v>0</v>
      </c>
      <c r="EA106" s="45">
        <f t="shared" si="303"/>
        <v>0</v>
      </c>
      <c r="EB106" s="45">
        <f t="shared" si="303"/>
        <v>0</v>
      </c>
      <c r="EC106" s="45">
        <f t="shared" si="303"/>
        <v>0</v>
      </c>
      <c r="ED106" s="45">
        <f>ED94*ED$32</f>
        <v>0</v>
      </c>
    </row>
    <row r="107" spans="1:137" x14ac:dyDescent="0.3">
      <c r="A107" s="21" t="str">
        <f>A106</f>
        <v xml:space="preserve">   Delivery van</v>
      </c>
      <c r="B107" s="21" t="s">
        <v>70</v>
      </c>
      <c r="D107" s="45">
        <f t="shared" ref="D107:AR107" si="304">D81*$D94</f>
        <v>0</v>
      </c>
      <c r="E107" s="45">
        <f t="shared" si="304"/>
        <v>0</v>
      </c>
      <c r="F107" s="45">
        <f t="shared" si="304"/>
        <v>0</v>
      </c>
      <c r="G107" s="45">
        <f t="shared" si="304"/>
        <v>0</v>
      </c>
      <c r="H107" s="45">
        <f t="shared" si="304"/>
        <v>0</v>
      </c>
      <c r="I107" s="45">
        <f t="shared" ref="I107" si="305">I81*$D94</f>
        <v>0</v>
      </c>
      <c r="J107" s="45">
        <f t="shared" si="304"/>
        <v>0</v>
      </c>
      <c r="K107" s="45">
        <f t="shared" si="304"/>
        <v>0</v>
      </c>
      <c r="L107" s="45">
        <f t="shared" si="304"/>
        <v>0</v>
      </c>
      <c r="M107" s="45">
        <f t="shared" si="304"/>
        <v>0</v>
      </c>
      <c r="N107" s="45">
        <f t="shared" si="304"/>
        <v>0</v>
      </c>
      <c r="O107" s="45">
        <f t="shared" si="304"/>
        <v>0</v>
      </c>
      <c r="P107" s="45">
        <f t="shared" si="304"/>
        <v>0</v>
      </c>
      <c r="Q107" s="45">
        <f t="shared" si="304"/>
        <v>0</v>
      </c>
      <c r="R107" s="45">
        <f t="shared" si="304"/>
        <v>0</v>
      </c>
      <c r="S107" s="45">
        <f t="shared" si="304"/>
        <v>0</v>
      </c>
      <c r="T107" s="45">
        <f t="shared" si="304"/>
        <v>0</v>
      </c>
      <c r="U107" s="45">
        <f t="shared" si="304"/>
        <v>0</v>
      </c>
      <c r="V107" s="45">
        <f t="shared" si="304"/>
        <v>0</v>
      </c>
      <c r="W107" s="45">
        <f t="shared" si="304"/>
        <v>0</v>
      </c>
      <c r="X107" s="45">
        <f>X81*$D94</f>
        <v>0</v>
      </c>
      <c r="Y107" s="45">
        <f>Y81*$D94</f>
        <v>0</v>
      </c>
      <c r="Z107" s="45">
        <f>Z81*$D94</f>
        <v>0</v>
      </c>
      <c r="AA107" s="45">
        <f>AA81*$D94</f>
        <v>0</v>
      </c>
      <c r="AB107" s="45">
        <f t="shared" ref="AB107:AC107" si="306">AB81*$D94</f>
        <v>0</v>
      </c>
      <c r="AC107" s="45">
        <f t="shared" si="306"/>
        <v>0</v>
      </c>
      <c r="AD107" s="45">
        <f t="shared" ref="AD107" si="307">AD81*$D94</f>
        <v>0</v>
      </c>
      <c r="AE107" s="45">
        <f t="shared" ref="AE107" si="308">AE81*$D94</f>
        <v>0</v>
      </c>
      <c r="AF107" s="45">
        <f t="shared" si="304"/>
        <v>0</v>
      </c>
      <c r="AG107" s="45">
        <f t="shared" si="304"/>
        <v>0</v>
      </c>
      <c r="AH107" s="45">
        <f t="shared" si="304"/>
        <v>0</v>
      </c>
      <c r="AI107" s="45">
        <f t="shared" si="304"/>
        <v>0</v>
      </c>
      <c r="AJ107" s="45">
        <f t="shared" si="304"/>
        <v>0</v>
      </c>
      <c r="AK107" s="45">
        <f t="shared" si="304"/>
        <v>0</v>
      </c>
      <c r="AL107" s="45">
        <f t="shared" si="304"/>
        <v>0</v>
      </c>
      <c r="AM107" s="45">
        <f t="shared" si="304"/>
        <v>0</v>
      </c>
      <c r="AN107" s="45">
        <f t="shared" si="304"/>
        <v>0</v>
      </c>
      <c r="AO107" s="45">
        <f t="shared" si="304"/>
        <v>0</v>
      </c>
      <c r="AP107" s="45">
        <f t="shared" si="304"/>
        <v>0</v>
      </c>
      <c r="AQ107" s="45">
        <f t="shared" si="304"/>
        <v>0</v>
      </c>
      <c r="AR107" s="45">
        <f t="shared" si="304"/>
        <v>0</v>
      </c>
      <c r="AS107" s="45">
        <f t="shared" ref="AS107:BT107" si="309">AS81*$D94</f>
        <v>0</v>
      </c>
      <c r="AT107" s="45">
        <f t="shared" si="309"/>
        <v>0</v>
      </c>
      <c r="AU107" s="45">
        <f t="shared" si="309"/>
        <v>0</v>
      </c>
      <c r="AV107" s="45">
        <f t="shared" si="309"/>
        <v>0</v>
      </c>
      <c r="AW107" s="45">
        <f t="shared" si="309"/>
        <v>0</v>
      </c>
      <c r="AX107" s="45">
        <f t="shared" si="309"/>
        <v>0</v>
      </c>
      <c r="AY107" s="45">
        <f t="shared" si="309"/>
        <v>0</v>
      </c>
      <c r="AZ107" s="45">
        <f t="shared" si="309"/>
        <v>0</v>
      </c>
      <c r="BA107" s="45">
        <f t="shared" si="309"/>
        <v>0</v>
      </c>
      <c r="BB107" s="45">
        <f t="shared" si="309"/>
        <v>0</v>
      </c>
      <c r="BC107" s="45">
        <f t="shared" si="309"/>
        <v>0</v>
      </c>
      <c r="BD107" s="45">
        <f t="shared" si="309"/>
        <v>0</v>
      </c>
      <c r="BE107" s="45">
        <f t="shared" si="309"/>
        <v>0</v>
      </c>
      <c r="BF107" s="45">
        <f t="shared" si="309"/>
        <v>0</v>
      </c>
      <c r="BG107" s="45">
        <f t="shared" si="309"/>
        <v>0</v>
      </c>
      <c r="BH107" s="45">
        <f t="shared" si="309"/>
        <v>0</v>
      </c>
      <c r="BI107" s="45">
        <f t="shared" si="309"/>
        <v>0</v>
      </c>
      <c r="BJ107" s="45">
        <f t="shared" si="309"/>
        <v>0</v>
      </c>
      <c r="BK107" s="45">
        <f t="shared" si="309"/>
        <v>0</v>
      </c>
      <c r="BL107" s="45">
        <f t="shared" si="309"/>
        <v>0</v>
      </c>
      <c r="BM107" s="45">
        <f t="shared" si="309"/>
        <v>0</v>
      </c>
      <c r="BN107" s="45">
        <f t="shared" si="309"/>
        <v>0</v>
      </c>
      <c r="BO107" s="45">
        <f t="shared" si="309"/>
        <v>0</v>
      </c>
      <c r="BP107" s="45">
        <f t="shared" si="309"/>
        <v>0</v>
      </c>
      <c r="BQ107" s="45">
        <f t="shared" si="309"/>
        <v>0</v>
      </c>
      <c r="BR107" s="45">
        <f t="shared" si="309"/>
        <v>0</v>
      </c>
      <c r="BS107" s="45">
        <f t="shared" si="309"/>
        <v>0</v>
      </c>
      <c r="BT107" s="45">
        <f t="shared" si="309"/>
        <v>0</v>
      </c>
      <c r="BU107" s="45">
        <f t="shared" ref="BU107:CL107" si="310">BU81*$D94</f>
        <v>0</v>
      </c>
      <c r="BV107" s="45">
        <f t="shared" si="310"/>
        <v>0</v>
      </c>
      <c r="BW107" s="45">
        <f t="shared" si="310"/>
        <v>0</v>
      </c>
      <c r="BX107" s="45">
        <f t="shared" si="310"/>
        <v>0</v>
      </c>
      <c r="BY107" s="45">
        <f t="shared" si="310"/>
        <v>0</v>
      </c>
      <c r="BZ107" s="45">
        <f t="shared" si="310"/>
        <v>0</v>
      </c>
      <c r="CA107" s="45">
        <f t="shared" si="310"/>
        <v>0</v>
      </c>
      <c r="CB107" s="45">
        <f t="shared" si="310"/>
        <v>0</v>
      </c>
      <c r="CC107" s="45">
        <f t="shared" si="310"/>
        <v>0</v>
      </c>
      <c r="CD107" s="45">
        <f t="shared" si="310"/>
        <v>0</v>
      </c>
      <c r="CE107" s="45">
        <f t="shared" si="310"/>
        <v>0</v>
      </c>
      <c r="CF107" s="45">
        <f t="shared" si="310"/>
        <v>0</v>
      </c>
      <c r="CG107" s="45">
        <f t="shared" si="310"/>
        <v>0</v>
      </c>
      <c r="CH107" s="45">
        <f t="shared" si="310"/>
        <v>0</v>
      </c>
      <c r="CI107" s="45">
        <f t="shared" si="310"/>
        <v>0</v>
      </c>
      <c r="CJ107" s="45">
        <f t="shared" si="310"/>
        <v>0</v>
      </c>
      <c r="CK107" s="45">
        <f t="shared" si="310"/>
        <v>0</v>
      </c>
      <c r="CL107" s="45">
        <f t="shared" si="310"/>
        <v>0</v>
      </c>
      <c r="CM107" s="45">
        <f t="shared" ref="CM107:DF107" si="311">CM81*$D94</f>
        <v>0</v>
      </c>
      <c r="CN107" s="45">
        <f t="shared" si="311"/>
        <v>0</v>
      </c>
      <c r="CO107" s="45">
        <f t="shared" si="311"/>
        <v>0</v>
      </c>
      <c r="CP107" s="45">
        <f t="shared" si="311"/>
        <v>0</v>
      </c>
      <c r="CQ107" s="45">
        <f t="shared" si="311"/>
        <v>0</v>
      </c>
      <c r="CR107" s="45">
        <f t="shared" si="311"/>
        <v>0</v>
      </c>
      <c r="CS107" s="45">
        <f t="shared" si="311"/>
        <v>0</v>
      </c>
      <c r="CT107" s="45">
        <f t="shared" si="311"/>
        <v>0</v>
      </c>
      <c r="CU107" s="45">
        <f t="shared" si="311"/>
        <v>0</v>
      </c>
      <c r="CV107" s="45">
        <f t="shared" si="311"/>
        <v>0</v>
      </c>
      <c r="CW107" s="45">
        <f t="shared" si="311"/>
        <v>0</v>
      </c>
      <c r="CX107" s="45">
        <f t="shared" si="311"/>
        <v>0</v>
      </c>
      <c r="CY107" s="45">
        <f t="shared" si="311"/>
        <v>0</v>
      </c>
      <c r="CZ107" s="45">
        <f t="shared" si="311"/>
        <v>0</v>
      </c>
      <c r="DA107" s="45">
        <f t="shared" si="311"/>
        <v>0</v>
      </c>
      <c r="DB107" s="45">
        <f t="shared" si="311"/>
        <v>0</v>
      </c>
      <c r="DC107" s="45">
        <f t="shared" si="311"/>
        <v>0</v>
      </c>
      <c r="DD107" s="45">
        <f t="shared" si="311"/>
        <v>0</v>
      </c>
      <c r="DE107" s="45">
        <f t="shared" si="311"/>
        <v>0</v>
      </c>
      <c r="DF107" s="45">
        <f t="shared" si="311"/>
        <v>0</v>
      </c>
      <c r="DG107" s="45"/>
      <c r="DH107" s="45">
        <f>DH81*$D94</f>
        <v>0</v>
      </c>
      <c r="DI107" s="45">
        <f>DI81*$D94</f>
        <v>0</v>
      </c>
      <c r="DJ107" s="45">
        <f>DJ81*$D94</f>
        <v>0</v>
      </c>
      <c r="DK107" s="45">
        <f t="shared" ref="DK107:DP107" si="312">DK81*$D94</f>
        <v>0</v>
      </c>
      <c r="DL107" s="45">
        <f t="shared" si="312"/>
        <v>0</v>
      </c>
      <c r="DM107" s="45">
        <f>DM81*$D94</f>
        <v>0</v>
      </c>
      <c r="DN107" s="45">
        <f t="shared" si="312"/>
        <v>0</v>
      </c>
      <c r="DO107" s="45">
        <f t="shared" si="312"/>
        <v>0</v>
      </c>
      <c r="DP107" s="45">
        <f t="shared" si="312"/>
        <v>0</v>
      </c>
      <c r="DQ107" s="45">
        <f t="shared" ref="DQ107:DW107" si="313">DQ81*$D94</f>
        <v>0</v>
      </c>
      <c r="DR107" s="45">
        <f t="shared" si="313"/>
        <v>0</v>
      </c>
      <c r="DS107" s="45">
        <f t="shared" si="313"/>
        <v>0</v>
      </c>
      <c r="DT107" s="45">
        <f t="shared" si="313"/>
        <v>0</v>
      </c>
      <c r="DU107" s="45">
        <f t="shared" si="313"/>
        <v>0</v>
      </c>
      <c r="DV107" s="45">
        <f t="shared" si="313"/>
        <v>0</v>
      </c>
      <c r="DW107" s="45">
        <f t="shared" si="313"/>
        <v>0</v>
      </c>
      <c r="DX107" s="45">
        <f t="shared" ref="DX107:EC107" si="314">DX81*$D94</f>
        <v>0</v>
      </c>
      <c r="DY107" s="45">
        <f t="shared" si="314"/>
        <v>0</v>
      </c>
      <c r="DZ107" s="45">
        <f t="shared" si="314"/>
        <v>0</v>
      </c>
      <c r="EA107" s="45">
        <f t="shared" si="314"/>
        <v>0</v>
      </c>
      <c r="EB107" s="45">
        <f t="shared" si="314"/>
        <v>0</v>
      </c>
      <c r="EC107" s="45">
        <f t="shared" si="314"/>
        <v>0</v>
      </c>
      <c r="ED107" s="45">
        <f>ED81*$D94</f>
        <v>0</v>
      </c>
    </row>
    <row r="108" spans="1:137" s="24" customFormat="1" x14ac:dyDescent="0.3">
      <c r="A108" s="24" t="s">
        <v>25</v>
      </c>
      <c r="D108" s="46">
        <f t="shared" ref="D108:AX108" si="315">SUM(D98:D107)</f>
        <v>9428.3035414691476</v>
      </c>
      <c r="E108" s="46">
        <f t="shared" si="315"/>
        <v>9428.3035414691476</v>
      </c>
      <c r="F108" s="46">
        <f t="shared" si="315"/>
        <v>9428.3035414691476</v>
      </c>
      <c r="G108" s="46">
        <f t="shared" si="315"/>
        <v>9428.3035414691476</v>
      </c>
      <c r="H108" s="46">
        <f t="shared" si="315"/>
        <v>9428.3035414691476</v>
      </c>
      <c r="I108" s="46">
        <f t="shared" ref="I108" si="316">SUM(I98:I107)</f>
        <v>9428.3035414691476</v>
      </c>
      <c r="J108" s="46">
        <f t="shared" si="315"/>
        <v>9428.3035414691476</v>
      </c>
      <c r="K108" s="46">
        <f t="shared" si="315"/>
        <v>9428.3035414691476</v>
      </c>
      <c r="L108" s="46">
        <f t="shared" si="315"/>
        <v>9428.3035414691476</v>
      </c>
      <c r="M108" s="46">
        <f t="shared" si="315"/>
        <v>9428.3035414691476</v>
      </c>
      <c r="N108" s="46">
        <f t="shared" si="315"/>
        <v>9428.3035414691476</v>
      </c>
      <c r="O108" s="46">
        <f t="shared" si="315"/>
        <v>9428.3035414691476</v>
      </c>
      <c r="P108" s="46">
        <f t="shared" si="315"/>
        <v>9428.3035414691476</v>
      </c>
      <c r="Q108" s="46">
        <f t="shared" si="315"/>
        <v>9428.3035414691476</v>
      </c>
      <c r="R108" s="46">
        <f t="shared" si="315"/>
        <v>9428.3035414691476</v>
      </c>
      <c r="S108" s="46">
        <f t="shared" si="315"/>
        <v>9428.3035414691476</v>
      </c>
      <c r="T108" s="46">
        <f t="shared" si="315"/>
        <v>9428.3035414691476</v>
      </c>
      <c r="U108" s="46">
        <f t="shared" si="315"/>
        <v>9428.3035414691476</v>
      </c>
      <c r="V108" s="46">
        <f t="shared" si="315"/>
        <v>9428.3035414691476</v>
      </c>
      <c r="W108" s="46">
        <f t="shared" si="315"/>
        <v>9428.3035414691476</v>
      </c>
      <c r="X108" s="46">
        <f>SUM(X98:X107)</f>
        <v>18194.520500384468</v>
      </c>
      <c r="Y108" s="46">
        <f>SUM(Y98:Y107)</f>
        <v>18194.520500384468</v>
      </c>
      <c r="Z108" s="46">
        <f>SUM(Z98:Z107)</f>
        <v>18194.520500384468</v>
      </c>
      <c r="AA108" s="46">
        <f>SUM(AA98:AA107)</f>
        <v>18194.520500384468</v>
      </c>
      <c r="AB108" s="46">
        <f t="shared" ref="AB108:AD108" si="317">SUM(AB98:AB107)</f>
        <v>18194.520500384468</v>
      </c>
      <c r="AC108" s="46">
        <f t="shared" si="317"/>
        <v>18194.520500384468</v>
      </c>
      <c r="AD108" s="46">
        <f t="shared" si="317"/>
        <v>18194.520500384468</v>
      </c>
      <c r="AE108" s="46">
        <f t="shared" ref="AE108" si="318">SUM(AE98:AE107)</f>
        <v>18194.520500384468</v>
      </c>
      <c r="AF108" s="46">
        <f t="shared" si="315"/>
        <v>9428.3035414691476</v>
      </c>
      <c r="AG108" s="46">
        <f t="shared" si="315"/>
        <v>10468.595956123949</v>
      </c>
      <c r="AH108" s="46">
        <f t="shared" si="315"/>
        <v>14061.255465963193</v>
      </c>
      <c r="AI108" s="46">
        <f t="shared" si="315"/>
        <v>14061.255465963193</v>
      </c>
      <c r="AJ108" s="46">
        <f t="shared" si="315"/>
        <v>16618.923796152561</v>
      </c>
      <c r="AK108" s="46">
        <f t="shared" si="315"/>
        <v>42158.37953736206</v>
      </c>
      <c r="AL108" s="46">
        <f t="shared" si="315"/>
        <v>41253.833478804823</v>
      </c>
      <c r="AM108" s="46">
        <f t="shared" si="315"/>
        <v>42158.37953736206</v>
      </c>
      <c r="AN108" s="46">
        <f t="shared" si="315"/>
        <v>45341.822613523444</v>
      </c>
      <c r="AO108" s="46">
        <f t="shared" si="315"/>
        <v>139611.59015591425</v>
      </c>
      <c r="AP108" s="46">
        <f t="shared" si="315"/>
        <v>149178.4086552462</v>
      </c>
      <c r="AQ108" s="46">
        <f t="shared" si="315"/>
        <v>165257.56804025947</v>
      </c>
      <c r="AR108" s="46">
        <f t="shared" si="315"/>
        <v>169437.72451142629</v>
      </c>
      <c r="AS108" s="46">
        <f t="shared" si="315"/>
        <v>169437.72451142629</v>
      </c>
      <c r="AT108" s="46">
        <f t="shared" si="315"/>
        <v>169437.72451142629</v>
      </c>
      <c r="AU108" s="46">
        <f t="shared" si="315"/>
        <v>169437.72451142629</v>
      </c>
      <c r="AV108" s="46">
        <f t="shared" si="315"/>
        <v>159610.22362705198</v>
      </c>
      <c r="AW108" s="46">
        <f t="shared" si="315"/>
        <v>179265.22539580055</v>
      </c>
      <c r="AX108" s="46">
        <f t="shared" si="315"/>
        <v>169437.72451142629</v>
      </c>
      <c r="AY108" s="46">
        <f t="shared" ref="AY108:BH108" si="319">SUM(AY98:AY107)</f>
        <v>158254.82543595519</v>
      </c>
      <c r="AZ108" s="46">
        <f t="shared" si="319"/>
        <v>158254.82543595519</v>
      </c>
      <c r="BA108" s="46">
        <f t="shared" si="319"/>
        <v>158254.82543595519</v>
      </c>
      <c r="BB108" s="46">
        <f t="shared" si="319"/>
        <v>158254.82543595519</v>
      </c>
      <c r="BC108" s="46">
        <f t="shared" si="319"/>
        <v>139611.59015591425</v>
      </c>
      <c r="BD108" s="46">
        <f t="shared" si="319"/>
        <v>139611.59015591425</v>
      </c>
      <c r="BE108" s="46">
        <f t="shared" si="319"/>
        <v>139611.59015591425</v>
      </c>
      <c r="BF108" s="46">
        <f t="shared" si="319"/>
        <v>139611.59015591425</v>
      </c>
      <c r="BG108" s="46">
        <f t="shared" si="319"/>
        <v>139611.59015591425</v>
      </c>
      <c r="BH108" s="46">
        <f t="shared" si="319"/>
        <v>139611.59015591425</v>
      </c>
      <c r="BI108" s="46">
        <f t="shared" ref="BI108:CN108" si="320">SUM(BI98:BI107)</f>
        <v>139611.59015591425</v>
      </c>
      <c r="BJ108" s="46">
        <f t="shared" si="320"/>
        <v>149178.4086552462</v>
      </c>
      <c r="BK108" s="46">
        <f t="shared" si="320"/>
        <v>165257.56804025947</v>
      </c>
      <c r="BL108" s="46">
        <f t="shared" si="320"/>
        <v>175989.39176767581</v>
      </c>
      <c r="BM108" s="46">
        <f t="shared" si="320"/>
        <v>175989.39176767581</v>
      </c>
      <c r="BN108" s="46">
        <f t="shared" si="320"/>
        <v>175989.39176767581</v>
      </c>
      <c r="BO108" s="46">
        <f t="shared" si="320"/>
        <v>175989.39176767581</v>
      </c>
      <c r="BP108" s="46">
        <f t="shared" si="320"/>
        <v>175989.39176767581</v>
      </c>
      <c r="BQ108" s="46">
        <f t="shared" si="320"/>
        <v>175989.39176767581</v>
      </c>
      <c r="BR108" s="46">
        <f t="shared" si="320"/>
        <v>164523.97406923916</v>
      </c>
      <c r="BS108" s="46">
        <f t="shared" si="320"/>
        <v>187454.80946611252</v>
      </c>
      <c r="BT108" s="46">
        <f t="shared" si="320"/>
        <v>175989.39176767581</v>
      </c>
      <c r="BU108" s="46">
        <f t="shared" si="320"/>
        <v>221851.06256142259</v>
      </c>
      <c r="BV108" s="46">
        <f t="shared" si="320"/>
        <v>221851.06256142259</v>
      </c>
      <c r="BW108" s="46">
        <f t="shared" si="320"/>
        <v>221851.06256142259</v>
      </c>
      <c r="BX108" s="46">
        <f t="shared" si="320"/>
        <v>221851.06256142259</v>
      </c>
      <c r="BY108" s="46">
        <f t="shared" si="320"/>
        <v>221851.06256142259</v>
      </c>
      <c r="BZ108" s="46">
        <f t="shared" si="320"/>
        <v>221851.06256142259</v>
      </c>
      <c r="CA108" s="46">
        <f t="shared" si="320"/>
        <v>198920.2271645492</v>
      </c>
      <c r="CB108" s="46">
        <f t="shared" si="320"/>
        <v>244781.89795829589</v>
      </c>
      <c r="CC108" s="46">
        <f t="shared" si="320"/>
        <v>221851.06256142259</v>
      </c>
      <c r="CD108" s="46">
        <f t="shared" si="320"/>
        <v>158254.82543595519</v>
      </c>
      <c r="CE108" s="46">
        <f t="shared" si="320"/>
        <v>158254.82543595519</v>
      </c>
      <c r="CF108" s="46">
        <f t="shared" si="320"/>
        <v>158254.82543595519</v>
      </c>
      <c r="CG108" s="46">
        <f t="shared" si="320"/>
        <v>158254.82543595519</v>
      </c>
      <c r="CH108" s="46">
        <f t="shared" si="320"/>
        <v>139611.59015591425</v>
      </c>
      <c r="CI108" s="46">
        <f t="shared" si="320"/>
        <v>149178.4086552462</v>
      </c>
      <c r="CJ108" s="46">
        <f t="shared" si="320"/>
        <v>165257.56804025947</v>
      </c>
      <c r="CK108" s="46">
        <f t="shared" si="320"/>
        <v>175989.39176767581</v>
      </c>
      <c r="CL108" s="46">
        <f t="shared" si="320"/>
        <v>221851.06256142259</v>
      </c>
      <c r="CM108" s="46">
        <f t="shared" si="320"/>
        <v>158254.82543595519</v>
      </c>
      <c r="CN108" s="46">
        <f t="shared" si="320"/>
        <v>177372.10428848426</v>
      </c>
      <c r="CO108" s="46">
        <f t="shared" ref="CO108:DF108" si="321">SUM(CO98:CO107)</f>
        <v>189077.16929706966</v>
      </c>
      <c r="CP108" s="46">
        <f t="shared" si="321"/>
        <v>206499.11620372877</v>
      </c>
      <c r="CQ108" s="46">
        <f t="shared" si="321"/>
        <v>205395.22077519743</v>
      </c>
      <c r="CR108" s="46">
        <f t="shared" si="321"/>
        <v>201791.95229480322</v>
      </c>
      <c r="CS108" s="46">
        <f t="shared" si="321"/>
        <v>177372.10428848426</v>
      </c>
      <c r="CT108" s="46">
        <f t="shared" si="321"/>
        <v>189077.16929706966</v>
      </c>
      <c r="CU108" s="46">
        <f t="shared" si="321"/>
        <v>206499.11620372877</v>
      </c>
      <c r="CV108" s="46">
        <f t="shared" si="321"/>
        <v>211946.88803144693</v>
      </c>
      <c r="CW108" s="46">
        <f t="shared" si="321"/>
        <v>257808.55882519373</v>
      </c>
      <c r="CX108" s="46">
        <f t="shared" si="321"/>
        <v>201791.95229480322</v>
      </c>
      <c r="CY108" s="46">
        <f t="shared" si="321"/>
        <v>177372.10428848426</v>
      </c>
      <c r="CZ108" s="46">
        <f t="shared" si="321"/>
        <v>189077.16929706966</v>
      </c>
      <c r="DA108" s="46">
        <f t="shared" si="321"/>
        <v>206499.11620372877</v>
      </c>
      <c r="DB108" s="46">
        <f t="shared" si="321"/>
        <v>211946.88803144693</v>
      </c>
      <c r="DC108" s="46">
        <f t="shared" si="321"/>
        <v>257808.55882519373</v>
      </c>
      <c r="DD108" s="46">
        <f t="shared" si="321"/>
        <v>201791.95229480322</v>
      </c>
      <c r="DE108" s="46">
        <f t="shared" si="321"/>
        <v>332109.19530860003</v>
      </c>
      <c r="DF108" s="46">
        <f t="shared" si="321"/>
        <v>341116.59808736137</v>
      </c>
      <c r="DG108" s="46"/>
      <c r="DH108" s="46">
        <f>SUM(DH98:DH107)</f>
        <v>443297.06661644066</v>
      </c>
      <c r="DI108" s="46">
        <f>SUM(DI98:DI107)</f>
        <v>541572.07546018367</v>
      </c>
      <c r="DJ108" s="46">
        <f>SUM(DJ98:DJ107)</f>
        <v>385656.78881969326</v>
      </c>
      <c r="DK108" s="46">
        <f t="shared" ref="DK108:DP108" si="322">SUM(DK98:DK107)</f>
        <v>971608.53422013647</v>
      </c>
      <c r="DL108" s="46">
        <f t="shared" si="322"/>
        <v>971608.53422013647</v>
      </c>
      <c r="DM108" s="46">
        <f>SUM(DM98:DM107)</f>
        <v>971608.53422013647</v>
      </c>
      <c r="DN108" s="46">
        <f t="shared" si="322"/>
        <v>971608.53422013647</v>
      </c>
      <c r="DO108" s="46">
        <f t="shared" si="322"/>
        <v>971608.53422013647</v>
      </c>
      <c r="DP108" s="46">
        <f t="shared" si="322"/>
        <v>971608.53422013647</v>
      </c>
      <c r="DQ108" s="46">
        <f t="shared" ref="DQ108:DW108" si="323">SUM(DQ98:DQ107)</f>
        <v>971608.53422013647</v>
      </c>
      <c r="DR108" s="46">
        <f t="shared" si="323"/>
        <v>972033.00652657403</v>
      </c>
      <c r="DS108" s="46">
        <f t="shared" si="323"/>
        <v>1608522.3613128401</v>
      </c>
      <c r="DT108" s="46">
        <f t="shared" si="323"/>
        <v>1608522.3613128401</v>
      </c>
      <c r="DU108" s="46">
        <f t="shared" si="323"/>
        <v>1346528.3891202114</v>
      </c>
      <c r="DV108" s="46">
        <f t="shared" si="323"/>
        <v>1148101.6308923126</v>
      </c>
      <c r="DW108" s="46">
        <f t="shared" si="323"/>
        <v>1148101.6308923126</v>
      </c>
      <c r="DX108" s="46">
        <f t="shared" ref="DX108:EC108" si="324">SUM(DX98:DX107)</f>
        <v>14290416.681102049</v>
      </c>
      <c r="DY108" s="46">
        <f t="shared" si="324"/>
        <v>14290416.681102049</v>
      </c>
      <c r="DZ108" s="46">
        <f t="shared" si="324"/>
        <v>14290416.681102049</v>
      </c>
      <c r="EA108" s="46">
        <f t="shared" si="324"/>
        <v>14290416.681102049</v>
      </c>
      <c r="EB108" s="46">
        <f t="shared" si="324"/>
        <v>14290416.681102049</v>
      </c>
      <c r="EC108" s="46">
        <f t="shared" si="324"/>
        <v>14290416.681102049</v>
      </c>
      <c r="ED108" s="46">
        <f>SUM(ED98:ED107)</f>
        <v>14290416.681102049</v>
      </c>
      <c r="EF108" s="21"/>
      <c r="EG108" s="21"/>
    </row>
    <row r="109" spans="1:137" ht="13.5" customHeight="1" x14ac:dyDescent="0.3">
      <c r="EF109" s="24"/>
      <c r="EG109" s="24"/>
    </row>
    <row r="111" spans="1:137" x14ac:dyDescent="0.3">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row>
    <row r="112" spans="1:137" x14ac:dyDescent="0.3">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row>
    <row r="113" spans="4:137" x14ac:dyDescent="0.3">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row>
    <row r="114" spans="4:137" x14ac:dyDescent="0.3">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row>
    <row r="115" spans="4:137" x14ac:dyDescent="0.3">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row>
    <row r="116" spans="4:137" x14ac:dyDescent="0.3">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row>
    <row r="117" spans="4:137" x14ac:dyDescent="0.3">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row>
    <row r="118" spans="4:137" x14ac:dyDescent="0.3">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row>
    <row r="119" spans="4:137" x14ac:dyDescent="0.3">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row>
    <row r="120" spans="4:137" x14ac:dyDescent="0.3">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row>
    <row r="121" spans="4:137" s="24" customFormat="1" x14ac:dyDescent="0.3">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F121" s="21"/>
      <c r="EG121" s="21"/>
    </row>
  </sheetData>
  <hyperlinks>
    <hyperlink ref="EF8" r:id="rId1" xr:uid="{00000000-0004-0000-0300-000000000000}"/>
    <hyperlink ref="EF9" r:id="rId2" display="Cherry et al., 2009" xr:uid="{00000000-0004-0000-0300-000001000000}"/>
    <hyperlink ref="EF60" r:id="rId3" xr:uid="{00000000-0004-0000-0300-000002000000}"/>
  </hyperlinks>
  <pageMargins left="0.7" right="0.7" top="0.75" bottom="0.75" header="0.3" footer="0.3"/>
  <pageSetup paperSize="9" orientation="portrait"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7BC143"/>
  </sheetPr>
  <dimension ref="B1:CC112"/>
  <sheetViews>
    <sheetView topLeftCell="I19" zoomScale="115" zoomScaleNormal="115" zoomScalePageLayoutView="200" workbookViewId="0">
      <selection activeCell="I41" sqref="I41"/>
    </sheetView>
  </sheetViews>
  <sheetFormatPr defaultColWidth="8.88671875" defaultRowHeight="14.4" x14ac:dyDescent="0.3"/>
  <cols>
    <col min="1" max="1" width="3.44140625" style="349" customWidth="1"/>
    <col min="2" max="2" width="27" style="349" customWidth="1"/>
    <col min="3" max="11" width="8.88671875" style="349" customWidth="1"/>
    <col min="12" max="13" width="9.5546875" style="349" customWidth="1"/>
    <col min="14" max="14" width="9.5546875" style="350" customWidth="1"/>
    <col min="15" max="15" width="11" style="349" customWidth="1"/>
    <col min="16" max="17" width="9.5546875" style="349" customWidth="1"/>
    <col min="18" max="18" width="12.44140625" style="349" customWidth="1"/>
    <col min="19" max="22" width="9.5546875" style="349" customWidth="1"/>
    <col min="23" max="23" width="9.77734375" style="349" customWidth="1"/>
    <col min="24"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O3" s="401"/>
      <c r="R3" s="417"/>
    </row>
    <row r="5" spans="2:41" x14ac:dyDescent="0.3">
      <c r="B5" s="350" t="s">
        <v>1084</v>
      </c>
      <c r="C5" s="358" t="s">
        <v>1083</v>
      </c>
      <c r="K5" s="523"/>
      <c r="L5" s="523"/>
      <c r="M5" s="523"/>
      <c r="N5" s="524"/>
      <c r="O5" s="523"/>
      <c r="P5" s="523"/>
      <c r="Q5" s="523"/>
      <c r="R5" s="523"/>
      <c r="S5" s="523"/>
      <c r="T5" s="523"/>
      <c r="U5" s="523"/>
      <c r="V5" s="523"/>
      <c r="W5" s="523"/>
      <c r="X5" s="523"/>
    </row>
    <row r="6" spans="2:41" x14ac:dyDescent="0.3">
      <c r="B6" s="350" t="s">
        <v>1082</v>
      </c>
      <c r="C6" s="358" t="s">
        <v>1081</v>
      </c>
      <c r="K6" s="523"/>
      <c r="L6" s="523"/>
      <c r="M6" s="523"/>
      <c r="N6" s="524"/>
      <c r="O6" s="523"/>
      <c r="P6" s="523"/>
      <c r="Q6" s="523"/>
      <c r="R6" s="523"/>
      <c r="S6" s="523"/>
      <c r="T6" s="523"/>
      <c r="U6" s="523"/>
      <c r="V6" s="523"/>
      <c r="W6" s="523"/>
      <c r="X6" s="523"/>
      <c r="Y6" s="401"/>
      <c r="Z6" s="401"/>
    </row>
    <row r="7" spans="2:41" x14ac:dyDescent="0.3">
      <c r="B7" s="350" t="s">
        <v>1080</v>
      </c>
      <c r="C7" s="358" t="s">
        <v>1079</v>
      </c>
      <c r="K7" s="523"/>
      <c r="L7" s="523"/>
      <c r="M7" s="523"/>
      <c r="N7" s="524"/>
      <c r="O7" s="523"/>
      <c r="P7" s="523"/>
      <c r="Q7" s="523"/>
      <c r="R7" s="523"/>
      <c r="S7" s="523"/>
      <c r="T7" s="523"/>
      <c r="U7" s="523"/>
      <c r="V7" s="523"/>
      <c r="W7" s="523"/>
      <c r="X7" s="523"/>
      <c r="Y7" s="401"/>
      <c r="Z7" s="401"/>
      <c r="AI7" s="359"/>
    </row>
    <row r="8" spans="2:41" x14ac:dyDescent="0.3">
      <c r="B8" s="350" t="s">
        <v>1078</v>
      </c>
      <c r="C8" s="358" t="s">
        <v>1077</v>
      </c>
      <c r="K8" s="523"/>
      <c r="L8" s="552"/>
      <c r="M8" s="552"/>
      <c r="N8" s="553"/>
      <c r="O8" s="552"/>
      <c r="P8" s="552"/>
      <c r="Q8" s="553"/>
      <c r="R8" s="552"/>
      <c r="S8" s="552"/>
      <c r="T8" s="552"/>
      <c r="U8" s="527"/>
      <c r="V8" s="527"/>
      <c r="W8" s="523"/>
      <c r="X8" s="523"/>
      <c r="Y8" s="401"/>
      <c r="Z8" s="401"/>
      <c r="AI8" s="359"/>
    </row>
    <row r="9" spans="2:41" ht="16.2" x14ac:dyDescent="0.3">
      <c r="B9" s="350"/>
      <c r="J9" s="366" t="s">
        <v>1076</v>
      </c>
      <c r="K9" s="523"/>
      <c r="L9" s="554"/>
      <c r="M9" s="554"/>
      <c r="N9" s="555"/>
      <c r="O9" s="554"/>
      <c r="P9" s="554"/>
      <c r="Q9" s="555"/>
      <c r="R9" s="554"/>
      <c r="S9" s="552"/>
      <c r="T9" s="552"/>
      <c r="V9" s="527"/>
      <c r="W9" s="523"/>
      <c r="X9" s="523"/>
      <c r="Y9" s="401"/>
      <c r="Z9" s="401"/>
      <c r="AI9" s="359"/>
    </row>
    <row r="10" spans="2:41" ht="37.200000000000003" customHeight="1" x14ac:dyDescent="0.3">
      <c r="B10" s="350" t="s">
        <v>1075</v>
      </c>
      <c r="K10" s="523"/>
      <c r="L10" s="552" t="str">
        <f>E44</f>
        <v>Private bike</v>
      </c>
      <c r="M10" s="552"/>
      <c r="N10" s="553"/>
      <c r="O10" s="552" t="str">
        <f>G44</f>
        <v>Private e-bike</v>
      </c>
      <c r="P10" s="552"/>
      <c r="Q10" s="553"/>
      <c r="R10" s="552" t="str">
        <f>C44</f>
        <v>Private e-scooter</v>
      </c>
      <c r="S10" s="552"/>
      <c r="T10" s="552"/>
      <c r="V10" s="527"/>
      <c r="W10" s="523"/>
      <c r="X10" s="523"/>
      <c r="Y10" s="401"/>
      <c r="Z10" s="401"/>
      <c r="AI10" s="359"/>
    </row>
    <row r="11" spans="2:41" x14ac:dyDescent="0.3">
      <c r="B11" s="350" t="s">
        <v>1074</v>
      </c>
      <c r="C11" s="358" t="s">
        <v>1073</v>
      </c>
      <c r="K11" s="523"/>
      <c r="L11" s="552"/>
      <c r="M11" s="552"/>
      <c r="N11" s="553"/>
      <c r="O11" s="552"/>
      <c r="P11" s="552"/>
      <c r="Q11" s="553"/>
      <c r="R11" s="552"/>
      <c r="S11" s="552"/>
      <c r="T11" s="552"/>
      <c r="V11" s="527"/>
      <c r="W11" s="523"/>
      <c r="X11" s="523"/>
      <c r="Y11" s="401"/>
      <c r="Z11" s="401"/>
      <c r="AI11" s="359"/>
    </row>
    <row r="12" spans="2:41" x14ac:dyDescent="0.3">
      <c r="B12" s="350" t="s">
        <v>1072</v>
      </c>
      <c r="C12" s="358" t="str">
        <f>'0_Total'!A98&amp;" "&amp;'0_Total'!B98</f>
        <v>GHG emissions per pkm [g CO₂/pkm]</v>
      </c>
      <c r="K12" s="523"/>
      <c r="L12" s="556"/>
      <c r="M12" s="556"/>
      <c r="N12" s="557"/>
      <c r="O12" s="556"/>
      <c r="P12" s="556"/>
      <c r="Q12" s="557"/>
      <c r="R12" s="556"/>
      <c r="S12" s="556"/>
      <c r="T12" s="556"/>
      <c r="V12" s="527"/>
      <c r="W12" s="523"/>
      <c r="X12" s="523"/>
      <c r="Y12" s="401"/>
      <c r="Z12" s="401"/>
      <c r="AI12" s="359"/>
    </row>
    <row r="13" spans="2:41" x14ac:dyDescent="0.3">
      <c r="B13" s="350"/>
      <c r="C13" s="352"/>
      <c r="K13" s="523"/>
      <c r="L13" s="552"/>
      <c r="M13" s="552"/>
      <c r="N13" s="553"/>
      <c r="O13" s="552"/>
      <c r="P13" s="552"/>
      <c r="Q13" s="553"/>
      <c r="R13" s="552"/>
      <c r="S13" s="552"/>
      <c r="T13" s="552"/>
      <c r="V13" s="527"/>
      <c r="W13" s="523"/>
      <c r="X13" s="523"/>
      <c r="Y13" s="401"/>
      <c r="Z13" s="401"/>
      <c r="AI13" s="359"/>
    </row>
    <row r="14" spans="2:41" x14ac:dyDescent="0.3">
      <c r="B14" s="350" t="s">
        <v>1071</v>
      </c>
      <c r="C14" s="352"/>
      <c r="K14" s="523"/>
      <c r="L14" s="554"/>
      <c r="M14" s="554"/>
      <c r="N14" s="555"/>
      <c r="O14" s="554"/>
      <c r="P14" s="554"/>
      <c r="Q14" s="555"/>
      <c r="R14" s="554"/>
      <c r="S14" s="552"/>
      <c r="T14" s="552"/>
      <c r="V14" s="527"/>
      <c r="W14" s="523"/>
      <c r="X14" s="523"/>
      <c r="Y14" s="401"/>
      <c r="Z14" s="401"/>
      <c r="AI14" s="359"/>
    </row>
    <row r="15" spans="2:41" ht="37.950000000000003" customHeight="1" x14ac:dyDescent="0.3">
      <c r="B15" s="350" t="s">
        <v>1070</v>
      </c>
      <c r="C15" s="365" t="s">
        <v>1069</v>
      </c>
      <c r="K15" s="523"/>
      <c r="L15" s="552" t="str">
        <f>F44</f>
        <v>Shared bike</v>
      </c>
      <c r="M15" s="552"/>
      <c r="N15" s="553"/>
      <c r="O15" s="552" t="str">
        <f>H44</f>
        <v>Shared e-bike</v>
      </c>
      <c r="P15" s="552"/>
      <c r="Q15" s="553"/>
      <c r="R15" s="558" t="str">
        <f>D44</f>
        <v>Shared e-scooter
(first generation)</v>
      </c>
      <c r="S15" s="558"/>
      <c r="T15" s="558"/>
      <c r="U15" s="401"/>
      <c r="V15" s="527"/>
      <c r="W15" s="523"/>
      <c r="X15" s="523"/>
      <c r="Y15" s="401"/>
      <c r="Z15" s="401"/>
      <c r="AI15" s="359"/>
    </row>
    <row r="16" spans="2:41" x14ac:dyDescent="0.3">
      <c r="B16" s="350" t="s">
        <v>1068</v>
      </c>
      <c r="C16" s="365" t="s">
        <v>1067</v>
      </c>
      <c r="K16" s="523"/>
      <c r="L16" s="558"/>
      <c r="M16" s="552"/>
      <c r="N16" s="553"/>
      <c r="O16" s="552"/>
      <c r="P16" s="552"/>
      <c r="Q16" s="553"/>
      <c r="R16" s="552"/>
      <c r="S16" s="552"/>
      <c r="T16" s="552"/>
      <c r="U16" s="527"/>
      <c r="V16" s="527"/>
      <c r="W16" s="523"/>
      <c r="X16" s="523"/>
      <c r="Y16" s="401"/>
      <c r="Z16" s="401"/>
      <c r="AI16" s="359"/>
    </row>
    <row r="17" spans="2:39" ht="4.95" customHeight="1" x14ac:dyDescent="0.3">
      <c r="B17" s="350"/>
      <c r="C17" s="352"/>
      <c r="K17" s="523"/>
      <c r="L17" s="552"/>
      <c r="M17" s="552"/>
      <c r="N17" s="553"/>
      <c r="O17" s="552"/>
      <c r="P17" s="552"/>
      <c r="Q17" s="553"/>
      <c r="R17" s="552"/>
      <c r="S17" s="552"/>
      <c r="T17" s="552"/>
      <c r="U17" s="527"/>
      <c r="V17" s="527"/>
      <c r="W17" s="523"/>
      <c r="X17" s="523"/>
      <c r="Y17" s="401"/>
      <c r="Z17" s="401"/>
      <c r="AI17" s="359"/>
    </row>
    <row r="18" spans="2:39" ht="15" thickBot="1" x14ac:dyDescent="0.35">
      <c r="B18" s="350" t="s">
        <v>1066</v>
      </c>
      <c r="K18" s="523"/>
      <c r="L18" s="559"/>
      <c r="M18" s="559"/>
      <c r="N18" s="560"/>
      <c r="O18" s="561"/>
      <c r="P18" s="561"/>
      <c r="Q18" s="560"/>
      <c r="R18" s="561"/>
      <c r="S18" s="561"/>
      <c r="T18" s="561"/>
      <c r="U18" s="527"/>
      <c r="V18" s="527"/>
      <c r="W18" s="523"/>
      <c r="X18" s="523"/>
      <c r="Y18" s="401"/>
      <c r="Z18" s="401"/>
      <c r="AI18" s="359"/>
    </row>
    <row r="19" spans="2:39" x14ac:dyDescent="0.3">
      <c r="B19" s="624" t="s">
        <v>1065</v>
      </c>
      <c r="C19" s="625"/>
      <c r="D19" s="625"/>
      <c r="E19" s="625"/>
      <c r="F19" s="625"/>
      <c r="G19" s="625"/>
      <c r="H19" s="626"/>
      <c r="K19" s="523"/>
      <c r="L19" s="554"/>
      <c r="M19" s="554"/>
      <c r="N19" s="555"/>
      <c r="O19" s="554"/>
      <c r="P19" s="554"/>
      <c r="Q19" s="555"/>
      <c r="R19" s="554"/>
      <c r="S19" s="552"/>
      <c r="T19" s="552"/>
      <c r="U19" s="527"/>
      <c r="V19" s="527"/>
      <c r="W19" s="523"/>
      <c r="X19" s="523"/>
      <c r="Y19" s="401"/>
      <c r="Z19" s="401"/>
      <c r="AI19" s="359"/>
    </row>
    <row r="20" spans="2:39" ht="7.5" customHeight="1" x14ac:dyDescent="0.3">
      <c r="B20" s="627"/>
      <c r="C20" s="628"/>
      <c r="D20" s="628"/>
      <c r="E20" s="628"/>
      <c r="F20" s="628"/>
      <c r="G20" s="628"/>
      <c r="H20" s="629"/>
      <c r="K20" s="523"/>
      <c r="L20" s="554"/>
      <c r="M20" s="554"/>
      <c r="N20" s="555"/>
      <c r="O20" s="554"/>
      <c r="P20" s="554"/>
      <c r="Q20" s="555"/>
      <c r="R20" s="554"/>
      <c r="S20" s="552"/>
      <c r="T20" s="552"/>
      <c r="U20" s="527"/>
      <c r="V20" s="527"/>
      <c r="W20" s="523"/>
      <c r="X20" s="523"/>
      <c r="Y20" s="401"/>
      <c r="Z20" s="401"/>
    </row>
    <row r="21" spans="2:39" ht="8.6999999999999993" customHeight="1" x14ac:dyDescent="0.3">
      <c r="B21" s="627"/>
      <c r="C21" s="628"/>
      <c r="D21" s="628"/>
      <c r="E21" s="628"/>
      <c r="F21" s="628"/>
      <c r="G21" s="628"/>
      <c r="H21" s="629"/>
      <c r="K21" s="523"/>
      <c r="L21" s="554"/>
      <c r="M21" s="554"/>
      <c r="N21" s="555"/>
      <c r="O21" s="554"/>
      <c r="P21" s="554"/>
      <c r="Q21" s="555"/>
      <c r="R21" s="554"/>
      <c r="S21" s="552"/>
      <c r="T21" s="552"/>
      <c r="U21" s="527"/>
      <c r="V21" s="527"/>
      <c r="W21" s="523"/>
      <c r="X21" s="523"/>
      <c r="Y21" s="401"/>
      <c r="Z21" s="401"/>
    </row>
    <row r="22" spans="2:39" ht="43.95" customHeight="1" x14ac:dyDescent="0.3">
      <c r="B22" s="627"/>
      <c r="C22" s="628"/>
      <c r="D22" s="628"/>
      <c r="E22" s="628"/>
      <c r="F22" s="628"/>
      <c r="G22" s="628"/>
      <c r="H22" s="629"/>
      <c r="K22" s="523"/>
      <c r="L22" s="552" t="str">
        <f>J44</f>
        <v>Private moped - BEV</v>
      </c>
      <c r="M22" s="554"/>
      <c r="N22" s="555"/>
      <c r="O22" s="552" t="str">
        <f>N44</f>
        <v>Private car - HEV</v>
      </c>
      <c r="P22" s="552"/>
      <c r="Q22" s="555"/>
      <c r="R22" s="552" t="str">
        <f>P44</f>
        <v>Private car - BEV</v>
      </c>
      <c r="S22" s="552"/>
      <c r="T22" s="552"/>
      <c r="U22" s="527"/>
      <c r="V22" s="527"/>
      <c r="W22" s="523"/>
      <c r="X22" s="523"/>
      <c r="Y22" s="402"/>
      <c r="Z22" s="402"/>
    </row>
    <row r="23" spans="2:39" x14ac:dyDescent="0.3">
      <c r="B23" s="627"/>
      <c r="C23" s="628"/>
      <c r="D23" s="628"/>
      <c r="E23" s="628"/>
      <c r="F23" s="628"/>
      <c r="G23" s="628"/>
      <c r="H23" s="629"/>
      <c r="K23" s="523"/>
      <c r="L23" s="552"/>
      <c r="M23" s="554"/>
      <c r="N23" s="555"/>
      <c r="O23" s="552"/>
      <c r="P23" s="552"/>
      <c r="Q23" s="555"/>
      <c r="R23" s="552"/>
      <c r="S23" s="552"/>
      <c r="T23" s="552"/>
      <c r="U23" s="527"/>
      <c r="V23" s="527"/>
      <c r="W23" s="523"/>
      <c r="X23" s="523"/>
      <c r="Y23" s="402"/>
      <c r="Z23" s="402"/>
    </row>
    <row r="24" spans="2:39" ht="13.5" customHeight="1" x14ac:dyDescent="0.3">
      <c r="B24" s="627"/>
      <c r="C24" s="628"/>
      <c r="D24" s="628"/>
      <c r="E24" s="628"/>
      <c r="F24" s="628"/>
      <c r="G24" s="628"/>
      <c r="H24" s="629"/>
      <c r="K24" s="523"/>
      <c r="L24" s="556"/>
      <c r="M24" s="556"/>
      <c r="N24" s="557"/>
      <c r="O24" s="556"/>
      <c r="P24" s="556"/>
      <c r="Q24" s="557"/>
      <c r="R24" s="556"/>
      <c r="S24" s="556"/>
      <c r="T24" s="556"/>
      <c r="U24" s="527"/>
      <c r="V24" s="527"/>
      <c r="W24" s="523"/>
      <c r="X24" s="523"/>
      <c r="Y24" s="401"/>
      <c r="Z24" s="401"/>
      <c r="AB24" s="364"/>
    </row>
    <row r="25" spans="2:39" s="350" customFormat="1" ht="4.95" customHeight="1" x14ac:dyDescent="0.3">
      <c r="B25" s="627"/>
      <c r="C25" s="628"/>
      <c r="D25" s="628"/>
      <c r="E25" s="628"/>
      <c r="F25" s="628"/>
      <c r="G25" s="628"/>
      <c r="H25" s="629"/>
      <c r="K25" s="524"/>
      <c r="L25" s="552"/>
      <c r="M25" s="554"/>
      <c r="N25" s="555"/>
      <c r="O25" s="552"/>
      <c r="P25" s="552"/>
      <c r="Q25" s="555"/>
      <c r="R25" s="562"/>
      <c r="S25" s="562"/>
      <c r="T25" s="562"/>
      <c r="U25" s="528"/>
      <c r="V25" s="528"/>
      <c r="W25" s="523"/>
      <c r="X25" s="523"/>
      <c r="Y25" s="402"/>
      <c r="Z25" s="402"/>
      <c r="AB25" s="362"/>
    </row>
    <row r="26" spans="2:39" x14ac:dyDescent="0.3">
      <c r="B26" s="627"/>
      <c r="C26" s="628"/>
      <c r="D26" s="628"/>
      <c r="E26" s="628"/>
      <c r="F26" s="628"/>
      <c r="G26" s="628"/>
      <c r="H26" s="629"/>
      <c r="L26" s="552"/>
      <c r="M26" s="554"/>
      <c r="N26" s="555"/>
      <c r="O26" s="552"/>
      <c r="P26" s="552"/>
      <c r="Q26" s="555"/>
      <c r="R26" s="558"/>
      <c r="S26" s="558"/>
      <c r="T26" s="558"/>
      <c r="U26" s="529"/>
      <c r="V26" s="529"/>
      <c r="W26" s="525"/>
      <c r="X26" s="525"/>
      <c r="Y26" s="526"/>
      <c r="Z26" s="526"/>
      <c r="AB26" s="355"/>
      <c r="AC26" s="354"/>
      <c r="AD26" s="354"/>
      <c r="AE26" s="354"/>
      <c r="AF26" s="354"/>
      <c r="AG26" s="354"/>
      <c r="AH26" s="354"/>
      <c r="AI26" s="354"/>
      <c r="AJ26" s="354"/>
      <c r="AK26" s="354"/>
      <c r="AL26" s="354"/>
      <c r="AM26" s="354"/>
    </row>
    <row r="27" spans="2:39" ht="50.7" customHeight="1" x14ac:dyDescent="0.3">
      <c r="B27" s="627"/>
      <c r="C27" s="628"/>
      <c r="D27" s="628"/>
      <c r="E27" s="628"/>
      <c r="F27" s="628"/>
      <c r="G27" s="628"/>
      <c r="H27" s="629"/>
      <c r="L27" s="552" t="str">
        <f>L44</f>
        <v>Shared moped - BEV</v>
      </c>
      <c r="M27" s="554"/>
      <c r="N27" s="555"/>
      <c r="O27" s="552" t="str">
        <f>W44</f>
        <v>Ridesourcing - car - HEV</v>
      </c>
      <c r="P27" s="562"/>
      <c r="Q27" s="555"/>
      <c r="R27" s="552" t="str">
        <f>Z44</f>
        <v>Ridesourcing - car - BEV (two packs)</v>
      </c>
      <c r="S27" s="558"/>
      <c r="T27" s="558"/>
      <c r="U27" s="529"/>
      <c r="V27" s="529"/>
      <c r="W27" s="525"/>
      <c r="X27" s="525"/>
      <c r="Y27" s="526"/>
      <c r="Z27" s="526"/>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L28" s="554"/>
      <c r="M28" s="554"/>
      <c r="N28" s="555"/>
      <c r="O28" s="554"/>
      <c r="P28" s="558"/>
      <c r="Q28" s="555"/>
      <c r="R28" s="558"/>
      <c r="S28" s="558"/>
      <c r="T28" s="558"/>
      <c r="U28" s="529"/>
      <c r="V28" s="529"/>
      <c r="W28" s="525"/>
      <c r="X28" s="525"/>
      <c r="Y28" s="526"/>
      <c r="Z28" s="526"/>
      <c r="AB28" s="355"/>
      <c r="AC28" s="354"/>
      <c r="AD28" s="354"/>
      <c r="AE28" s="354"/>
      <c r="AF28" s="354"/>
      <c r="AG28" s="354"/>
      <c r="AH28" s="354"/>
      <c r="AI28" s="354"/>
      <c r="AJ28" s="354"/>
      <c r="AK28" s="354"/>
      <c r="AL28" s="354"/>
      <c r="AM28" s="354"/>
    </row>
    <row r="29" spans="2:39" ht="4.95" customHeight="1" x14ac:dyDescent="0.3">
      <c r="B29" s="627"/>
      <c r="C29" s="628"/>
      <c r="D29" s="628"/>
      <c r="E29" s="628"/>
      <c r="F29" s="628"/>
      <c r="G29" s="628"/>
      <c r="H29" s="629"/>
      <c r="L29" s="554"/>
      <c r="M29" s="554"/>
      <c r="N29" s="555"/>
      <c r="O29" s="554"/>
      <c r="P29" s="554"/>
      <c r="Q29" s="555"/>
      <c r="R29" s="554"/>
      <c r="S29" s="558"/>
      <c r="T29" s="558"/>
      <c r="U29" s="529"/>
      <c r="V29" s="529"/>
      <c r="W29" s="525"/>
      <c r="X29" s="525"/>
      <c r="Y29" s="526"/>
      <c r="Z29" s="526"/>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L30" s="554"/>
      <c r="M30" s="554"/>
      <c r="N30" s="555"/>
      <c r="O30" s="552"/>
      <c r="P30" s="558"/>
      <c r="Q30" s="555"/>
      <c r="R30" s="558"/>
      <c r="S30" s="558"/>
      <c r="T30" s="558"/>
      <c r="U30" s="529"/>
      <c r="V30" s="529"/>
      <c r="W30" s="525"/>
      <c r="X30" s="525"/>
      <c r="Y30" s="526"/>
      <c r="Z30" s="526"/>
      <c r="AB30" s="355"/>
      <c r="AC30" s="354"/>
      <c r="AD30" s="354"/>
      <c r="AE30" s="354"/>
      <c r="AF30" s="354"/>
      <c r="AG30" s="354"/>
      <c r="AH30" s="354"/>
      <c r="AI30" s="354"/>
      <c r="AJ30" s="354"/>
      <c r="AK30" s="354"/>
      <c r="AL30" s="354"/>
      <c r="AM30" s="354"/>
    </row>
    <row r="31" spans="2:39" ht="10.5" customHeight="1" x14ac:dyDescent="0.3">
      <c r="B31" s="627"/>
      <c r="C31" s="628"/>
      <c r="D31" s="628"/>
      <c r="E31" s="628"/>
      <c r="F31" s="628"/>
      <c r="G31" s="628"/>
      <c r="H31" s="629"/>
      <c r="L31" s="554"/>
      <c r="M31" s="554"/>
      <c r="N31" s="555"/>
      <c r="O31" s="554"/>
      <c r="P31" s="554"/>
      <c r="Q31" s="555"/>
      <c r="R31" s="554"/>
      <c r="S31" s="558"/>
      <c r="T31" s="558"/>
      <c r="U31" s="529"/>
      <c r="V31" s="529"/>
      <c r="W31" s="525"/>
      <c r="X31" s="525"/>
      <c r="Y31" s="526"/>
      <c r="Z31" s="526"/>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L32" s="554"/>
      <c r="M32" s="554"/>
      <c r="N32" s="555"/>
      <c r="O32" s="554"/>
      <c r="P32" s="554"/>
      <c r="Q32" s="555"/>
      <c r="R32" s="554"/>
      <c r="S32" s="558"/>
      <c r="T32" s="558"/>
      <c r="U32" s="401"/>
      <c r="V32" s="401"/>
      <c r="W32" s="525"/>
      <c r="X32" s="525"/>
      <c r="Y32" s="526"/>
      <c r="Z32" s="526"/>
      <c r="AB32" s="355"/>
      <c r="AC32" s="354"/>
      <c r="AD32" s="354"/>
      <c r="AE32" s="354"/>
      <c r="AF32" s="354"/>
      <c r="AG32" s="354"/>
      <c r="AH32" s="354"/>
      <c r="AI32" s="354"/>
      <c r="AJ32" s="354"/>
      <c r="AK32" s="354"/>
      <c r="AL32" s="354"/>
      <c r="AM32" s="354"/>
    </row>
    <row r="33" spans="2:81" ht="25.2" customHeight="1" x14ac:dyDescent="0.3">
      <c r="B33" s="630"/>
      <c r="C33" s="631"/>
      <c r="D33" s="631"/>
      <c r="E33" s="631"/>
      <c r="F33" s="631"/>
      <c r="G33" s="631"/>
      <c r="H33" s="632"/>
      <c r="L33" s="554"/>
      <c r="M33" s="554"/>
      <c r="N33" s="555"/>
      <c r="O33" s="552" t="str">
        <f>R44</f>
        <v>Taxi  HEV</v>
      </c>
      <c r="P33" s="558"/>
      <c r="Q33" s="555"/>
      <c r="R33" s="558" t="str">
        <f>T44</f>
        <v>Taxi  BEV (two packs)</v>
      </c>
      <c r="S33" s="563"/>
      <c r="T33" s="563"/>
      <c r="U33" s="525"/>
      <c r="V33" s="525"/>
      <c r="W33" s="525"/>
      <c r="X33" s="525"/>
      <c r="Y33" s="526"/>
      <c r="Z33" s="526"/>
      <c r="AB33" s="355"/>
      <c r="AC33" s="354"/>
      <c r="AD33" s="354"/>
      <c r="AE33" s="354"/>
      <c r="AF33" s="354"/>
      <c r="AG33" s="354"/>
      <c r="AH33" s="354"/>
      <c r="AI33" s="354"/>
      <c r="AJ33" s="354"/>
      <c r="AK33" s="354"/>
      <c r="AL33" s="354"/>
      <c r="AM33" s="354"/>
    </row>
    <row r="34" spans="2:81" x14ac:dyDescent="0.3">
      <c r="L34" s="554"/>
      <c r="M34" s="554"/>
      <c r="N34" s="555"/>
      <c r="O34" s="554"/>
      <c r="P34" s="558"/>
      <c r="Q34" s="555"/>
      <c r="R34" s="554"/>
      <c r="S34" s="564"/>
      <c r="T34" s="564"/>
      <c r="U34" s="526"/>
      <c r="V34" s="526"/>
      <c r="W34" s="526"/>
      <c r="X34" s="526"/>
      <c r="Y34" s="526"/>
      <c r="Z34" s="526"/>
      <c r="AB34" s="355"/>
      <c r="AC34" s="354"/>
      <c r="AD34" s="354"/>
      <c r="AE34" s="354"/>
      <c r="AF34" s="354"/>
      <c r="AG34" s="354"/>
      <c r="AH34" s="354"/>
      <c r="AI34" s="354"/>
      <c r="AJ34" s="354"/>
      <c r="AK34" s="354"/>
      <c r="AL34" s="354"/>
      <c r="AM34" s="354"/>
    </row>
    <row r="35" spans="2:81" x14ac:dyDescent="0.3">
      <c r="L35" s="558"/>
      <c r="M35" s="558"/>
      <c r="N35" s="565"/>
      <c r="O35" s="564"/>
      <c r="P35" s="564"/>
      <c r="Q35" s="565"/>
      <c r="R35" s="564"/>
      <c r="S35" s="564"/>
      <c r="T35" s="564"/>
      <c r="U35" s="526"/>
      <c r="V35" s="526"/>
      <c r="W35" s="526"/>
      <c r="X35" s="526"/>
      <c r="Y35" s="526"/>
      <c r="Z35" s="526"/>
      <c r="AB35" s="355"/>
      <c r="AC35" s="354"/>
      <c r="AD35" s="354"/>
      <c r="AE35" s="354"/>
      <c r="AF35" s="354"/>
      <c r="AG35" s="354"/>
      <c r="AH35" s="354"/>
      <c r="AI35" s="354"/>
      <c r="AJ35" s="354"/>
      <c r="AK35" s="354"/>
      <c r="AL35" s="354"/>
      <c r="AM35" s="354"/>
    </row>
    <row r="36" spans="2:81" x14ac:dyDescent="0.3">
      <c r="L36" s="558"/>
      <c r="M36" s="558"/>
      <c r="N36" s="566"/>
      <c r="O36" s="564"/>
      <c r="P36" s="564"/>
      <c r="Q36" s="564"/>
      <c r="R36" s="564"/>
      <c r="S36" s="564"/>
      <c r="T36" s="564"/>
      <c r="U36" s="526"/>
      <c r="V36" s="526"/>
      <c r="W36" s="526"/>
      <c r="X36" s="526"/>
      <c r="Y36" s="526"/>
      <c r="Z36" s="526"/>
      <c r="AB36" s="355"/>
      <c r="AC36" s="354"/>
      <c r="AD36" s="354"/>
      <c r="AE36" s="354"/>
      <c r="AF36" s="354"/>
      <c r="AG36" s="354"/>
      <c r="AH36" s="354"/>
      <c r="AI36" s="354"/>
      <c r="AJ36" s="354"/>
      <c r="AK36" s="354"/>
      <c r="AL36" s="354"/>
      <c r="AM36" s="354"/>
    </row>
    <row r="37" spans="2:81" x14ac:dyDescent="0.3">
      <c r="L37" s="558"/>
      <c r="M37" s="558"/>
      <c r="N37" s="566"/>
      <c r="O37" s="564"/>
      <c r="P37" s="564"/>
      <c r="Q37" s="564"/>
      <c r="R37" s="564"/>
      <c r="S37" s="564"/>
      <c r="T37" s="564"/>
      <c r="U37" s="526"/>
      <c r="V37" s="526"/>
      <c r="W37" s="526"/>
      <c r="X37" s="526"/>
      <c r="Y37" s="526"/>
      <c r="Z37" s="526"/>
      <c r="AB37" s="355"/>
      <c r="AC37" s="354"/>
      <c r="AD37" s="354"/>
      <c r="AE37" s="354"/>
      <c r="AF37" s="354"/>
      <c r="AG37" s="354"/>
      <c r="AH37" s="354"/>
      <c r="AI37" s="354"/>
      <c r="AJ37" s="354"/>
      <c r="AK37" s="354"/>
      <c r="AL37" s="354"/>
      <c r="AM37" s="354"/>
    </row>
    <row r="38" spans="2:81" x14ac:dyDescent="0.3">
      <c r="L38" s="529"/>
      <c r="M38" s="529"/>
      <c r="N38" s="530"/>
      <c r="O38" s="551"/>
      <c r="P38" s="551"/>
      <c r="Q38" s="551"/>
      <c r="R38" s="551"/>
      <c r="S38" s="551"/>
      <c r="T38" s="551"/>
      <c r="U38" s="526"/>
      <c r="V38" s="526"/>
      <c r="W38" s="526"/>
      <c r="X38" s="526"/>
      <c r="Y38" s="526"/>
      <c r="Z38" s="526"/>
      <c r="AB38" s="355"/>
      <c r="AC38" s="354"/>
      <c r="AD38" s="354"/>
      <c r="AE38" s="354"/>
      <c r="AF38" s="354"/>
      <c r="AG38" s="354"/>
      <c r="AH38" s="354"/>
      <c r="AI38" s="354"/>
      <c r="AJ38" s="354"/>
      <c r="AK38" s="354"/>
      <c r="AL38" s="354"/>
      <c r="AM38" s="354"/>
    </row>
    <row r="39" spans="2:81"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1"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1"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1"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1"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1" s="401" customFormat="1" ht="72" x14ac:dyDescent="0.3">
      <c r="B44" s="399">
        <f>Figure_2_GHG_per_pkm_General!B44</f>
        <v>0</v>
      </c>
      <c r="C44" s="399" t="str">
        <f>Figure_2_GHG_per_pkm_General!C44</f>
        <v>Private e-scooter</v>
      </c>
      <c r="D44" s="399" t="s">
        <v>1451</v>
      </c>
      <c r="E44" s="399" t="str">
        <f>Figure_2_GHG_per_pkm_General!F44</f>
        <v>Private bike</v>
      </c>
      <c r="F44" s="399" t="str">
        <f>Figure_2_GHG_per_pkm_General!G44</f>
        <v>Shared bike</v>
      </c>
      <c r="G44" s="399" t="str">
        <f>Figure_2_GHG_per_pkm_General!H44</f>
        <v>Private e-bike</v>
      </c>
      <c r="H44" s="399" t="str">
        <f>Figure_2_GHG_per_pkm_General!I44</f>
        <v>Shared e-bike</v>
      </c>
      <c r="I44" s="399" t="str">
        <f>Figure_2_GHG_per_pkm_General!J44</f>
        <v>Private moped - ICE</v>
      </c>
      <c r="J44" s="399" t="str">
        <f>Figure_2_GHG_per_pkm_General!K44</f>
        <v>Private moped - BEV</v>
      </c>
      <c r="K44" s="399" t="str">
        <f>Figure_2_GHG_per_pkm_General!L44</f>
        <v>Shared moped - ICE</v>
      </c>
      <c r="L44" s="399" t="str">
        <f>Figure_2_GHG_per_pkm_General!M44</f>
        <v>Shared moped - BEV</v>
      </c>
      <c r="M44" s="399" t="str">
        <f>Figure_2_GHG_per_pkm_General!N44</f>
        <v>Private car - ICE</v>
      </c>
      <c r="N44" s="399" t="str">
        <f>Figure_2_GHG_per_pkm_General!O44</f>
        <v>Private car - HEV</v>
      </c>
      <c r="O44" s="399" t="str">
        <f>Figure_2_GHG_per_pkm_General!P44</f>
        <v>Private car - PHEV</v>
      </c>
      <c r="P44" s="399" t="str">
        <f>Figure_2_GHG_per_pkm_General!Q44</f>
        <v>Private car - BEV</v>
      </c>
      <c r="Q44" s="399" t="str">
        <f>Figure_2_GHG_per_pkm_General!R44</f>
        <v>Private car - FCEV</v>
      </c>
      <c r="R44" s="399" t="str">
        <f>Figure_2_GHG_per_pkm_General!S44</f>
        <v>Taxi  HEV</v>
      </c>
      <c r="S44" s="399" t="str">
        <f>Figure_2_GHG_per_pkm_General!T44</f>
        <v>Taxi  BEV</v>
      </c>
      <c r="T44" s="399" t="str">
        <f>Figure_2_GHG_per_pkm_General!U44</f>
        <v>Taxi  BEV (two packs)</v>
      </c>
      <c r="U44" s="399" t="str">
        <f>Figure_2_GHG_per_pkm_General!V44</f>
        <v>Taxi - FCEV</v>
      </c>
      <c r="V44" s="399" t="str">
        <f>Figure_2_GHG_per_pkm_General!W44</f>
        <v>Ridesourcing - car - ICE</v>
      </c>
      <c r="W44" s="399" t="str">
        <f>Figure_2_GHG_per_pkm_General!X44</f>
        <v>Ridesourcing - car - HEV</v>
      </c>
      <c r="X44" s="399" t="str">
        <f>Figure_2_GHG_per_pkm_General!Y44</f>
        <v>Ridesourcing - car - PHEV</v>
      </c>
      <c r="Y44" s="399" t="str">
        <f>Figure_2_GHG_per_pkm_General!Z44</f>
        <v>Ridesourcing - car - BEV</v>
      </c>
      <c r="Z44" s="399" t="str">
        <f>Figure_2_GHG_per_pkm_General!AA44</f>
        <v>Ridesourcing - car - BEV (two packs)</v>
      </c>
      <c r="AA44" s="399" t="str">
        <f>Figure_2_GHG_per_pkm_General!AB44</f>
        <v>Ridesourcing - car - FCEV</v>
      </c>
      <c r="AB44" s="399" t="str">
        <f>Figure_2_GHG_per_pkm_General!AC44</f>
        <v>Bus - ICE</v>
      </c>
      <c r="AC44" s="399" t="str">
        <f>Figure_2_GHG_per_pkm_General!AD44</f>
        <v>Bus - HEV</v>
      </c>
      <c r="AD44" s="399" t="str">
        <f>Figure_2_GHG_per_pkm_General!AE44</f>
        <v>Bus - BEV</v>
      </c>
      <c r="AE44" s="399" t="str">
        <f>Figure_2_GHG_per_pkm_General!AF44</f>
        <v>Bus - BEV (two packs)</v>
      </c>
      <c r="AF44" s="399" t="str">
        <f>Figure_2_GHG_per_pkm_General!AG44</f>
        <v>Bus - FCEV</v>
      </c>
      <c r="AG44" s="399" t="str">
        <f>Figure_2_GHG_per_pkm_General!AH44</f>
        <v>Metro/urban train</v>
      </c>
      <c r="AI44" s="400"/>
      <c r="AL44" s="399"/>
      <c r="AM44" s="399"/>
      <c r="AN44" s="399"/>
      <c r="AO44" s="399"/>
      <c r="AP44" s="399"/>
      <c r="AQ44" s="399"/>
      <c r="AR44" s="399"/>
      <c r="BK44" s="399"/>
      <c r="BL44" s="399"/>
      <c r="BM44" s="399"/>
      <c r="BN44" s="399"/>
      <c r="BO44" s="399"/>
      <c r="BP44" s="399"/>
      <c r="BQ44" s="399"/>
      <c r="BR44" s="399"/>
      <c r="BS44" s="399"/>
      <c r="BT44" s="399"/>
      <c r="BX44" s="399"/>
      <c r="BZ44" s="399"/>
      <c r="CA44" s="399"/>
      <c r="CB44" s="399"/>
      <c r="CC44" s="399"/>
    </row>
    <row r="45" spans="2:81" x14ac:dyDescent="0.3">
      <c r="B45" s="358" t="str">
        <f>Figure_2_GHG_per_pkm_General!B45</f>
        <v>Vehicle component</v>
      </c>
      <c r="C45" s="357">
        <f ca="1">Figure_2_GHG_per_pkm_General!C45</f>
        <v>26.164322330581768</v>
      </c>
      <c r="D45" s="357">
        <f ca="1">Figure_2_GHG_per_pkm_General!D45</f>
        <v>71.455666502830198</v>
      </c>
      <c r="E45" s="357">
        <f ca="1">Figure_2_GHG_per_pkm_General!F45</f>
        <v>7.4670905852088847</v>
      </c>
      <c r="F45" s="357">
        <f ca="1">Figure_2_GHG_per_pkm_General!G45</f>
        <v>23.312907018241759</v>
      </c>
      <c r="G45" s="357">
        <f ca="1">Figure_2_GHG_per_pkm_General!H45</f>
        <v>12.537922665474529</v>
      </c>
      <c r="H45" s="357">
        <f ca="1">Figure_2_GHG_per_pkm_General!I45</f>
        <v>37.131518608826688</v>
      </c>
      <c r="I45" s="357">
        <f ca="1">Figure_2_GHG_per_pkm_General!J45</f>
        <v>7.985146217473579</v>
      </c>
      <c r="J45" s="357">
        <f ca="1">Figure_2_GHG_per_pkm_General!K45</f>
        <v>9.7988736045981124</v>
      </c>
      <c r="K45" s="357">
        <f ca="1">Figure_2_GHG_per_pkm_General!L45</f>
        <v>19.952685602050249</v>
      </c>
      <c r="L45" s="357">
        <f ca="1">Figure_2_GHG_per_pkm_General!M45</f>
        <v>34.562416943858203</v>
      </c>
      <c r="M45" s="357">
        <f ca="1">Figure_2_GHG_per_pkm_General!N45</f>
        <v>23.86345238869054</v>
      </c>
      <c r="N45" s="357">
        <f ca="1">Figure_2_GHG_per_pkm_General!O45</f>
        <v>25.97776328361342</v>
      </c>
      <c r="O45" s="357">
        <f ca="1">Figure_2_GHG_per_pkm_General!P45</f>
        <v>31.760408198944184</v>
      </c>
      <c r="P45" s="357">
        <f ca="1">Figure_2_GHG_per_pkm_General!Q45</f>
        <v>41.64927411276431</v>
      </c>
      <c r="Q45" s="357">
        <f ca="1">Figure_2_GHG_per_pkm_General!R45</f>
        <v>37.744913578184971</v>
      </c>
      <c r="R45" s="357">
        <f ca="1">Figure_2_GHG_per_pkm_General!S45</f>
        <v>30.645353280741684</v>
      </c>
      <c r="S45" s="357">
        <f ca="1">Figure_2_GHG_per_pkm_General!T45</f>
        <v>50.370851959294306</v>
      </c>
      <c r="T45" s="357">
        <f ca="1">Figure_2_GHG_per_pkm_General!U45</f>
        <v>76.734576745891161</v>
      </c>
      <c r="U45" s="357">
        <f ca="1">Figure_2_GHG_per_pkm_General!V45</f>
        <v>42.163812959731359</v>
      </c>
      <c r="V45" s="357">
        <f ca="1">Figure_2_GHG_per_pkm_General!W45</f>
        <v>22.31063196833988</v>
      </c>
      <c r="W45" s="357">
        <f ca="1">Figure_2_GHG_per_pkm_General!X45</f>
        <v>24.220828487012707</v>
      </c>
      <c r="X45" s="357">
        <f ca="1">Figure_2_GHG_per_pkm_General!Y45</f>
        <v>29.210236319465356</v>
      </c>
      <c r="Y45" s="357">
        <f ca="1">Figure_2_GHG_per_pkm_General!Z45</f>
        <v>38.532772618337084</v>
      </c>
      <c r="Z45" s="357">
        <f ca="1">Figure_2_GHG_per_pkm_General!AA45</f>
        <v>62.392606772849085</v>
      </c>
      <c r="AA45" s="357">
        <f ca="1">Figure_2_GHG_per_pkm_General!AB45</f>
        <v>32.45742243615814</v>
      </c>
      <c r="AB45" s="357">
        <f ca="1">Figure_2_GHG_per_pkm_General!AC45</f>
        <v>8.013715326026503</v>
      </c>
      <c r="AC45" s="357">
        <f ca="1">Figure_2_GHG_per_pkm_General!AD45</f>
        <v>7.9930110809261254</v>
      </c>
      <c r="AD45" s="357">
        <f ca="1">Figure_2_GHG_per_pkm_General!AE45</f>
        <v>13.730124843093328</v>
      </c>
      <c r="AE45" s="357">
        <f ca="1">Figure_2_GHG_per_pkm_General!AF45</f>
        <v>17.060980443414817</v>
      </c>
      <c r="AF45" s="357">
        <f ca="1">Figure_2_GHG_per_pkm_General!AG45</f>
        <v>11.025198611180571</v>
      </c>
      <c r="AG45" s="357">
        <f ca="1">Figure_2_GHG_per_pkm_General!AH45</f>
        <v>2.0282607820493368</v>
      </c>
      <c r="AI45" s="356"/>
      <c r="AL45" s="357"/>
      <c r="AM45" s="357"/>
      <c r="AN45" s="357"/>
      <c r="AO45" s="357"/>
      <c r="AP45" s="357"/>
      <c r="AQ45" s="357"/>
      <c r="AR45" s="357"/>
      <c r="BD45" s="350"/>
      <c r="BK45" s="357"/>
      <c r="BL45" s="357"/>
      <c r="BM45" s="357"/>
      <c r="BN45" s="357"/>
      <c r="BO45" s="357"/>
      <c r="BP45" s="357"/>
      <c r="BQ45" s="357"/>
      <c r="BR45" s="357"/>
      <c r="BS45" s="357"/>
      <c r="BT45" s="357"/>
      <c r="BX45" s="357"/>
      <c r="BZ45" s="357"/>
      <c r="CA45" s="357"/>
      <c r="CB45" s="357"/>
      <c r="CC45" s="357"/>
    </row>
    <row r="46" spans="2:81" x14ac:dyDescent="0.3">
      <c r="B46" s="358" t="str">
        <f>Figure_2_GHG_per_pkm_General!B46</f>
        <v>Fuel component</v>
      </c>
      <c r="C46" s="508">
        <f>Figure_2_GHG_per_pkm_General!C46</f>
        <v>1.4239176699373322</v>
      </c>
      <c r="D46" s="508">
        <f>Figure_2_GHG_per_pkm_General!D46</f>
        <v>1.4239176699373322</v>
      </c>
      <c r="E46" s="508">
        <f>Figure_2_GHG_per_pkm_General!F46</f>
        <v>0</v>
      </c>
      <c r="F46" s="508">
        <f>Figure_2_GHG_per_pkm_General!G46</f>
        <v>0</v>
      </c>
      <c r="G46" s="508">
        <f>Figure_2_GHG_per_pkm_General!H46</f>
        <v>2.7183882789712701</v>
      </c>
      <c r="H46" s="508">
        <f>Figure_2_GHG_per_pkm_General!I46</f>
        <v>2.7183882789712706</v>
      </c>
      <c r="I46" s="508">
        <f>Figure_2_GHG_per_pkm_General!J46</f>
        <v>53.73696412283369</v>
      </c>
      <c r="J46" s="508">
        <f>Figure_2_GHG_per_pkm_General!K46</f>
        <v>4.5324601156650521</v>
      </c>
      <c r="K46" s="508">
        <f>Figure_2_GHG_per_pkm_General!L46</f>
        <v>53.736964122833704</v>
      </c>
      <c r="L46" s="508">
        <f>Figure_2_GHG_per_pkm_General!M46</f>
        <v>4.5324601156650521</v>
      </c>
      <c r="M46" s="508">
        <f>Figure_2_GHG_per_pkm_General!N46</f>
        <v>125.63212704</v>
      </c>
      <c r="N46" s="508">
        <f>Figure_2_GHG_per_pkm_General!O46</f>
        <v>93.58311504000001</v>
      </c>
      <c r="O46" s="508">
        <f>Figure_2_GHG_per_pkm_General!P46</f>
        <v>42.659754529241155</v>
      </c>
      <c r="P46" s="508">
        <f>Figure_2_GHG_per_pkm_General!Q46</f>
        <v>16.426508205516896</v>
      </c>
      <c r="Q46" s="508">
        <f>Figure_2_GHG_per_pkm_General!R46</f>
        <v>82.679705112992522</v>
      </c>
      <c r="R46" s="508">
        <f>Figure_2_GHG_per_pkm_General!S46</f>
        <v>117.64755563047052</v>
      </c>
      <c r="S46" s="508">
        <f>Figure_2_GHG_per_pkm_General!T46</f>
        <v>20.650504496424475</v>
      </c>
      <c r="T46" s="508">
        <f>Figure_2_GHG_per_pkm_General!U46</f>
        <v>20.650504496424475</v>
      </c>
      <c r="U46" s="508">
        <f>Figure_2_GHG_per_pkm_General!V46</f>
        <v>103.94038713750945</v>
      </c>
      <c r="V46" s="508">
        <f>Figure_2_GHG_per_pkm_General!W46</f>
        <v>121.57947778064515</v>
      </c>
      <c r="W46" s="508">
        <f>Figure_2_GHG_per_pkm_General!X46</f>
        <v>90.564304877419374</v>
      </c>
      <c r="X46" s="508">
        <f>Figure_2_GHG_per_pkm_General!Y46</f>
        <v>63.747918471741364</v>
      </c>
      <c r="Y46" s="508">
        <f>Figure_2_GHG_per_pkm_General!Z46</f>
        <v>15.896620844048607</v>
      </c>
      <c r="Z46" s="508">
        <f>Figure_2_GHG_per_pkm_General!AA46</f>
        <v>15.896620844048607</v>
      </c>
      <c r="AA46" s="508">
        <f>Figure_2_GHG_per_pkm_General!AB46</f>
        <v>80.012617851283068</v>
      </c>
      <c r="AB46" s="508">
        <f>Figure_2_GHG_per_pkm_General!AC46</f>
        <v>71.835624993896062</v>
      </c>
      <c r="AC46" s="508">
        <f>Figure_2_GHG_per_pkm_General!AD46</f>
        <v>52.881213964464521</v>
      </c>
      <c r="AD46" s="508">
        <f>Figure_2_GHG_per_pkm_General!AE46</f>
        <v>10.462368334191947</v>
      </c>
      <c r="AE46" s="508">
        <f>Figure_2_GHG_per_pkm_General!AF46</f>
        <v>10.462368334191947</v>
      </c>
      <c r="AF46" s="508">
        <f>Figure_2_GHG_per_pkm_General!AG46</f>
        <v>43.913662604355508</v>
      </c>
      <c r="AG46" s="508">
        <f>Figure_2_GHG_per_pkm_General!AH46</f>
        <v>12.073398680398997</v>
      </c>
      <c r="AI46" s="356"/>
      <c r="AL46" s="357"/>
      <c r="AM46" s="357"/>
      <c r="AN46" s="357"/>
      <c r="AO46" s="357"/>
      <c r="AP46" s="357"/>
      <c r="AQ46" s="357"/>
      <c r="AR46" s="357"/>
      <c r="BD46" s="350"/>
      <c r="BK46" s="357"/>
      <c r="BL46" s="357"/>
      <c r="BM46" s="357"/>
      <c r="BN46" s="357"/>
      <c r="BO46" s="357"/>
      <c r="BP46" s="357"/>
      <c r="BQ46" s="357"/>
      <c r="BR46" s="357"/>
      <c r="BS46" s="357"/>
      <c r="BT46" s="357"/>
      <c r="BX46" s="357"/>
      <c r="BZ46" s="357"/>
      <c r="CA46" s="357"/>
      <c r="CB46" s="357"/>
      <c r="CC46" s="357"/>
    </row>
    <row r="47" spans="2:81" x14ac:dyDescent="0.3">
      <c r="B47" s="358" t="str">
        <f>Figure_2_GHG_per_pkm_General!B47</f>
        <v>Infrastructure component</v>
      </c>
      <c r="C47" s="357">
        <f>Figure_2_GHG_per_pkm_General!C47</f>
        <v>9.4409392749428456</v>
      </c>
      <c r="D47" s="357">
        <f>Figure_2_GHG_per_pkm_General!D47</f>
        <v>9.4409392749428456</v>
      </c>
      <c r="E47" s="357">
        <f>Figure_2_GHG_per_pkm_General!F47</f>
        <v>9.471154571397097</v>
      </c>
      <c r="F47" s="357">
        <f>Figure_2_GHG_per_pkm_General!G47</f>
        <v>9.4896885706026097</v>
      </c>
      <c r="G47" s="357">
        <f>Figure_2_GHG_per_pkm_General!H47</f>
        <v>9.4793603097639458</v>
      </c>
      <c r="H47" s="357">
        <f>Figure_2_GHG_per_pkm_General!I47</f>
        <v>9.5026866330964577</v>
      </c>
      <c r="I47" s="357">
        <f>Figure_2_GHG_per_pkm_General!J47</f>
        <v>11.394557604754132</v>
      </c>
      <c r="J47" s="357">
        <f>Figure_2_GHG_per_pkm_General!K47</f>
        <v>11.354081196149926</v>
      </c>
      <c r="K47" s="357">
        <f>Figure_2_GHG_per_pkm_General!L47</f>
        <v>11.394557604754132</v>
      </c>
      <c r="L47" s="357">
        <f>Figure_2_GHG_per_pkm_General!M47</f>
        <v>11.354081196149926</v>
      </c>
      <c r="M47" s="357">
        <f>Figure_2_GHG_per_pkm_General!N47</f>
        <v>12.476457294127272</v>
      </c>
      <c r="N47" s="357">
        <f>Figure_2_GHG_per_pkm_General!O47</f>
        <v>12.716888018619265</v>
      </c>
      <c r="O47" s="357">
        <f>Figure_2_GHG_per_pkm_General!P47</f>
        <v>12.937036533686294</v>
      </c>
      <c r="P47" s="357">
        <f>Figure_2_GHG_per_pkm_General!Q47</f>
        <v>12.197157451329351</v>
      </c>
      <c r="Q47" s="357">
        <f>Figure_2_GHG_per_pkm_General!R47</f>
        <v>12.984188392693992</v>
      </c>
      <c r="R47" s="357">
        <f>Figure_2_GHG_per_pkm_General!S47</f>
        <v>27.01554027394284</v>
      </c>
      <c r="S47" s="357">
        <f>Figure_2_GHG_per_pkm_General!T47</f>
        <v>25.911433510427884</v>
      </c>
      <c r="T47" s="357">
        <f>Figure_2_GHG_per_pkm_General!U47</f>
        <v>25.911433510427884</v>
      </c>
      <c r="U47" s="357">
        <f>Figure_2_GHG_per_pkm_General!V47</f>
        <v>27.58338863515219</v>
      </c>
      <c r="V47" s="357">
        <f>Figure_2_GHG_per_pkm_General!W47</f>
        <v>20.403198013580084</v>
      </c>
      <c r="W47" s="357">
        <f>Figure_2_GHG_per_pkm_General!X47</f>
        <v>20.796382999086166</v>
      </c>
      <c r="X47" s="357">
        <f>Figure_2_GHG_per_pkm_General!Y47</f>
        <v>21.156399760208132</v>
      </c>
      <c r="Y47" s="357">
        <f>Figure_2_GHG_per_pkm_General!Z47</f>
        <v>19.94644896507814</v>
      </c>
      <c r="Z47" s="357">
        <f>Figure_2_GHG_per_pkm_General!AA47</f>
        <v>19.94644896507814</v>
      </c>
      <c r="AA47" s="357">
        <f>Figure_2_GHG_per_pkm_General!AB47</f>
        <v>21.233508886089187</v>
      </c>
      <c r="AB47" s="357">
        <f>Figure_2_GHG_per_pkm_General!AC47</f>
        <v>3.6024452385780199</v>
      </c>
      <c r="AC47" s="357">
        <f>Figure_2_GHG_per_pkm_General!AD47</f>
        <v>3.5574070420397113</v>
      </c>
      <c r="AD47" s="357">
        <f>Figure_2_GHG_per_pkm_General!AE47</f>
        <v>3.9264293380027726</v>
      </c>
      <c r="AE47" s="357">
        <f>Figure_2_GHG_per_pkm_General!AF47</f>
        <v>3.9264293380027726</v>
      </c>
      <c r="AF47" s="357">
        <f>Figure_2_GHG_per_pkm_General!AG47</f>
        <v>4.0625475229856942</v>
      </c>
      <c r="AG47" s="357">
        <f>Figure_2_GHG_per_pkm_General!AH47</f>
        <v>11.003404253622561</v>
      </c>
      <c r="AI47" s="356"/>
      <c r="AL47" s="357"/>
      <c r="AM47" s="357"/>
      <c r="AN47" s="357"/>
      <c r="AO47" s="357"/>
      <c r="AP47" s="357"/>
      <c r="AQ47" s="357"/>
      <c r="AR47" s="357"/>
      <c r="BD47" s="350"/>
      <c r="BK47" s="357"/>
      <c r="BL47" s="357"/>
      <c r="BM47" s="357"/>
      <c r="BN47" s="357"/>
      <c r="BO47" s="357"/>
      <c r="BP47" s="357"/>
      <c r="BQ47" s="357"/>
      <c r="BR47" s="357"/>
      <c r="BS47" s="357"/>
      <c r="BT47" s="357"/>
      <c r="BX47" s="357"/>
      <c r="BZ47" s="357"/>
      <c r="CA47" s="357"/>
      <c r="CB47" s="357"/>
      <c r="CC47" s="357"/>
    </row>
    <row r="48" spans="2:81" x14ac:dyDescent="0.3">
      <c r="B48" s="358" t="str">
        <f>Figure_2_GHG_per_pkm_General!B48</f>
        <v>Operational services</v>
      </c>
      <c r="C48" s="508">
        <f>Figure_2_GHG_per_pkm_General!C48</f>
        <v>0</v>
      </c>
      <c r="D48" s="508">
        <f>Figure_2_GHG_per_pkm_General!D48</f>
        <v>34.727515897616378</v>
      </c>
      <c r="E48" s="508">
        <f>Figure_2_GHG_per_pkm_General!F48</f>
        <v>0</v>
      </c>
      <c r="F48" s="508">
        <f>Figure_2_GHG_per_pkm_General!G48</f>
        <v>24.702441658055513</v>
      </c>
      <c r="G48" s="508">
        <f>Figure_2_GHG_per_pkm_General!H48</f>
        <v>0</v>
      </c>
      <c r="H48" s="508">
        <f>Figure_2_GHG_per_pkm_General!I48</f>
        <v>24.702441658055513</v>
      </c>
      <c r="I48" s="508">
        <f>Figure_2_GHG_per_pkm_General!J48</f>
        <v>0</v>
      </c>
      <c r="J48" s="508">
        <f>Figure_2_GHG_per_pkm_General!K48</f>
        <v>0</v>
      </c>
      <c r="K48" s="508">
        <f>Figure_2_GHG_per_pkm_General!L48</f>
        <v>0</v>
      </c>
      <c r="L48" s="508">
        <f>Figure_2_GHG_per_pkm_General!M48</f>
        <v>13.516430341200186</v>
      </c>
      <c r="M48" s="508">
        <f>Figure_2_GHG_per_pkm_General!N48</f>
        <v>0</v>
      </c>
      <c r="N48" s="508">
        <f>Figure_2_GHG_per_pkm_General!O48</f>
        <v>0</v>
      </c>
      <c r="O48" s="508">
        <f>Figure_2_GHG_per_pkm_General!P48</f>
        <v>0</v>
      </c>
      <c r="P48" s="508">
        <f>Figure_2_GHG_per_pkm_General!Q48</f>
        <v>0</v>
      </c>
      <c r="Q48" s="508">
        <f>Figure_2_GHG_per_pkm_General!R48</f>
        <v>0</v>
      </c>
      <c r="R48" s="508">
        <f>Figure_2_GHG_per_pkm_General!S48</f>
        <v>108.04192570523938</v>
      </c>
      <c r="S48" s="508">
        <f>Figure_2_GHG_per_pkm_General!T48</f>
        <v>18.964442232750891</v>
      </c>
      <c r="T48" s="508">
        <f>Figure_2_GHG_per_pkm_General!U48</f>
        <v>18.964442232750891</v>
      </c>
      <c r="U48" s="508">
        <f>Figure_2_GHG_per_pkm_General!V48</f>
        <v>95.453913383102048</v>
      </c>
      <c r="V48" s="508">
        <f>Figure_2_GHG_per_pkm_General!W48</f>
        <v>111.65281620399554</v>
      </c>
      <c r="W48" s="508">
        <f>Figure_2_GHG_per_pkm_General!X48</f>
        <v>83.169954927466094</v>
      </c>
      <c r="X48" s="508">
        <f>Figure_2_GHG_per_pkm_General!Y48</f>
        <v>58.543059687707611</v>
      </c>
      <c r="Y48" s="508">
        <f>Figure_2_GHG_per_pkm_General!Z48</f>
        <v>14.598701341417666</v>
      </c>
      <c r="Z48" s="508">
        <f>Figure_2_GHG_per_pkm_General!AA48</f>
        <v>14.598701341417666</v>
      </c>
      <c r="AA48" s="508">
        <f>Figure_2_GHG_per_pkm_General!AB48</f>
        <v>73.479786868866043</v>
      </c>
      <c r="AB48" s="508">
        <f>Figure_2_GHG_per_pkm_General!AC48</f>
        <v>7.9817361104328963</v>
      </c>
      <c r="AC48" s="508">
        <f>Figure_2_GHG_per_pkm_General!AD48</f>
        <v>5.8756904404960579</v>
      </c>
      <c r="AD48" s="508">
        <f>Figure_2_GHG_per_pkm_General!AE48</f>
        <v>1.1624853704657718</v>
      </c>
      <c r="AE48" s="508">
        <f>Figure_2_GHG_per_pkm_General!AF48</f>
        <v>1.1624853704657718</v>
      </c>
      <c r="AF48" s="508">
        <f>Figure_2_GHG_per_pkm_General!AG48</f>
        <v>4.8792958449283903</v>
      </c>
      <c r="AG48" s="508">
        <f>Figure_2_GHG_per_pkm_General!AH48</f>
        <v>0</v>
      </c>
      <c r="AI48" s="356"/>
      <c r="AL48" s="357"/>
      <c r="AM48" s="357"/>
      <c r="AN48" s="357"/>
      <c r="AO48" s="357"/>
      <c r="AP48" s="357"/>
      <c r="AQ48" s="357"/>
      <c r="AR48" s="357"/>
      <c r="BD48" s="350"/>
      <c r="BK48" s="357"/>
      <c r="BL48" s="357"/>
      <c r="BM48" s="357"/>
      <c r="BN48" s="357"/>
      <c r="BO48" s="357"/>
      <c r="BP48" s="357"/>
      <c r="BQ48" s="357"/>
      <c r="BR48" s="357"/>
      <c r="BS48" s="357"/>
      <c r="BT48" s="357"/>
      <c r="BX48" s="357"/>
      <c r="BZ48" s="357"/>
      <c r="CA48" s="357"/>
      <c r="CB48" s="357"/>
      <c r="CC48" s="357"/>
    </row>
    <row r="49" spans="2:81" hidden="1" x14ac:dyDescent="0.3">
      <c r="B49" s="358" t="s">
        <v>1063</v>
      </c>
      <c r="C49" s="357">
        <v>225.8831960379388</v>
      </c>
      <c r="D49" s="357">
        <v>109.2715625573851</v>
      </c>
      <c r="E49" s="357">
        <v>134.5247173832434</v>
      </c>
      <c r="F49" s="357">
        <v>170.94671713201515</v>
      </c>
      <c r="G49" s="357">
        <v>198.6553751289735</v>
      </c>
      <c r="J49" s="355"/>
      <c r="K49" s="354"/>
      <c r="L49" s="354"/>
      <c r="M49" s="354"/>
      <c r="N49" s="349"/>
      <c r="O49" s="354"/>
      <c r="P49" s="354"/>
      <c r="Q49" s="354"/>
      <c r="R49" s="354"/>
      <c r="S49" s="354"/>
      <c r="U49" s="357">
        <v>92.000625319612908</v>
      </c>
      <c r="V49" s="354"/>
      <c r="W49" s="354"/>
      <c r="X49" s="354"/>
      <c r="Y49" s="354"/>
      <c r="Z49" s="354"/>
      <c r="AA49" s="354"/>
      <c r="AB49" s="354"/>
      <c r="AC49" s="354"/>
      <c r="AD49" s="354"/>
      <c r="AE49" s="354"/>
      <c r="AF49" s="357">
        <v>146.93726718801878</v>
      </c>
      <c r="AG49" s="357">
        <v>109.74665673023698</v>
      </c>
      <c r="AI49" s="355"/>
      <c r="AJ49" s="354"/>
      <c r="AK49" s="354"/>
      <c r="AL49" s="354"/>
      <c r="AM49" s="354"/>
      <c r="AN49" s="354"/>
      <c r="AO49" s="354"/>
      <c r="AP49" s="354"/>
      <c r="AQ49" s="354"/>
      <c r="AR49" s="354"/>
      <c r="AS49" s="354"/>
      <c r="AT49" s="354"/>
      <c r="AV49" s="350"/>
    </row>
    <row r="50" spans="2:81" hidden="1" x14ac:dyDescent="0.3">
      <c r="B50" s="358" t="s">
        <v>1062</v>
      </c>
      <c r="C50" s="357">
        <v>235.34686736744837</v>
      </c>
      <c r="D50" s="357">
        <v>29.082532108575009</v>
      </c>
      <c r="E50" s="357">
        <v>92.462424726943624</v>
      </c>
      <c r="F50" s="357">
        <v>147.75164600715308</v>
      </c>
      <c r="G50" s="357">
        <v>190.45060506651421</v>
      </c>
      <c r="J50" s="355"/>
      <c r="K50" s="354"/>
      <c r="L50" s="354"/>
      <c r="M50" s="354"/>
      <c r="N50" s="349"/>
      <c r="O50" s="354"/>
      <c r="P50" s="354"/>
      <c r="Q50" s="354"/>
      <c r="R50" s="354"/>
      <c r="S50" s="354"/>
      <c r="U50" s="357">
        <v>20.138098699878793</v>
      </c>
      <c r="V50" s="354"/>
      <c r="W50" s="354"/>
      <c r="X50" s="354"/>
      <c r="Y50" s="354"/>
      <c r="Z50" s="354"/>
      <c r="AA50" s="354"/>
      <c r="AB50" s="354"/>
      <c r="AC50" s="354"/>
      <c r="AD50" s="354"/>
      <c r="AE50" s="354"/>
      <c r="AF50" s="357">
        <v>123.41082373994841</v>
      </c>
      <c r="AG50" s="357">
        <v>47.360170627588715</v>
      </c>
      <c r="AI50" s="355"/>
      <c r="AJ50" s="354"/>
      <c r="AK50" s="354"/>
      <c r="AL50" s="354"/>
      <c r="AM50" s="354"/>
      <c r="AN50" s="354"/>
      <c r="AO50" s="354"/>
      <c r="AP50" s="354"/>
      <c r="AQ50" s="354"/>
      <c r="AR50" s="354"/>
      <c r="AS50" s="354"/>
      <c r="AT50" s="354"/>
      <c r="AV50" s="350"/>
    </row>
    <row r="51" spans="2:81" hidden="1" x14ac:dyDescent="0.3">
      <c r="B51" s="358" t="s">
        <v>1061</v>
      </c>
      <c r="C51" s="357">
        <v>169.63000923799299</v>
      </c>
      <c r="D51" s="357">
        <v>66.108608232937002</v>
      </c>
      <c r="E51" s="357">
        <v>87.042263228114194</v>
      </c>
      <c r="F51" s="357">
        <v>106.35742590613199</v>
      </c>
      <c r="G51" s="357">
        <v>130.467437832401</v>
      </c>
      <c r="J51" s="355"/>
      <c r="K51" s="354"/>
      <c r="L51" s="354"/>
      <c r="M51" s="354"/>
      <c r="N51" s="349"/>
      <c r="O51" s="354"/>
      <c r="P51" s="354"/>
      <c r="Q51" s="354"/>
      <c r="R51" s="354"/>
      <c r="S51" s="354"/>
      <c r="U51" s="357">
        <v>57.028326808897397</v>
      </c>
      <c r="V51" s="354"/>
      <c r="W51" s="354"/>
      <c r="X51" s="354"/>
      <c r="Y51" s="354"/>
      <c r="Z51" s="354"/>
      <c r="AA51" s="354"/>
      <c r="AB51" s="354"/>
      <c r="AC51" s="354"/>
      <c r="AD51" s="354"/>
      <c r="AE51" s="354"/>
      <c r="AF51" s="357">
        <v>82.788852695901895</v>
      </c>
      <c r="AG51" s="357">
        <v>73.1615339584623</v>
      </c>
      <c r="AI51" s="355"/>
      <c r="AJ51" s="354"/>
      <c r="AK51" s="354"/>
      <c r="AL51" s="354"/>
      <c r="AM51" s="354"/>
      <c r="AN51" s="354"/>
      <c r="AO51" s="354"/>
      <c r="AP51" s="354"/>
      <c r="AQ51" s="354"/>
      <c r="AR51" s="354"/>
      <c r="AS51" s="354"/>
      <c r="AT51" s="354"/>
      <c r="AV51" s="350"/>
    </row>
    <row r="52" spans="2:81" hidden="1" x14ac:dyDescent="0.3">
      <c r="B52" s="358" t="s">
        <v>1060</v>
      </c>
      <c r="C52" s="357">
        <v>129.54562060471599</v>
      </c>
      <c r="D52" s="357">
        <v>72.039757217874197</v>
      </c>
      <c r="E52" s="357">
        <v>76.416043285393002</v>
      </c>
      <c r="F52" s="357">
        <v>77.511185806366001</v>
      </c>
      <c r="G52" s="357">
        <v>94.288071043957402</v>
      </c>
      <c r="J52" s="355"/>
      <c r="K52" s="354"/>
      <c r="L52" s="354"/>
      <c r="M52" s="354"/>
      <c r="N52" s="349"/>
      <c r="O52" s="354"/>
      <c r="P52" s="354"/>
      <c r="Q52" s="354"/>
      <c r="R52" s="354"/>
      <c r="S52" s="354"/>
      <c r="U52" s="357">
        <v>64.575287204428093</v>
      </c>
      <c r="V52" s="354"/>
      <c r="W52" s="354"/>
      <c r="X52" s="354"/>
      <c r="Y52" s="354"/>
      <c r="Z52" s="354"/>
      <c r="AA52" s="354"/>
      <c r="AB52" s="354"/>
      <c r="AC52" s="354"/>
      <c r="AD52" s="354"/>
      <c r="AE52" s="354"/>
      <c r="AF52" s="357">
        <v>56.436216180368902</v>
      </c>
      <c r="AG52" s="357">
        <v>74.833619113601898</v>
      </c>
      <c r="AI52" s="355"/>
      <c r="AJ52" s="354"/>
      <c r="AK52" s="354"/>
      <c r="AL52" s="354"/>
      <c r="AM52" s="354"/>
      <c r="AN52" s="354"/>
      <c r="AO52" s="354"/>
      <c r="AP52" s="354"/>
      <c r="AQ52" s="354"/>
      <c r="AR52" s="354"/>
      <c r="AS52" s="354"/>
      <c r="AT52" s="354"/>
      <c r="AV52" s="350"/>
    </row>
    <row r="53" spans="2:81" hidden="1" x14ac:dyDescent="0.3">
      <c r="B53" s="358" t="s">
        <v>1059</v>
      </c>
      <c r="C53" s="357">
        <v>89.461231971439403</v>
      </c>
      <c r="D53" s="357">
        <v>77.970906202811506</v>
      </c>
      <c r="E53" s="357">
        <v>65.789823342671895</v>
      </c>
      <c r="F53" s="357">
        <v>48.664945706598999</v>
      </c>
      <c r="G53" s="357">
        <v>58.108704255513402</v>
      </c>
      <c r="J53" s="355"/>
      <c r="K53" s="354"/>
      <c r="L53" s="354"/>
      <c r="M53" s="354"/>
      <c r="N53" s="349"/>
      <c r="O53" s="354"/>
      <c r="P53" s="354"/>
      <c r="Q53" s="354"/>
      <c r="R53" s="354"/>
      <c r="S53" s="354"/>
      <c r="U53" s="357">
        <v>72.122247599958797</v>
      </c>
      <c r="V53" s="354"/>
      <c r="W53" s="354"/>
      <c r="X53" s="354"/>
      <c r="Y53" s="354"/>
      <c r="Z53" s="354"/>
      <c r="AA53" s="354"/>
      <c r="AB53" s="354"/>
      <c r="AC53" s="354"/>
      <c r="AD53" s="354"/>
      <c r="AE53" s="354"/>
      <c r="AF53" s="357">
        <v>30.0835796648349</v>
      </c>
      <c r="AG53" s="357">
        <v>76.505704268741596</v>
      </c>
      <c r="AI53" s="355"/>
      <c r="AJ53" s="354"/>
      <c r="AK53" s="354"/>
      <c r="AL53" s="354"/>
      <c r="AM53" s="354"/>
      <c r="AN53" s="354"/>
      <c r="AO53" s="354"/>
      <c r="AP53" s="354"/>
      <c r="AQ53" s="354"/>
      <c r="AR53" s="354"/>
      <c r="AS53" s="354"/>
      <c r="AT53" s="354"/>
      <c r="AV53" s="350"/>
    </row>
    <row r="54" spans="2:81" hidden="1" x14ac:dyDescent="0.3">
      <c r="B54" s="358" t="s">
        <v>1058</v>
      </c>
      <c r="C54" s="357">
        <v>49.376843338162402</v>
      </c>
      <c r="D54" s="357">
        <v>83.9020551877488</v>
      </c>
      <c r="E54" s="357">
        <v>55.163603399950702</v>
      </c>
      <c r="F54" s="357">
        <v>19.818705606832999</v>
      </c>
      <c r="G54" s="357">
        <v>21.929337467069399</v>
      </c>
      <c r="J54" s="355"/>
      <c r="K54" s="354"/>
      <c r="L54" s="354"/>
      <c r="M54" s="354"/>
      <c r="N54" s="349"/>
      <c r="O54" s="354"/>
      <c r="P54" s="354"/>
      <c r="Q54" s="354"/>
      <c r="R54" s="354"/>
      <c r="S54" s="354"/>
      <c r="U54" s="357">
        <v>79.669207995489501</v>
      </c>
      <c r="V54" s="354"/>
      <c r="W54" s="354"/>
      <c r="X54" s="354"/>
      <c r="Y54" s="354"/>
      <c r="Z54" s="354"/>
      <c r="AA54" s="354"/>
      <c r="AB54" s="354"/>
      <c r="AC54" s="354"/>
      <c r="AD54" s="354"/>
      <c r="AE54" s="354"/>
      <c r="AF54" s="357">
        <v>3.7309431493018801</v>
      </c>
      <c r="AG54" s="357">
        <v>78.177789423881194</v>
      </c>
      <c r="AI54" s="355"/>
      <c r="AJ54" s="354"/>
      <c r="AK54" s="354"/>
      <c r="AL54" s="354"/>
      <c r="AM54" s="354"/>
      <c r="AN54" s="354"/>
      <c r="AO54" s="354"/>
      <c r="AP54" s="354"/>
      <c r="AQ54" s="354"/>
      <c r="AR54" s="354"/>
      <c r="AS54" s="354"/>
      <c r="AT54" s="354"/>
      <c r="AV54" s="350"/>
    </row>
    <row r="55" spans="2:81" x14ac:dyDescent="0.3">
      <c r="C55" s="411">
        <f ca="1">SUM(D45:D48)-SUM(C45:C48)</f>
        <v>80.018860069864829</v>
      </c>
      <c r="E55" s="411">
        <f ca="1">SUM(F45:F48)-SUM(E45:E48)</f>
        <v>40.566792090293902</v>
      </c>
      <c r="G55" s="411">
        <f ca="1">SUM(H45:H48)-SUM(G45:G48)</f>
        <v>49.319363924740188</v>
      </c>
      <c r="J55" s="411">
        <f ca="1">SUM(L45:L48)-SUM(J45:J48)</f>
        <v>38.27997368046028</v>
      </c>
      <c r="K55" s="354"/>
      <c r="L55" s="354"/>
      <c r="M55" s="354"/>
      <c r="N55" s="411">
        <f ca="1">MAX(SUM($R45:$R48),SUM($W45:$W48))-SUM(N45:N48)</f>
        <v>151.0726085481617</v>
      </c>
      <c r="O55" s="354"/>
      <c r="P55" s="411">
        <f ca="1">MAX(SUM($T45:$T48),SUM($Z45:$Z48))-SUM(P45:P48)</f>
        <v>71.988017215883843</v>
      </c>
      <c r="Q55" s="354"/>
      <c r="R55" s="411">
        <f ca="1">MAX(SUM($R45:$R48),SUM($W45:$W48))-SUM(R45:R48)</f>
        <v>0</v>
      </c>
      <c r="S55" s="354"/>
      <c r="T55" s="411">
        <f ca="1">MAX(SUM($T45:$T48),SUM($Z45:$Z48))-SUM(T45:T48)</f>
        <v>0</v>
      </c>
      <c r="V55" s="354"/>
      <c r="W55" s="411">
        <f ca="1">MAX(SUM($R45:$R48),SUM($W45:$W48))-SUM(W45:W48)</f>
        <v>64.59890359941005</v>
      </c>
      <c r="X55" s="354"/>
      <c r="Y55" s="354"/>
      <c r="Z55" s="411">
        <f ca="1">MAX(SUM($T45:$T48),SUM($Z45:$Z48))-SUM(Z45:Z48)</f>
        <v>29.426579062100899</v>
      </c>
      <c r="AA55" s="354"/>
      <c r="AB55" s="354"/>
      <c r="AC55" s="354"/>
      <c r="AD55" s="354"/>
      <c r="AE55" s="354"/>
      <c r="AI55" s="355"/>
      <c r="AJ55" s="354"/>
      <c r="AK55" s="354"/>
      <c r="AL55" s="354"/>
      <c r="AM55" s="354"/>
      <c r="AN55" s="354"/>
      <c r="AO55" s="354"/>
      <c r="AP55" s="354"/>
      <c r="AQ55" s="354"/>
      <c r="AR55" s="354"/>
      <c r="AS55" s="354"/>
      <c r="AT55" s="354"/>
      <c r="AV55" s="350"/>
    </row>
    <row r="56" spans="2:81" x14ac:dyDescent="0.3">
      <c r="J56" s="355"/>
      <c r="K56" s="354"/>
      <c r="L56" s="354"/>
      <c r="M56" s="354"/>
      <c r="N56" s="349"/>
      <c r="O56" s="354"/>
      <c r="P56" s="354"/>
      <c r="Q56" s="354"/>
      <c r="R56" s="354"/>
      <c r="S56" s="354"/>
      <c r="V56" s="354"/>
      <c r="W56" s="354"/>
      <c r="X56" s="354"/>
      <c r="Y56" s="354"/>
      <c r="Z56" s="354"/>
      <c r="AA56" s="354"/>
      <c r="AB56" s="354"/>
      <c r="AC56" s="354"/>
      <c r="AD56" s="354"/>
      <c r="AE56" s="354"/>
      <c r="AI56" s="355"/>
      <c r="AJ56" s="354"/>
      <c r="AK56" s="354"/>
      <c r="AL56" s="354"/>
      <c r="AM56" s="354"/>
      <c r="AN56" s="354"/>
      <c r="AO56" s="354"/>
      <c r="AP56" s="354"/>
      <c r="AQ56" s="354"/>
      <c r="AR56" s="354"/>
      <c r="AS56" s="354"/>
      <c r="AT56" s="354"/>
      <c r="AV56" s="350"/>
    </row>
    <row r="57" spans="2:81" x14ac:dyDescent="0.3">
      <c r="B57" s="358"/>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I57" s="356"/>
      <c r="AL57" s="357"/>
      <c r="AM57" s="357"/>
      <c r="AN57" s="357"/>
      <c r="AO57" s="357"/>
      <c r="AP57" s="357"/>
      <c r="AQ57" s="357"/>
      <c r="AR57" s="357"/>
      <c r="BD57" s="350"/>
      <c r="BK57" s="357"/>
      <c r="BL57" s="357"/>
      <c r="BM57" s="357"/>
      <c r="BN57" s="357"/>
      <c r="BO57" s="357"/>
      <c r="BP57" s="357"/>
      <c r="BQ57" s="357"/>
      <c r="BR57" s="357"/>
      <c r="BS57" s="357"/>
      <c r="BT57" s="357"/>
      <c r="BX57" s="357"/>
      <c r="BZ57" s="357"/>
      <c r="CA57" s="357"/>
      <c r="CB57" s="357"/>
      <c r="CC57" s="357"/>
    </row>
    <row r="58" spans="2:81" x14ac:dyDescent="0.3">
      <c r="B58" s="358"/>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I58" s="356"/>
      <c r="AL58" s="357"/>
      <c r="AM58" s="357"/>
      <c r="AN58" s="357"/>
      <c r="AO58" s="357"/>
      <c r="AP58" s="357"/>
      <c r="AQ58" s="357"/>
      <c r="AR58" s="357"/>
      <c r="BD58" s="350"/>
      <c r="BK58" s="357"/>
      <c r="BL58" s="357"/>
      <c r="BM58" s="357"/>
      <c r="BN58" s="357"/>
      <c r="BO58" s="357"/>
      <c r="BP58" s="357"/>
      <c r="BQ58" s="357"/>
      <c r="BR58" s="357"/>
      <c r="BS58" s="357"/>
      <c r="BT58" s="357"/>
      <c r="BX58" s="357"/>
      <c r="BZ58" s="357"/>
      <c r="CA58" s="357"/>
      <c r="CB58" s="357"/>
      <c r="CC58" s="357"/>
    </row>
    <row r="59" spans="2:81" ht="72" x14ac:dyDescent="0.3">
      <c r="B59" s="399">
        <f>Figure_2_GHG_per_pkm_General!B44</f>
        <v>0</v>
      </c>
      <c r="C59" s="399" t="str">
        <f>Figure_2_GHG_per_pkm_General!C44</f>
        <v>Private e-scooter</v>
      </c>
      <c r="D59" s="399" t="str">
        <f>Figure_2_GHG_per_pkm_General!D44</f>
        <v>Shared e-scooter (first generation)</v>
      </c>
      <c r="E59" s="399" t="str">
        <f>Figure_2_GHG_per_pkm_General!F44</f>
        <v>Private bike</v>
      </c>
      <c r="F59" s="399" t="str">
        <f>Figure_2_GHG_per_pkm_General!G44</f>
        <v>Shared bike</v>
      </c>
      <c r="G59" s="399" t="str">
        <f>Figure_2_GHG_per_pkm_General!H44</f>
        <v>Private e-bike</v>
      </c>
      <c r="H59" s="399" t="str">
        <f>Figure_2_GHG_per_pkm_General!I44</f>
        <v>Shared e-bike</v>
      </c>
      <c r="I59" s="399" t="str">
        <f>Figure_2_GHG_per_pkm_General!J44</f>
        <v>Private moped - ICE</v>
      </c>
      <c r="J59" s="399" t="str">
        <f>Figure_2_GHG_per_pkm_General!K44</f>
        <v>Private moped - BEV</v>
      </c>
      <c r="K59" s="399" t="str">
        <f>Figure_2_GHG_per_pkm_General!L44</f>
        <v>Shared moped - ICE</v>
      </c>
      <c r="L59" s="399" t="str">
        <f>Figure_2_GHG_per_pkm_General!M44</f>
        <v>Shared moped - BEV</v>
      </c>
      <c r="M59" s="399" t="str">
        <f>Figure_2_GHG_per_pkm_General!N44</f>
        <v>Private car - ICE</v>
      </c>
      <c r="N59" s="399" t="str">
        <f>Figure_2_GHG_per_pkm_General!O44</f>
        <v>Private car - HEV</v>
      </c>
      <c r="O59" s="399" t="str">
        <f>Figure_2_GHG_per_pkm_General!P44</f>
        <v>Private car - PHEV</v>
      </c>
      <c r="P59" s="399" t="str">
        <f>Figure_2_GHG_per_pkm_General!Q44</f>
        <v>Private car - BEV</v>
      </c>
      <c r="Q59" s="399" t="str">
        <f>Figure_2_GHG_per_pkm_General!R44</f>
        <v>Private car - FCEV</v>
      </c>
      <c r="R59" s="399" t="str">
        <f>Figure_2_GHG_per_pkm_General!S44</f>
        <v>Taxi  HEV</v>
      </c>
      <c r="S59" s="399" t="str">
        <f>Figure_2_GHG_per_pkm_General!T44</f>
        <v>Taxi  BEV</v>
      </c>
      <c r="T59" s="399" t="str">
        <f>Figure_2_GHG_per_pkm_General!U44</f>
        <v>Taxi  BEV (two packs)</v>
      </c>
      <c r="U59" s="399" t="str">
        <f>Figure_2_GHG_per_pkm_General!V44</f>
        <v>Taxi - FCEV</v>
      </c>
      <c r="V59" s="399" t="str">
        <f>Figure_2_GHG_per_pkm_General!W44</f>
        <v>Ridesourcing - car - ICE</v>
      </c>
      <c r="W59" s="399" t="str">
        <f>Figure_2_GHG_per_pkm_General!X44</f>
        <v>Ridesourcing - car - HEV</v>
      </c>
      <c r="X59" s="399" t="str">
        <f>Figure_2_GHG_per_pkm_General!Y44</f>
        <v>Ridesourcing - car - PHEV</v>
      </c>
      <c r="Y59" s="399" t="str">
        <f>Figure_2_GHG_per_pkm_General!Z44</f>
        <v>Ridesourcing - car - BEV</v>
      </c>
      <c r="Z59" s="399" t="str">
        <f>Figure_2_GHG_per_pkm_General!AA44</f>
        <v>Ridesourcing - car - BEV (two packs)</v>
      </c>
      <c r="AA59" s="399" t="str">
        <f>Figure_2_GHG_per_pkm_General!AB44</f>
        <v>Ridesourcing - car - FCEV</v>
      </c>
      <c r="AB59" s="399" t="str">
        <f>Figure_2_GHG_per_pkm_General!AC44</f>
        <v>Bus - ICE</v>
      </c>
      <c r="AC59" s="399" t="str">
        <f>Figure_2_GHG_per_pkm_General!AD44</f>
        <v>Bus - HEV</v>
      </c>
      <c r="AD59" s="399" t="str">
        <f>Figure_2_GHG_per_pkm_General!AE44</f>
        <v>Bus - BEV</v>
      </c>
      <c r="AE59" s="399" t="str">
        <f>Figure_2_GHG_per_pkm_General!AF44</f>
        <v>Bus - BEV (two packs)</v>
      </c>
      <c r="AF59" s="399" t="str">
        <f>Figure_2_GHG_per_pkm_General!AG44</f>
        <v>Bus - FCEV</v>
      </c>
      <c r="AG59" s="399" t="str">
        <f>Figure_2_GHG_per_pkm_General!AH44</f>
        <v>Metro/urban train</v>
      </c>
      <c r="AH59" s="401"/>
      <c r="AI59" s="400"/>
      <c r="AJ59" s="401"/>
      <c r="AK59" s="401"/>
      <c r="AL59" s="399"/>
      <c r="AO59" s="349"/>
      <c r="AU59" s="350"/>
    </row>
    <row r="60" spans="2:81" s="507" customFormat="1" x14ac:dyDescent="0.3">
      <c r="B60" s="358" t="str">
        <f>Figure_2_GHG_per_pkm_General!B45</f>
        <v>Vehicle component</v>
      </c>
      <c r="C60" s="357">
        <f ca="1">Figure_2_GHG_per_pkm_General!C45</f>
        <v>26.164322330581768</v>
      </c>
      <c r="D60" s="357">
        <f ca="1">Figure_2_GHG_per_pkm_General!D45</f>
        <v>71.455666502830198</v>
      </c>
      <c r="E60" s="357">
        <f ca="1">Figure_2_GHG_per_pkm_General!F45</f>
        <v>7.4670905852088847</v>
      </c>
      <c r="F60" s="357">
        <f ca="1">Figure_2_GHG_per_pkm_General!G45</f>
        <v>23.312907018241759</v>
      </c>
      <c r="G60" s="357">
        <f ca="1">Figure_2_GHG_per_pkm_General!H45</f>
        <v>12.537922665474529</v>
      </c>
      <c r="H60" s="357">
        <f ca="1">Figure_2_GHG_per_pkm_General!I45</f>
        <v>37.131518608826688</v>
      </c>
      <c r="I60" s="357">
        <f ca="1">Figure_2_GHG_per_pkm_General!J45</f>
        <v>7.985146217473579</v>
      </c>
      <c r="J60" s="357">
        <f ca="1">Figure_2_GHG_per_pkm_General!K45</f>
        <v>9.7988736045981124</v>
      </c>
      <c r="K60" s="357">
        <f ca="1">Figure_2_GHG_per_pkm_General!L45</f>
        <v>19.952685602050249</v>
      </c>
      <c r="L60" s="357">
        <f ca="1">Figure_2_GHG_per_pkm_General!M45</f>
        <v>34.562416943858203</v>
      </c>
      <c r="M60" s="357">
        <f ca="1">Figure_2_GHG_per_pkm_General!N45</f>
        <v>23.86345238869054</v>
      </c>
      <c r="N60" s="357">
        <f ca="1">Figure_2_GHG_per_pkm_General!O45</f>
        <v>25.97776328361342</v>
      </c>
      <c r="O60" s="357">
        <f ca="1">Figure_2_GHG_per_pkm_General!P45</f>
        <v>31.760408198944184</v>
      </c>
      <c r="P60" s="357">
        <f ca="1">Figure_2_GHG_per_pkm_General!Q45</f>
        <v>41.64927411276431</v>
      </c>
      <c r="Q60" s="357">
        <f ca="1">Figure_2_GHG_per_pkm_General!R45</f>
        <v>37.744913578184971</v>
      </c>
      <c r="R60" s="357">
        <f ca="1">Figure_2_GHG_per_pkm_General!S45</f>
        <v>30.645353280741684</v>
      </c>
      <c r="S60" s="357">
        <f ca="1">Figure_2_GHG_per_pkm_General!T45</f>
        <v>50.370851959294306</v>
      </c>
      <c r="T60" s="357">
        <f ca="1">Figure_2_GHG_per_pkm_General!U45</f>
        <v>76.734576745891161</v>
      </c>
      <c r="U60" s="357">
        <f ca="1">Figure_2_GHG_per_pkm_General!V45</f>
        <v>42.163812959731359</v>
      </c>
      <c r="V60" s="357">
        <f ca="1">Figure_2_GHG_per_pkm_General!W45</f>
        <v>22.31063196833988</v>
      </c>
      <c r="W60" s="357">
        <f ca="1">Figure_2_GHG_per_pkm_General!X45</f>
        <v>24.220828487012707</v>
      </c>
      <c r="X60" s="357">
        <f ca="1">Figure_2_GHG_per_pkm_General!Y45</f>
        <v>29.210236319465356</v>
      </c>
      <c r="Y60" s="357">
        <f ca="1">Figure_2_GHG_per_pkm_General!Z45</f>
        <v>38.532772618337084</v>
      </c>
      <c r="Z60" s="357">
        <f ca="1">Figure_2_GHG_per_pkm_General!AA45</f>
        <v>62.392606772849085</v>
      </c>
      <c r="AA60" s="357">
        <f ca="1">Figure_2_GHG_per_pkm_General!AB45</f>
        <v>32.45742243615814</v>
      </c>
      <c r="AB60" s="357">
        <f ca="1">Figure_2_GHG_per_pkm_General!AC45</f>
        <v>8.013715326026503</v>
      </c>
      <c r="AC60" s="357">
        <f ca="1">Figure_2_GHG_per_pkm_General!AD45</f>
        <v>7.9930110809261254</v>
      </c>
      <c r="AD60" s="357">
        <f ca="1">Figure_2_GHG_per_pkm_General!AE45</f>
        <v>13.730124843093328</v>
      </c>
      <c r="AE60" s="357">
        <f ca="1">Figure_2_GHG_per_pkm_General!AF45</f>
        <v>17.060980443414817</v>
      </c>
      <c r="AF60" s="357">
        <f ca="1">Figure_2_GHG_per_pkm_General!AG45</f>
        <v>11.025198611180571</v>
      </c>
      <c r="AG60" s="357">
        <f ca="1">Figure_2_GHG_per_pkm_General!AH45</f>
        <v>2.0282607820493368</v>
      </c>
      <c r="AH60" s="349"/>
      <c r="AI60" s="356"/>
      <c r="AJ60" s="349"/>
      <c r="AK60" s="349"/>
      <c r="AL60" s="357"/>
      <c r="AU60" s="358"/>
    </row>
    <row r="61" spans="2:81" x14ac:dyDescent="0.3">
      <c r="B61" s="358" t="str">
        <f>Figure_2_GHG_per_pkm_General!B46</f>
        <v>Fuel component</v>
      </c>
      <c r="C61" s="508">
        <f>Figure_2_GHG_per_pkm_General!C46</f>
        <v>1.4239176699373322</v>
      </c>
      <c r="D61" s="508">
        <f>Figure_2_GHG_per_pkm_General!D46</f>
        <v>1.4239176699373322</v>
      </c>
      <c r="E61" s="508">
        <f>Figure_2_GHG_per_pkm_General!F46</f>
        <v>0</v>
      </c>
      <c r="F61" s="508">
        <f>Figure_2_GHG_per_pkm_General!G46</f>
        <v>0</v>
      </c>
      <c r="G61" s="508">
        <f>Figure_2_GHG_per_pkm_General!H46</f>
        <v>2.7183882789712701</v>
      </c>
      <c r="H61" s="508">
        <f>Figure_2_GHG_per_pkm_General!I46</f>
        <v>2.7183882789712706</v>
      </c>
      <c r="I61" s="508">
        <f>Figure_2_GHG_per_pkm_General!J46</f>
        <v>53.73696412283369</v>
      </c>
      <c r="J61" s="508">
        <f>Figure_2_GHG_per_pkm_General!K46</f>
        <v>4.5324601156650521</v>
      </c>
      <c r="K61" s="508">
        <f>Figure_2_GHG_per_pkm_General!L46</f>
        <v>53.736964122833704</v>
      </c>
      <c r="L61" s="508">
        <f>Figure_2_GHG_per_pkm_General!M46</f>
        <v>4.5324601156650521</v>
      </c>
      <c r="M61" s="508">
        <f>Figure_2_GHG_per_pkm_General!N46</f>
        <v>125.63212704</v>
      </c>
      <c r="N61" s="508">
        <f>Figure_2_GHG_per_pkm_General!O46</f>
        <v>93.58311504000001</v>
      </c>
      <c r="O61" s="508">
        <f>Figure_2_GHG_per_pkm_General!P46</f>
        <v>42.659754529241155</v>
      </c>
      <c r="P61" s="508">
        <f>Figure_2_GHG_per_pkm_General!Q46</f>
        <v>16.426508205516896</v>
      </c>
      <c r="Q61" s="508">
        <f>Figure_2_GHG_per_pkm_General!R46</f>
        <v>82.679705112992522</v>
      </c>
      <c r="R61" s="508">
        <f>Figure_2_GHG_per_pkm_General!S46</f>
        <v>117.64755563047052</v>
      </c>
      <c r="S61" s="508">
        <f>Figure_2_GHG_per_pkm_General!T46</f>
        <v>20.650504496424475</v>
      </c>
      <c r="T61" s="508">
        <f>Figure_2_GHG_per_pkm_General!U46</f>
        <v>20.650504496424475</v>
      </c>
      <c r="U61" s="508">
        <f>Figure_2_GHG_per_pkm_General!V46</f>
        <v>103.94038713750945</v>
      </c>
      <c r="V61" s="508">
        <f>Figure_2_GHG_per_pkm_General!W46</f>
        <v>121.57947778064515</v>
      </c>
      <c r="W61" s="508">
        <f>Figure_2_GHG_per_pkm_General!X46</f>
        <v>90.564304877419374</v>
      </c>
      <c r="X61" s="508">
        <f>Figure_2_GHG_per_pkm_General!Y46</f>
        <v>63.747918471741364</v>
      </c>
      <c r="Y61" s="508">
        <f>Figure_2_GHG_per_pkm_General!Z46</f>
        <v>15.896620844048607</v>
      </c>
      <c r="Z61" s="508">
        <f>Figure_2_GHG_per_pkm_General!AA46</f>
        <v>15.896620844048607</v>
      </c>
      <c r="AA61" s="508">
        <f>Figure_2_GHG_per_pkm_General!AB46</f>
        <v>80.012617851283068</v>
      </c>
      <c r="AB61" s="508">
        <f>Figure_2_GHG_per_pkm_General!AC46</f>
        <v>71.835624993896062</v>
      </c>
      <c r="AC61" s="508">
        <f>Figure_2_GHG_per_pkm_General!AD46</f>
        <v>52.881213964464521</v>
      </c>
      <c r="AD61" s="508">
        <f>Figure_2_GHG_per_pkm_General!AE46</f>
        <v>10.462368334191947</v>
      </c>
      <c r="AE61" s="508">
        <f>Figure_2_GHG_per_pkm_General!AF46</f>
        <v>10.462368334191947</v>
      </c>
      <c r="AF61" s="508">
        <f>Figure_2_GHG_per_pkm_General!AG46</f>
        <v>43.913662604355508</v>
      </c>
      <c r="AG61" s="508">
        <f>Figure_2_GHG_per_pkm_General!AH46</f>
        <v>12.073398680398997</v>
      </c>
      <c r="AI61" s="356"/>
      <c r="AL61" s="357"/>
      <c r="AO61" s="349"/>
      <c r="AU61" s="350"/>
    </row>
    <row r="62" spans="2:81" x14ac:dyDescent="0.3">
      <c r="B62" s="358" t="str">
        <f>Figure_2_GHG_per_pkm_General!B47</f>
        <v>Infrastructure component</v>
      </c>
      <c r="C62" s="357">
        <f>Figure_2_GHG_per_pkm_General!C47</f>
        <v>9.4409392749428456</v>
      </c>
      <c r="D62" s="357">
        <f>Figure_2_GHG_per_pkm_General!D47</f>
        <v>9.4409392749428456</v>
      </c>
      <c r="E62" s="357">
        <f>Figure_2_GHG_per_pkm_General!F47</f>
        <v>9.471154571397097</v>
      </c>
      <c r="F62" s="357">
        <f>Figure_2_GHG_per_pkm_General!G47</f>
        <v>9.4896885706026097</v>
      </c>
      <c r="G62" s="357">
        <f>Figure_2_GHG_per_pkm_General!H47</f>
        <v>9.4793603097639458</v>
      </c>
      <c r="H62" s="357">
        <f>Figure_2_GHG_per_pkm_General!I47</f>
        <v>9.5026866330964577</v>
      </c>
      <c r="I62" s="357">
        <f>Figure_2_GHG_per_pkm_General!J47</f>
        <v>11.394557604754132</v>
      </c>
      <c r="J62" s="357">
        <f>Figure_2_GHG_per_pkm_General!K47</f>
        <v>11.354081196149926</v>
      </c>
      <c r="K62" s="357">
        <f>Figure_2_GHG_per_pkm_General!L47</f>
        <v>11.394557604754132</v>
      </c>
      <c r="L62" s="357">
        <f>Figure_2_GHG_per_pkm_General!M47</f>
        <v>11.354081196149926</v>
      </c>
      <c r="M62" s="357">
        <f>Figure_2_GHG_per_pkm_General!N47</f>
        <v>12.476457294127272</v>
      </c>
      <c r="N62" s="357">
        <f>Figure_2_GHG_per_pkm_General!O47</f>
        <v>12.716888018619265</v>
      </c>
      <c r="O62" s="357">
        <f>Figure_2_GHG_per_pkm_General!P47</f>
        <v>12.937036533686294</v>
      </c>
      <c r="P62" s="357">
        <f>Figure_2_GHG_per_pkm_General!Q47</f>
        <v>12.197157451329351</v>
      </c>
      <c r="Q62" s="357">
        <f>Figure_2_GHG_per_pkm_General!R47</f>
        <v>12.984188392693992</v>
      </c>
      <c r="R62" s="357">
        <f>Figure_2_GHG_per_pkm_General!S47</f>
        <v>27.01554027394284</v>
      </c>
      <c r="S62" s="357">
        <f>Figure_2_GHG_per_pkm_General!T47</f>
        <v>25.911433510427884</v>
      </c>
      <c r="T62" s="357">
        <f>Figure_2_GHG_per_pkm_General!U47</f>
        <v>25.911433510427884</v>
      </c>
      <c r="U62" s="357">
        <f>Figure_2_GHG_per_pkm_General!V47</f>
        <v>27.58338863515219</v>
      </c>
      <c r="V62" s="357">
        <f>Figure_2_GHG_per_pkm_General!W47</f>
        <v>20.403198013580084</v>
      </c>
      <c r="W62" s="357">
        <f>Figure_2_GHG_per_pkm_General!X47</f>
        <v>20.796382999086166</v>
      </c>
      <c r="X62" s="357">
        <f>Figure_2_GHG_per_pkm_General!Y47</f>
        <v>21.156399760208132</v>
      </c>
      <c r="Y62" s="357">
        <f>Figure_2_GHG_per_pkm_General!Z47</f>
        <v>19.94644896507814</v>
      </c>
      <c r="Z62" s="357">
        <f>Figure_2_GHG_per_pkm_General!AA47</f>
        <v>19.94644896507814</v>
      </c>
      <c r="AA62" s="357">
        <f>Figure_2_GHG_per_pkm_General!AB47</f>
        <v>21.233508886089187</v>
      </c>
      <c r="AB62" s="357">
        <f>Figure_2_GHG_per_pkm_General!AC47</f>
        <v>3.6024452385780199</v>
      </c>
      <c r="AC62" s="357">
        <f>Figure_2_GHG_per_pkm_General!AD47</f>
        <v>3.5574070420397113</v>
      </c>
      <c r="AD62" s="357">
        <f>Figure_2_GHG_per_pkm_General!AE47</f>
        <v>3.9264293380027726</v>
      </c>
      <c r="AE62" s="357">
        <f>Figure_2_GHG_per_pkm_General!AF47</f>
        <v>3.9264293380027726</v>
      </c>
      <c r="AF62" s="357">
        <f>Figure_2_GHG_per_pkm_General!AG47</f>
        <v>4.0625475229856942</v>
      </c>
      <c r="AG62" s="357">
        <f>Figure_2_GHG_per_pkm_General!AH47</f>
        <v>11.003404253622561</v>
      </c>
      <c r="AI62" s="356"/>
      <c r="AL62" s="357"/>
      <c r="AO62" s="349"/>
      <c r="AU62" s="350"/>
    </row>
    <row r="63" spans="2:81" x14ac:dyDescent="0.3">
      <c r="B63" s="358" t="str">
        <f>Figure_2_GHG_per_pkm_General!B48</f>
        <v>Operational services</v>
      </c>
      <c r="C63" s="508">
        <f>Figure_2_GHG_per_pkm_General!C48</f>
        <v>0</v>
      </c>
      <c r="D63" s="508">
        <f>Figure_2_GHG_per_pkm_General!D48</f>
        <v>34.727515897616378</v>
      </c>
      <c r="E63" s="508">
        <f>Figure_2_GHG_per_pkm_General!F48</f>
        <v>0</v>
      </c>
      <c r="F63" s="508">
        <f>Figure_2_GHG_per_pkm_General!G48</f>
        <v>24.702441658055513</v>
      </c>
      <c r="G63" s="508">
        <f>Figure_2_GHG_per_pkm_General!H48</f>
        <v>0</v>
      </c>
      <c r="H63" s="508">
        <f>Figure_2_GHG_per_pkm_General!I48</f>
        <v>24.702441658055513</v>
      </c>
      <c r="I63" s="508">
        <f>Figure_2_GHG_per_pkm_General!J48</f>
        <v>0</v>
      </c>
      <c r="J63" s="508">
        <f>Figure_2_GHG_per_pkm_General!K48</f>
        <v>0</v>
      </c>
      <c r="K63" s="508">
        <f>Figure_2_GHG_per_pkm_General!L48</f>
        <v>0</v>
      </c>
      <c r="L63" s="508">
        <f>Figure_2_GHG_per_pkm_General!M48</f>
        <v>13.516430341200186</v>
      </c>
      <c r="M63" s="508">
        <f>Figure_2_GHG_per_pkm_General!N48</f>
        <v>0</v>
      </c>
      <c r="N63" s="508">
        <f>Figure_2_GHG_per_pkm_General!O48</f>
        <v>0</v>
      </c>
      <c r="O63" s="508">
        <f>Figure_2_GHG_per_pkm_General!P48</f>
        <v>0</v>
      </c>
      <c r="P63" s="508">
        <f>Figure_2_GHG_per_pkm_General!Q48</f>
        <v>0</v>
      </c>
      <c r="Q63" s="508">
        <f>Figure_2_GHG_per_pkm_General!R48</f>
        <v>0</v>
      </c>
      <c r="R63" s="508">
        <f>Figure_2_GHG_per_pkm_General!S48</f>
        <v>108.04192570523938</v>
      </c>
      <c r="S63" s="508">
        <f>Figure_2_GHG_per_pkm_General!T48</f>
        <v>18.964442232750891</v>
      </c>
      <c r="T63" s="508">
        <f>Figure_2_GHG_per_pkm_General!U48</f>
        <v>18.964442232750891</v>
      </c>
      <c r="U63" s="508">
        <f>Figure_2_GHG_per_pkm_General!V48</f>
        <v>95.453913383102048</v>
      </c>
      <c r="V63" s="508">
        <f>Figure_2_GHG_per_pkm_General!W48</f>
        <v>111.65281620399554</v>
      </c>
      <c r="W63" s="508">
        <f>Figure_2_GHG_per_pkm_General!X48</f>
        <v>83.169954927466094</v>
      </c>
      <c r="X63" s="508">
        <f>Figure_2_GHG_per_pkm_General!Y48</f>
        <v>58.543059687707611</v>
      </c>
      <c r="Y63" s="508">
        <f>Figure_2_GHG_per_pkm_General!Z48</f>
        <v>14.598701341417666</v>
      </c>
      <c r="Z63" s="508">
        <f>Figure_2_GHG_per_pkm_General!AA48</f>
        <v>14.598701341417666</v>
      </c>
      <c r="AA63" s="508">
        <f>Figure_2_GHG_per_pkm_General!AB48</f>
        <v>73.479786868866043</v>
      </c>
      <c r="AB63" s="508">
        <f>Figure_2_GHG_per_pkm_General!AC48</f>
        <v>7.9817361104328963</v>
      </c>
      <c r="AC63" s="508">
        <f>Figure_2_GHG_per_pkm_General!AD48</f>
        <v>5.8756904404960579</v>
      </c>
      <c r="AD63" s="508">
        <f>Figure_2_GHG_per_pkm_General!AE48</f>
        <v>1.1624853704657718</v>
      </c>
      <c r="AE63" s="508">
        <f>Figure_2_GHG_per_pkm_General!AF48</f>
        <v>1.1624853704657718</v>
      </c>
      <c r="AF63" s="508">
        <f>Figure_2_GHG_per_pkm_General!AG48</f>
        <v>4.8792958449283903</v>
      </c>
      <c r="AG63" s="508">
        <f>Figure_2_GHG_per_pkm_General!AH48</f>
        <v>0</v>
      </c>
      <c r="AI63" s="356"/>
      <c r="AL63" s="357"/>
      <c r="AO63" s="349"/>
      <c r="AU63" s="350"/>
    </row>
    <row r="64" spans="2:81" x14ac:dyDescent="0.3">
      <c r="B64" s="352"/>
      <c r="C64" s="351"/>
      <c r="D64" s="351"/>
      <c r="E64" s="351"/>
      <c r="F64" s="351"/>
      <c r="G64" s="351"/>
      <c r="H64" s="351"/>
      <c r="I64" s="351"/>
      <c r="J64" s="351"/>
      <c r="N64" s="349"/>
      <c r="O64" s="350"/>
      <c r="P64" s="350"/>
      <c r="Q64" s="350"/>
      <c r="AB64" s="349"/>
      <c r="AH64" s="350"/>
      <c r="AO64" s="349"/>
      <c r="AU64" s="350"/>
    </row>
    <row r="65" spans="2:48" x14ac:dyDescent="0.3">
      <c r="O65" s="350"/>
      <c r="P65" s="350"/>
      <c r="AB65" s="349"/>
      <c r="AG65" s="350"/>
      <c r="AO65" s="349"/>
      <c r="AT65" s="350"/>
    </row>
    <row r="66" spans="2:48" x14ac:dyDescent="0.3">
      <c r="O66" s="350"/>
      <c r="P66" s="350"/>
      <c r="AB66" s="349"/>
      <c r="AE66" s="350"/>
      <c r="AO66" s="349"/>
      <c r="AR66" s="350"/>
    </row>
    <row r="67" spans="2:48" x14ac:dyDescent="0.3">
      <c r="N67" s="349"/>
      <c r="AB67" s="349"/>
      <c r="AE67" s="350"/>
      <c r="AO67" s="349"/>
      <c r="AR67" s="350"/>
    </row>
    <row r="68" spans="2:48"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I68" s="402"/>
      <c r="AV68" s="402"/>
    </row>
    <row r="69" spans="2:48" x14ac:dyDescent="0.3">
      <c r="B69" s="405"/>
      <c r="C69" s="407"/>
      <c r="D69" s="407"/>
      <c r="E69" s="407"/>
      <c r="F69" s="407"/>
      <c r="G69" s="407"/>
      <c r="H69" s="407"/>
      <c r="I69" s="407"/>
      <c r="J69" s="407"/>
      <c r="K69" s="407"/>
      <c r="L69" s="407"/>
      <c r="M69" s="409"/>
      <c r="N69" s="409"/>
      <c r="O69" s="409"/>
      <c r="P69" s="409"/>
      <c r="Q69" s="409"/>
      <c r="R69" s="409"/>
      <c r="S69" s="409"/>
      <c r="T69" s="409"/>
      <c r="U69" s="409"/>
      <c r="V69" s="409"/>
      <c r="W69" s="409"/>
      <c r="X69" s="409"/>
      <c r="Y69" s="409"/>
      <c r="Z69" s="409"/>
      <c r="AA69" s="409"/>
      <c r="AB69" s="409"/>
      <c r="AC69" s="409"/>
      <c r="AD69" s="409"/>
      <c r="AE69" s="409"/>
      <c r="AF69" s="409"/>
      <c r="AG69" s="407"/>
      <c r="AI69" s="350"/>
      <c r="AO69" s="349"/>
      <c r="AV69" s="350"/>
    </row>
    <row r="70" spans="2:48" x14ac:dyDescent="0.3">
      <c r="B70" s="405"/>
      <c r="C70" s="406"/>
      <c r="D70" s="406"/>
      <c r="E70" s="406"/>
      <c r="F70" s="406"/>
      <c r="G70" s="406"/>
      <c r="H70" s="406"/>
      <c r="I70" s="406"/>
      <c r="J70" s="406"/>
      <c r="K70" s="406"/>
      <c r="L70" s="406"/>
      <c r="M70" s="410"/>
      <c r="N70" s="410"/>
      <c r="O70" s="410"/>
      <c r="P70" s="410"/>
      <c r="Q70" s="410"/>
      <c r="R70" s="410"/>
      <c r="S70" s="410"/>
      <c r="T70" s="410"/>
      <c r="U70" s="410"/>
      <c r="V70" s="410"/>
      <c r="W70" s="410"/>
      <c r="X70" s="410"/>
      <c r="Y70" s="410"/>
      <c r="Z70" s="410"/>
      <c r="AA70" s="410"/>
      <c r="AB70" s="410"/>
      <c r="AC70" s="410"/>
      <c r="AD70" s="410"/>
      <c r="AE70" s="410"/>
      <c r="AF70" s="410"/>
      <c r="AG70" s="406"/>
      <c r="AI70" s="350"/>
      <c r="AO70" s="349"/>
      <c r="AV70" s="350"/>
    </row>
    <row r="71" spans="2:48" x14ac:dyDescent="0.3">
      <c r="B71" s="405"/>
      <c r="C71" s="407"/>
      <c r="D71" s="407"/>
      <c r="E71" s="407"/>
      <c r="F71" s="407"/>
      <c r="G71" s="407"/>
      <c r="H71" s="407"/>
      <c r="I71" s="407"/>
      <c r="J71" s="407"/>
      <c r="K71" s="407"/>
      <c r="L71" s="407"/>
      <c r="M71" s="409"/>
      <c r="N71" s="409"/>
      <c r="O71" s="409"/>
      <c r="P71" s="409"/>
      <c r="Q71" s="409"/>
      <c r="R71" s="409"/>
      <c r="S71" s="409"/>
      <c r="T71" s="409"/>
      <c r="U71" s="409"/>
      <c r="V71" s="409"/>
      <c r="W71" s="409"/>
      <c r="X71" s="409"/>
      <c r="Y71" s="409"/>
      <c r="Z71" s="409"/>
      <c r="AA71" s="409"/>
      <c r="AB71" s="409"/>
      <c r="AC71" s="409"/>
      <c r="AD71" s="409"/>
      <c r="AE71" s="409"/>
      <c r="AF71" s="409"/>
      <c r="AG71" s="407"/>
      <c r="AI71" s="350"/>
      <c r="AO71" s="349"/>
      <c r="AV71" s="350"/>
    </row>
    <row r="72" spans="2:48" x14ac:dyDescent="0.3">
      <c r="B72" s="405"/>
      <c r="C72" s="406"/>
      <c r="D72" s="406"/>
      <c r="E72" s="406"/>
      <c r="F72" s="406"/>
      <c r="G72" s="406"/>
      <c r="H72" s="406"/>
      <c r="I72" s="406"/>
      <c r="J72" s="406"/>
      <c r="K72" s="406"/>
      <c r="L72" s="406"/>
      <c r="M72" s="410"/>
      <c r="N72" s="410"/>
      <c r="O72" s="410"/>
      <c r="P72" s="410"/>
      <c r="Q72" s="410"/>
      <c r="R72" s="410"/>
      <c r="S72" s="410"/>
      <c r="T72" s="410"/>
      <c r="U72" s="410"/>
      <c r="V72" s="410"/>
      <c r="W72" s="410"/>
      <c r="X72" s="410"/>
      <c r="Y72" s="410"/>
      <c r="Z72" s="410"/>
      <c r="AA72" s="410"/>
      <c r="AB72" s="410"/>
      <c r="AC72" s="410"/>
      <c r="AD72" s="410"/>
      <c r="AE72" s="410"/>
      <c r="AF72" s="410"/>
      <c r="AG72" s="406"/>
      <c r="AI72" s="350"/>
      <c r="AO72" s="349"/>
      <c r="AV72" s="350"/>
    </row>
    <row r="73" spans="2:48"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I73" s="350"/>
      <c r="AO73" s="349"/>
      <c r="AV73" s="350"/>
    </row>
    <row r="74" spans="2:48" x14ac:dyDescent="0.3">
      <c r="B74" s="405"/>
      <c r="C74" s="408"/>
      <c r="D74" s="408"/>
      <c r="E74" s="408"/>
      <c r="F74" s="408"/>
      <c r="G74" s="408"/>
      <c r="H74" s="408"/>
      <c r="I74" s="408"/>
      <c r="J74" s="408"/>
      <c r="K74" s="408"/>
      <c r="L74" s="408"/>
      <c r="M74" s="407"/>
      <c r="N74" s="407"/>
      <c r="O74" s="406"/>
      <c r="P74" s="406"/>
      <c r="Q74" s="407"/>
      <c r="R74" s="406"/>
      <c r="S74" s="406"/>
      <c r="T74" s="406"/>
      <c r="U74" s="406"/>
      <c r="V74" s="406"/>
      <c r="W74" s="406"/>
      <c r="X74" s="406"/>
      <c r="Y74" s="406"/>
      <c r="Z74" s="406"/>
      <c r="AA74" s="407"/>
      <c r="AB74" s="406"/>
      <c r="AC74" s="406"/>
      <c r="AD74" s="406"/>
      <c r="AE74" s="406"/>
      <c r="AF74" s="406"/>
      <c r="AG74" s="406"/>
      <c r="AI74" s="350"/>
      <c r="AO74" s="349"/>
      <c r="AV74" s="350"/>
    </row>
    <row r="75" spans="2:48"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6"/>
      <c r="AC75" s="406"/>
      <c r="AD75" s="406"/>
      <c r="AE75" s="406"/>
      <c r="AF75" s="406"/>
      <c r="AG75" s="406"/>
      <c r="AI75" s="350"/>
      <c r="AO75" s="349"/>
      <c r="AV75" s="350"/>
    </row>
    <row r="76" spans="2:48"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I76" s="350"/>
      <c r="AO76" s="349"/>
      <c r="AV76" s="350"/>
    </row>
    <row r="77" spans="2:48"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I77" s="350"/>
      <c r="AO77" s="349"/>
      <c r="AV77" s="350"/>
    </row>
    <row r="78" spans="2:48"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I78" s="350"/>
      <c r="AO78" s="349"/>
      <c r="AV78" s="350"/>
    </row>
    <row r="79" spans="2:48"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350"/>
      <c r="AO79" s="349"/>
      <c r="AU79" s="350"/>
    </row>
    <row r="80" spans="2:48" x14ac:dyDescent="0.3">
      <c r="B80" s="405"/>
      <c r="C80" s="406"/>
      <c r="O80" s="350"/>
      <c r="P80" s="350"/>
      <c r="AB80" s="349"/>
      <c r="AH80" s="350"/>
      <c r="AO80" s="349"/>
      <c r="AU80" s="350"/>
    </row>
    <row r="81" spans="2:47" x14ac:dyDescent="0.3">
      <c r="B81" s="405"/>
      <c r="C81" s="406"/>
      <c r="O81" s="350"/>
      <c r="P81" s="350"/>
      <c r="AB81" s="349"/>
      <c r="AH81" s="350"/>
      <c r="AO81" s="349"/>
      <c r="AU81" s="350"/>
    </row>
    <row r="82" spans="2:47" x14ac:dyDescent="0.3">
      <c r="O82" s="350"/>
      <c r="P82" s="350"/>
      <c r="AB82" s="349"/>
      <c r="AH82" s="350"/>
      <c r="AO82" s="349"/>
      <c r="AU82" s="350"/>
    </row>
    <row r="83" spans="2:47" x14ac:dyDescent="0.3">
      <c r="B83" s="405"/>
      <c r="C83" s="406"/>
      <c r="O83" s="350"/>
      <c r="P83" s="350"/>
      <c r="AB83" s="349"/>
      <c r="AH83" s="350"/>
      <c r="AO83" s="349"/>
      <c r="AU83" s="350"/>
    </row>
    <row r="84" spans="2:47" x14ac:dyDescent="0.3">
      <c r="O84" s="350"/>
      <c r="P84" s="350"/>
      <c r="AB84" s="349"/>
      <c r="AH84" s="350"/>
      <c r="AO84" s="349"/>
      <c r="AU84" s="350"/>
    </row>
    <row r="85" spans="2:47" x14ac:dyDescent="0.3">
      <c r="O85" s="350"/>
      <c r="P85" s="350"/>
      <c r="AB85" s="349"/>
      <c r="AH85" s="350"/>
      <c r="AO85" s="349"/>
      <c r="AU85" s="350"/>
    </row>
    <row r="86" spans="2:47" x14ac:dyDescent="0.3">
      <c r="B86" s="411"/>
      <c r="C86" s="412"/>
      <c r="D86" s="411"/>
      <c r="E86" s="412"/>
      <c r="F86" s="412"/>
      <c r="O86" s="350"/>
      <c r="P86" s="350"/>
      <c r="AB86" s="349"/>
      <c r="AG86" s="350"/>
      <c r="AO86" s="349"/>
      <c r="AT86" s="350"/>
    </row>
    <row r="87" spans="2:47" x14ac:dyDescent="0.3">
      <c r="C87" s="412"/>
      <c r="D87" s="411"/>
      <c r="E87" s="412"/>
      <c r="F87" s="412"/>
      <c r="O87" s="350"/>
      <c r="P87" s="350"/>
      <c r="AB87" s="349"/>
      <c r="AG87" s="350"/>
      <c r="AO87" s="349"/>
      <c r="AT87" s="350"/>
    </row>
    <row r="88" spans="2:47" x14ac:dyDescent="0.3">
      <c r="C88" s="412"/>
      <c r="D88" s="411"/>
      <c r="E88" s="412"/>
      <c r="F88" s="412"/>
      <c r="O88" s="350"/>
      <c r="P88" s="350"/>
      <c r="AB88" s="349"/>
      <c r="AG88" s="350"/>
      <c r="AO88" s="349"/>
      <c r="AT88" s="350"/>
    </row>
    <row r="89" spans="2:47" x14ac:dyDescent="0.3">
      <c r="B89" s="411"/>
      <c r="C89" s="412"/>
      <c r="D89" s="411"/>
      <c r="E89" s="412"/>
      <c r="F89" s="412"/>
      <c r="O89" s="350"/>
      <c r="P89" s="350"/>
      <c r="AB89" s="349"/>
      <c r="AG89" s="350"/>
      <c r="AO89" s="349"/>
      <c r="AT89" s="350"/>
    </row>
    <row r="90" spans="2:47" x14ac:dyDescent="0.3">
      <c r="C90" s="412"/>
      <c r="D90" s="411"/>
      <c r="E90" s="412"/>
      <c r="F90" s="412"/>
      <c r="O90" s="350"/>
      <c r="P90" s="350"/>
      <c r="AB90" s="349"/>
      <c r="AF90" s="350"/>
      <c r="AO90" s="349"/>
      <c r="AS90" s="350"/>
    </row>
    <row r="91" spans="2:47" x14ac:dyDescent="0.3">
      <c r="C91" s="412"/>
      <c r="D91" s="411"/>
      <c r="E91" s="412"/>
      <c r="F91" s="412"/>
      <c r="O91" s="350"/>
      <c r="P91" s="350"/>
      <c r="AB91" s="349"/>
      <c r="AF91" s="350"/>
      <c r="AO91" s="349"/>
      <c r="AS91" s="350"/>
    </row>
    <row r="92" spans="2:47" x14ac:dyDescent="0.3">
      <c r="C92" s="412"/>
      <c r="D92" s="411"/>
      <c r="E92" s="412"/>
      <c r="F92" s="412"/>
      <c r="O92" s="350"/>
      <c r="P92" s="350"/>
      <c r="AB92" s="349"/>
      <c r="AF92" s="350"/>
      <c r="AO92" s="349"/>
      <c r="AS92" s="350"/>
    </row>
    <row r="93" spans="2:47" x14ac:dyDescent="0.3">
      <c r="C93" s="412"/>
      <c r="D93" s="411"/>
      <c r="E93" s="412"/>
      <c r="F93" s="412"/>
      <c r="O93" s="350"/>
      <c r="P93" s="350"/>
      <c r="AB93" s="349"/>
      <c r="AF93" s="350"/>
      <c r="AO93" s="349"/>
      <c r="AS93" s="350"/>
    </row>
    <row r="94" spans="2:47" x14ac:dyDescent="0.3">
      <c r="C94" s="412"/>
      <c r="D94" s="411"/>
      <c r="E94" s="412"/>
      <c r="F94" s="412"/>
      <c r="O94" s="350"/>
      <c r="P94" s="350"/>
      <c r="AB94" s="349"/>
      <c r="AE94" s="350"/>
      <c r="AO94" s="349"/>
      <c r="AR94" s="350"/>
    </row>
    <row r="95" spans="2:47" x14ac:dyDescent="0.3">
      <c r="C95" s="412"/>
      <c r="D95" s="411"/>
      <c r="E95" s="411"/>
      <c r="F95" s="412"/>
      <c r="O95" s="350"/>
      <c r="P95" s="350"/>
      <c r="AB95" s="349"/>
      <c r="AE95" s="350"/>
      <c r="AO95" s="349"/>
      <c r="AR95" s="350"/>
    </row>
    <row r="96" spans="2:47" x14ac:dyDescent="0.3">
      <c r="O96" s="350"/>
      <c r="P96" s="350"/>
      <c r="AB96" s="349"/>
      <c r="AE96" s="350"/>
      <c r="AO96" s="349"/>
      <c r="AR96" s="350"/>
    </row>
    <row r="97" spans="2:44" x14ac:dyDescent="0.3">
      <c r="O97" s="350"/>
      <c r="P97" s="350"/>
      <c r="AB97" s="349"/>
      <c r="AE97" s="350"/>
      <c r="AO97" s="349"/>
      <c r="AR97" s="350"/>
    </row>
    <row r="98" spans="2:44" x14ac:dyDescent="0.3">
      <c r="B98" s="411"/>
      <c r="C98" s="411"/>
      <c r="D98" s="354"/>
      <c r="O98" s="350"/>
      <c r="P98" s="350"/>
      <c r="AB98" s="349"/>
      <c r="AC98" s="350"/>
      <c r="AO98" s="349"/>
      <c r="AP98" s="350"/>
    </row>
    <row r="99" spans="2:44" x14ac:dyDescent="0.3">
      <c r="C99" s="411"/>
      <c r="D99" s="354"/>
      <c r="O99" s="350"/>
      <c r="P99" s="350"/>
      <c r="AB99" s="349"/>
      <c r="AC99" s="350"/>
      <c r="AO99" s="349"/>
      <c r="AP99" s="350"/>
    </row>
    <row r="100" spans="2:44" x14ac:dyDescent="0.3">
      <c r="C100" s="411"/>
      <c r="D100" s="412"/>
      <c r="O100" s="350"/>
      <c r="P100" s="350"/>
      <c r="AB100" s="349"/>
      <c r="AC100" s="350"/>
      <c r="AO100" s="349"/>
      <c r="AP100" s="350"/>
    </row>
    <row r="101" spans="2:44" x14ac:dyDescent="0.3">
      <c r="C101" s="411"/>
      <c r="D101" s="411"/>
      <c r="O101" s="350"/>
      <c r="P101" s="350"/>
      <c r="AB101" s="349"/>
      <c r="AC101" s="350"/>
      <c r="AO101" s="349"/>
      <c r="AP101" s="350"/>
    </row>
    <row r="102" spans="2:44" x14ac:dyDescent="0.3">
      <c r="C102" s="411"/>
      <c r="D102" s="411"/>
      <c r="O102" s="350"/>
      <c r="P102" s="350"/>
      <c r="AB102" s="349"/>
      <c r="AC102" s="350"/>
      <c r="AO102" s="349"/>
      <c r="AP102" s="350"/>
    </row>
    <row r="103" spans="2:44" x14ac:dyDescent="0.3">
      <c r="C103" s="411"/>
      <c r="D103" s="411"/>
      <c r="O103" s="350"/>
      <c r="P103" s="350"/>
      <c r="AB103" s="349"/>
      <c r="AC103" s="350"/>
      <c r="AO103" s="349"/>
      <c r="AP103" s="350"/>
    </row>
    <row r="104" spans="2:44" x14ac:dyDescent="0.3">
      <c r="B104" s="411"/>
      <c r="C104" s="411"/>
      <c r="D104" s="411"/>
      <c r="O104" s="350"/>
      <c r="P104" s="350"/>
      <c r="AB104" s="349"/>
      <c r="AC104" s="350"/>
      <c r="AO104" s="349"/>
      <c r="AP104" s="350"/>
    </row>
    <row r="105" spans="2:44" x14ac:dyDescent="0.3">
      <c r="B105" s="411"/>
      <c r="C105" s="411"/>
      <c r="D105" s="411"/>
      <c r="O105" s="350"/>
      <c r="P105" s="350"/>
      <c r="AB105" s="349"/>
      <c r="AC105" s="350"/>
      <c r="AO105" s="349"/>
      <c r="AP105" s="350"/>
    </row>
    <row r="106" spans="2:44" x14ac:dyDescent="0.3">
      <c r="B106" s="411"/>
      <c r="C106" s="411"/>
      <c r="O106" s="350"/>
      <c r="P106" s="350"/>
      <c r="AB106" s="349"/>
      <c r="AC106" s="350"/>
      <c r="AO106" s="349"/>
      <c r="AP106" s="350"/>
    </row>
    <row r="107" spans="2:44" x14ac:dyDescent="0.3">
      <c r="O107" s="350"/>
      <c r="P107" s="350"/>
    </row>
    <row r="108" spans="2:44" x14ac:dyDescent="0.3">
      <c r="O108" s="350"/>
      <c r="P108" s="350"/>
    </row>
    <row r="109" spans="2:44" x14ac:dyDescent="0.3">
      <c r="O109" s="350"/>
      <c r="P109" s="350"/>
    </row>
    <row r="110" spans="2:44" x14ac:dyDescent="0.3">
      <c r="B110" s="413"/>
      <c r="O110" s="350"/>
      <c r="P110" s="350"/>
    </row>
    <row r="111" spans="2:44" x14ac:dyDescent="0.3">
      <c r="O111" s="350"/>
      <c r="P111" s="350"/>
    </row>
    <row r="112" spans="2:44" x14ac:dyDescent="0.3">
      <c r="O112" s="350"/>
      <c r="P112" s="350"/>
    </row>
  </sheetData>
  <mergeCells count="1">
    <mergeCell ref="B19:H33"/>
  </mergeCells>
  <pageMargins left="0" right="0" top="0" bottom="0" header="0" footer="0"/>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7BC143"/>
  </sheetPr>
  <dimension ref="B1:CC112"/>
  <sheetViews>
    <sheetView topLeftCell="A2" zoomScale="60" zoomScaleNormal="60" zoomScalePageLayoutView="200" workbookViewId="0">
      <selection activeCell="B18" sqref="B18"/>
    </sheetView>
  </sheetViews>
  <sheetFormatPr defaultColWidth="8.88671875" defaultRowHeight="14.4" x14ac:dyDescent="0.3"/>
  <cols>
    <col min="1" max="1" width="3.44140625" style="349" customWidth="1"/>
    <col min="2" max="2" width="27" style="349" customWidth="1"/>
    <col min="3" max="11" width="8.88671875" style="349" customWidth="1"/>
    <col min="12" max="13" width="9.5546875" style="349" customWidth="1"/>
    <col min="14" max="14" width="9.5546875" style="350" customWidth="1"/>
    <col min="15" max="22" width="9.5546875" style="349" customWidth="1"/>
    <col min="23" max="23" width="9.77734375" style="349" customWidth="1"/>
    <col min="24" max="27" width="8.88671875" style="349" customWidth="1"/>
    <col min="28" max="28" width="8.88671875" style="350"/>
    <col min="29" max="40" width="8.88671875" style="349"/>
    <col min="41" max="41" width="8.88671875" style="350"/>
    <col min="42" max="16384" width="8.88671875" style="349"/>
  </cols>
  <sheetData>
    <row r="1" spans="2:41" s="367" customFormat="1" ht="21" x14ac:dyDescent="0.4">
      <c r="B1" s="368" t="s">
        <v>1086</v>
      </c>
      <c r="N1" s="368"/>
      <c r="AB1" s="368"/>
      <c r="AO1" s="368"/>
    </row>
    <row r="2" spans="2:41" x14ac:dyDescent="0.3">
      <c r="O2" s="350"/>
      <c r="P2" s="350"/>
      <c r="Q2" s="350"/>
      <c r="R2" s="350"/>
      <c r="S2" s="350"/>
      <c r="T2" s="350"/>
      <c r="U2" s="350"/>
      <c r="V2" s="350"/>
      <c r="W2" s="350"/>
      <c r="X2" s="350"/>
      <c r="Y2" s="350"/>
      <c r="Z2" s="350"/>
    </row>
    <row r="3" spans="2:41" ht="23.4" x14ac:dyDescent="0.45">
      <c r="B3" s="360" t="s">
        <v>1085</v>
      </c>
      <c r="O3" s="401"/>
      <c r="R3" s="417"/>
    </row>
    <row r="5" spans="2:41" x14ac:dyDescent="0.3">
      <c r="B5" s="350" t="s">
        <v>1084</v>
      </c>
      <c r="C5" s="358" t="s">
        <v>1083</v>
      </c>
      <c r="K5" s="523"/>
      <c r="L5" s="523"/>
      <c r="M5" s="523"/>
      <c r="N5" s="524"/>
      <c r="O5" s="523"/>
      <c r="P5" s="523"/>
      <c r="Q5" s="523"/>
      <c r="R5" s="523"/>
      <c r="S5" s="523"/>
      <c r="T5" s="523"/>
      <c r="U5" s="523"/>
      <c r="V5" s="523"/>
      <c r="W5" s="523"/>
      <c r="X5" s="523"/>
    </row>
    <row r="6" spans="2:41" x14ac:dyDescent="0.3">
      <c r="B6" s="350" t="s">
        <v>1082</v>
      </c>
      <c r="C6" s="358" t="s">
        <v>1081</v>
      </c>
      <c r="K6" s="523"/>
      <c r="L6" s="523"/>
      <c r="M6" s="523"/>
      <c r="N6" s="524"/>
      <c r="O6" s="523"/>
      <c r="P6" s="523"/>
      <c r="Q6" s="523"/>
      <c r="R6" s="523"/>
      <c r="S6" s="523"/>
      <c r="T6" s="523"/>
      <c r="U6" s="523"/>
      <c r="V6" s="523"/>
      <c r="W6" s="523"/>
      <c r="X6" s="523"/>
      <c r="Y6" s="401"/>
      <c r="Z6" s="401"/>
    </row>
    <row r="7" spans="2:41" x14ac:dyDescent="0.3">
      <c r="B7" s="350" t="s">
        <v>1080</v>
      </c>
      <c r="C7" s="358" t="s">
        <v>1079</v>
      </c>
      <c r="K7" s="523"/>
      <c r="L7" s="523"/>
      <c r="M7" s="523"/>
      <c r="N7" s="524"/>
      <c r="O7" s="523"/>
      <c r="P7" s="523"/>
      <c r="Q7" s="523"/>
      <c r="R7" s="523"/>
      <c r="S7" s="523"/>
      <c r="T7" s="523"/>
      <c r="U7" s="523"/>
      <c r="V7" s="523"/>
      <c r="W7" s="523"/>
      <c r="X7" s="523"/>
      <c r="Y7" s="401"/>
      <c r="Z7" s="401"/>
      <c r="AI7" s="359"/>
    </row>
    <row r="8" spans="2:41" x14ac:dyDescent="0.3">
      <c r="B8" s="350" t="s">
        <v>1078</v>
      </c>
      <c r="C8" s="358" t="s">
        <v>1077</v>
      </c>
      <c r="K8" s="523"/>
      <c r="L8" s="531"/>
      <c r="M8" s="531"/>
      <c r="N8" s="532"/>
      <c r="O8" s="533"/>
      <c r="P8" s="531"/>
      <c r="Q8" s="531"/>
      <c r="R8" s="533"/>
      <c r="S8" s="531"/>
      <c r="T8" s="531"/>
      <c r="U8" s="527"/>
      <c r="V8" s="527"/>
      <c r="W8" s="523"/>
      <c r="X8" s="523"/>
      <c r="Y8" s="401"/>
      <c r="Z8" s="401"/>
      <c r="AI8" s="359"/>
    </row>
    <row r="9" spans="2:41" ht="16.2" x14ac:dyDescent="0.3">
      <c r="B9" s="350"/>
      <c r="J9" s="366" t="s">
        <v>1076</v>
      </c>
      <c r="K9" s="523"/>
      <c r="L9" s="539"/>
      <c r="M9" s="539"/>
      <c r="N9" s="540"/>
      <c r="O9" s="538"/>
      <c r="P9" s="539"/>
      <c r="Q9" s="539"/>
      <c r="R9" s="538"/>
      <c r="S9" s="531"/>
      <c r="T9" s="531"/>
      <c r="V9" s="527"/>
      <c r="W9" s="523"/>
      <c r="X9" s="523"/>
      <c r="Y9" s="401"/>
      <c r="Z9" s="401"/>
      <c r="AI9" s="359"/>
    </row>
    <row r="10" spans="2:41" ht="37.200000000000003" customHeight="1" x14ac:dyDescent="0.3">
      <c r="B10" s="350" t="s">
        <v>1075</v>
      </c>
      <c r="K10" s="523"/>
      <c r="L10" s="531" t="str">
        <f>E44</f>
        <v>Private bike</v>
      </c>
      <c r="M10" s="531"/>
      <c r="N10" s="532"/>
      <c r="O10" s="533" t="str">
        <f>G44</f>
        <v>Private e-bike</v>
      </c>
      <c r="P10" s="531"/>
      <c r="Q10" s="531"/>
      <c r="R10" s="533" t="str">
        <f>C44</f>
        <v>Private e-scooter</v>
      </c>
      <c r="S10" s="531"/>
      <c r="T10" s="531"/>
      <c r="V10" s="527"/>
      <c r="W10" s="523"/>
      <c r="X10" s="523"/>
      <c r="Y10" s="401"/>
      <c r="Z10" s="401"/>
      <c r="AI10" s="359"/>
    </row>
    <row r="11" spans="2:41" x14ac:dyDescent="0.3">
      <c r="B11" s="350" t="s">
        <v>1074</v>
      </c>
      <c r="C11" s="358" t="s">
        <v>1073</v>
      </c>
      <c r="K11" s="523"/>
      <c r="L11" s="531"/>
      <c r="M11" s="531"/>
      <c r="N11" s="532"/>
      <c r="O11" s="533"/>
      <c r="P11" s="531"/>
      <c r="Q11" s="531"/>
      <c r="R11" s="533"/>
      <c r="S11" s="531"/>
      <c r="T11" s="531"/>
      <c r="V11" s="527"/>
      <c r="W11" s="523"/>
      <c r="X11" s="523"/>
      <c r="Y11" s="401"/>
      <c r="Z11" s="401"/>
      <c r="AI11" s="359"/>
    </row>
    <row r="12" spans="2:41" x14ac:dyDescent="0.3">
      <c r="B12" s="350" t="s">
        <v>1072</v>
      </c>
      <c r="C12" s="358" t="str">
        <f>'0_Total'!A98&amp;" "&amp;'0_Total'!B98</f>
        <v>GHG emissions per pkm [g CO₂/pkm]</v>
      </c>
      <c r="K12" s="523"/>
      <c r="L12" s="531"/>
      <c r="M12" s="531"/>
      <c r="N12" s="532"/>
      <c r="O12" s="533"/>
      <c r="P12" s="531"/>
      <c r="Q12" s="531"/>
      <c r="R12" s="533"/>
      <c r="S12" s="531"/>
      <c r="T12" s="531"/>
      <c r="V12" s="527"/>
      <c r="W12" s="523"/>
      <c r="X12" s="523"/>
      <c r="Y12" s="401"/>
      <c r="Z12" s="401"/>
      <c r="AI12" s="359"/>
    </row>
    <row r="13" spans="2:41" x14ac:dyDescent="0.3">
      <c r="B13" s="350"/>
      <c r="C13" s="352"/>
      <c r="K13" s="523"/>
      <c r="L13" s="531"/>
      <c r="M13" s="531"/>
      <c r="N13" s="532"/>
      <c r="O13" s="533"/>
      <c r="P13" s="531"/>
      <c r="Q13" s="531"/>
      <c r="R13" s="533"/>
      <c r="S13" s="531"/>
      <c r="T13" s="531"/>
      <c r="V13" s="527"/>
      <c r="W13" s="523"/>
      <c r="X13" s="523"/>
      <c r="Y13" s="401"/>
      <c r="Z13" s="401"/>
      <c r="AI13" s="359"/>
    </row>
    <row r="14" spans="2:41" x14ac:dyDescent="0.3">
      <c r="B14" s="350" t="s">
        <v>1071</v>
      </c>
      <c r="C14" s="352"/>
      <c r="K14" s="523"/>
      <c r="L14" s="539"/>
      <c r="M14" s="539"/>
      <c r="N14" s="540"/>
      <c r="O14" s="538"/>
      <c r="P14" s="539"/>
      <c r="Q14" s="539"/>
      <c r="R14" s="538"/>
      <c r="S14" s="531"/>
      <c r="T14" s="531"/>
      <c r="V14" s="527"/>
      <c r="W14" s="523"/>
      <c r="X14" s="523"/>
      <c r="Y14" s="401"/>
      <c r="Z14" s="401"/>
      <c r="AI14" s="359"/>
    </row>
    <row r="15" spans="2:41" ht="48.6" x14ac:dyDescent="0.3">
      <c r="B15" s="350" t="s">
        <v>1070</v>
      </c>
      <c r="C15" s="365" t="s">
        <v>1069</v>
      </c>
      <c r="K15" s="523"/>
      <c r="L15" s="531" t="str">
        <f>F44</f>
        <v>Shared bike</v>
      </c>
      <c r="M15" s="531"/>
      <c r="N15" s="532"/>
      <c r="O15" s="533" t="str">
        <f>H44</f>
        <v>Shared e-bike</v>
      </c>
      <c r="P15" s="531"/>
      <c r="Q15" s="531"/>
      <c r="R15" s="542" t="str">
        <f>D44</f>
        <v>Shared e-scooter (first generation)</v>
      </c>
      <c r="S15" s="534"/>
      <c r="T15" s="534"/>
      <c r="U15" s="401"/>
      <c r="V15" s="527"/>
      <c r="W15" s="523"/>
      <c r="X15" s="523"/>
      <c r="Y15" s="401"/>
      <c r="Z15" s="401"/>
      <c r="AI15" s="359"/>
    </row>
    <row r="16" spans="2:41" x14ac:dyDescent="0.3">
      <c r="B16" s="350" t="s">
        <v>1068</v>
      </c>
      <c r="C16" s="365" t="s">
        <v>1067</v>
      </c>
      <c r="K16" s="523"/>
      <c r="L16" s="534"/>
      <c r="M16" s="531"/>
      <c r="N16" s="532"/>
      <c r="O16" s="533"/>
      <c r="P16" s="531"/>
      <c r="Q16" s="531"/>
      <c r="R16" s="533"/>
      <c r="S16" s="531"/>
      <c r="T16" s="531"/>
      <c r="U16" s="527"/>
      <c r="V16" s="527"/>
      <c r="W16" s="523"/>
      <c r="X16" s="523"/>
      <c r="Y16" s="401"/>
      <c r="Z16" s="401"/>
      <c r="AI16" s="359"/>
    </row>
    <row r="17" spans="2:39" x14ac:dyDescent="0.3">
      <c r="B17" s="350"/>
      <c r="C17" s="352"/>
      <c r="K17" s="523"/>
      <c r="L17" s="531"/>
      <c r="M17" s="531"/>
      <c r="N17" s="532"/>
      <c r="O17" s="533"/>
      <c r="P17" s="531"/>
      <c r="Q17" s="531"/>
      <c r="R17" s="533"/>
      <c r="S17" s="531"/>
      <c r="T17" s="531"/>
      <c r="U17" s="527"/>
      <c r="V17" s="527"/>
      <c r="W17" s="523"/>
      <c r="X17" s="523"/>
      <c r="Y17" s="401"/>
      <c r="Z17" s="401"/>
      <c r="AI17" s="359"/>
    </row>
    <row r="18" spans="2:39" x14ac:dyDescent="0.3">
      <c r="B18" s="350" t="s">
        <v>1066</v>
      </c>
      <c r="K18" s="523"/>
      <c r="L18" s="546"/>
      <c r="M18" s="546"/>
      <c r="N18" s="547"/>
      <c r="O18" s="535"/>
      <c r="P18" s="536"/>
      <c r="Q18" s="537"/>
      <c r="R18" s="535"/>
      <c r="S18" s="536"/>
      <c r="T18" s="536"/>
      <c r="U18" s="527"/>
      <c r="V18" s="527"/>
      <c r="W18" s="523"/>
      <c r="X18" s="523"/>
      <c r="Y18" s="401"/>
      <c r="Z18" s="401"/>
      <c r="AI18" s="359"/>
    </row>
    <row r="19" spans="2:39" x14ac:dyDescent="0.3">
      <c r="B19" s="624" t="s">
        <v>1065</v>
      </c>
      <c r="C19" s="625"/>
      <c r="D19" s="625"/>
      <c r="E19" s="625"/>
      <c r="F19" s="625"/>
      <c r="G19" s="625"/>
      <c r="H19" s="626"/>
      <c r="K19" s="523"/>
      <c r="L19" s="539"/>
      <c r="M19" s="539"/>
      <c r="N19" s="540"/>
      <c r="O19" s="538"/>
      <c r="P19" s="539"/>
      <c r="Q19" s="540"/>
      <c r="R19" s="538"/>
      <c r="S19" s="531"/>
      <c r="T19" s="531"/>
      <c r="U19" s="527"/>
      <c r="V19" s="527"/>
      <c r="W19" s="523"/>
      <c r="X19" s="523"/>
      <c r="Y19" s="401"/>
      <c r="Z19" s="401"/>
      <c r="AI19" s="359"/>
    </row>
    <row r="20" spans="2:39" ht="7.5" customHeight="1" x14ac:dyDescent="0.3">
      <c r="B20" s="627"/>
      <c r="C20" s="628"/>
      <c r="D20" s="628"/>
      <c r="E20" s="628"/>
      <c r="F20" s="628"/>
      <c r="G20" s="628"/>
      <c r="H20" s="629"/>
      <c r="K20" s="523"/>
      <c r="L20" s="539"/>
      <c r="M20" s="539"/>
      <c r="N20" s="540"/>
      <c r="O20" s="538"/>
      <c r="P20" s="539"/>
      <c r="Q20" s="539"/>
      <c r="R20" s="538"/>
      <c r="S20" s="531"/>
      <c r="T20" s="531"/>
      <c r="U20" s="527"/>
      <c r="V20" s="527"/>
      <c r="W20" s="523"/>
      <c r="X20" s="523"/>
      <c r="Y20" s="401"/>
      <c r="Z20" s="401"/>
    </row>
    <row r="21" spans="2:39" ht="8.6999999999999993" customHeight="1" x14ac:dyDescent="0.3">
      <c r="B21" s="627"/>
      <c r="C21" s="628"/>
      <c r="D21" s="628"/>
      <c r="E21" s="628"/>
      <c r="F21" s="628"/>
      <c r="G21" s="628"/>
      <c r="H21" s="629"/>
      <c r="K21" s="523"/>
      <c r="L21" s="539"/>
      <c r="M21" s="539"/>
      <c r="N21" s="540"/>
      <c r="O21" s="538"/>
      <c r="P21" s="539"/>
      <c r="Q21" s="539"/>
      <c r="R21" s="538"/>
      <c r="S21" s="531"/>
      <c r="T21" s="531"/>
      <c r="U21" s="527"/>
      <c r="V21" s="527"/>
      <c r="W21" s="523"/>
      <c r="X21" s="523"/>
      <c r="Y21" s="401"/>
      <c r="Z21" s="401"/>
    </row>
    <row r="22" spans="2:39" ht="43.95" customHeight="1" x14ac:dyDescent="0.3">
      <c r="B22" s="627"/>
      <c r="C22" s="628"/>
      <c r="D22" s="628"/>
      <c r="E22" s="628"/>
      <c r="F22" s="628"/>
      <c r="G22" s="628"/>
      <c r="H22" s="629"/>
      <c r="K22" s="523"/>
      <c r="L22" s="531" t="str">
        <f>J44</f>
        <v>Private moped - BEV</v>
      </c>
      <c r="M22" s="539"/>
      <c r="N22" s="540"/>
      <c r="O22" s="533" t="str">
        <f>N44</f>
        <v>Private car - HEV</v>
      </c>
      <c r="P22" s="531"/>
      <c r="Q22" s="532"/>
      <c r="R22" s="533" t="str">
        <f>P44</f>
        <v>Private car - BEV</v>
      </c>
      <c r="S22" s="531"/>
      <c r="T22" s="531"/>
      <c r="U22" s="527"/>
      <c r="V22" s="527"/>
      <c r="W22" s="523"/>
      <c r="X22" s="523"/>
      <c r="Y22" s="402"/>
      <c r="Z22" s="402"/>
    </row>
    <row r="23" spans="2:39" x14ac:dyDescent="0.3">
      <c r="B23" s="627"/>
      <c r="C23" s="628"/>
      <c r="D23" s="628"/>
      <c r="E23" s="628"/>
      <c r="F23" s="628"/>
      <c r="G23" s="628"/>
      <c r="H23" s="629"/>
      <c r="K23" s="523"/>
      <c r="L23" s="531"/>
      <c r="M23" s="539"/>
      <c r="N23" s="540"/>
      <c r="O23" s="533"/>
      <c r="P23" s="531"/>
      <c r="Q23" s="532"/>
      <c r="R23" s="533"/>
      <c r="S23" s="531"/>
      <c r="T23" s="531"/>
      <c r="U23" s="527"/>
      <c r="V23" s="527"/>
      <c r="W23" s="523"/>
      <c r="X23" s="523"/>
      <c r="Y23" s="402"/>
      <c r="Z23" s="402"/>
    </row>
    <row r="24" spans="2:39" ht="9" customHeight="1" x14ac:dyDescent="0.3">
      <c r="B24" s="627"/>
      <c r="C24" s="628"/>
      <c r="D24" s="628"/>
      <c r="E24" s="628"/>
      <c r="F24" s="628"/>
      <c r="G24" s="628"/>
      <c r="H24" s="629"/>
      <c r="K24" s="523"/>
      <c r="L24" s="531"/>
      <c r="M24" s="539"/>
      <c r="N24" s="540"/>
      <c r="O24" s="533"/>
      <c r="P24" s="531"/>
      <c r="Q24" s="532"/>
      <c r="R24" s="533"/>
      <c r="S24" s="531"/>
      <c r="T24" s="531"/>
      <c r="U24" s="527"/>
      <c r="V24" s="527"/>
      <c r="W24" s="523"/>
      <c r="X24" s="523"/>
      <c r="Y24" s="401"/>
      <c r="Z24" s="401"/>
      <c r="AB24" s="364"/>
    </row>
    <row r="25" spans="2:39" s="350" customFormat="1" ht="4.95" customHeight="1" x14ac:dyDescent="0.3">
      <c r="B25" s="627"/>
      <c r="C25" s="628"/>
      <c r="D25" s="628"/>
      <c r="E25" s="628"/>
      <c r="F25" s="628"/>
      <c r="G25" s="628"/>
      <c r="H25" s="629"/>
      <c r="K25" s="524"/>
      <c r="L25" s="531"/>
      <c r="M25" s="539"/>
      <c r="N25" s="540"/>
      <c r="O25" s="533"/>
      <c r="P25" s="531"/>
      <c r="Q25" s="532"/>
      <c r="R25" s="541"/>
      <c r="S25" s="532"/>
      <c r="T25" s="532"/>
      <c r="U25" s="528"/>
      <c r="V25" s="528"/>
      <c r="W25" s="523"/>
      <c r="X25" s="523"/>
      <c r="Y25" s="402"/>
      <c r="Z25" s="402"/>
      <c r="AB25" s="362"/>
    </row>
    <row r="26" spans="2:39" x14ac:dyDescent="0.3">
      <c r="B26" s="627"/>
      <c r="C26" s="628"/>
      <c r="D26" s="628"/>
      <c r="E26" s="628"/>
      <c r="F26" s="628"/>
      <c r="G26" s="628"/>
      <c r="H26" s="629"/>
      <c r="L26" s="531"/>
      <c r="M26" s="539"/>
      <c r="N26" s="540"/>
      <c r="O26" s="533"/>
      <c r="P26" s="531"/>
      <c r="Q26" s="532"/>
      <c r="R26" s="542"/>
      <c r="S26" s="534"/>
      <c r="T26" s="534"/>
      <c r="U26" s="529"/>
      <c r="V26" s="529"/>
      <c r="W26" s="525"/>
      <c r="X26" s="525"/>
      <c r="Y26" s="526"/>
      <c r="Z26" s="526"/>
      <c r="AB26" s="355"/>
      <c r="AC26" s="354"/>
      <c r="AD26" s="354"/>
      <c r="AE26" s="354"/>
      <c r="AF26" s="354"/>
      <c r="AG26" s="354"/>
      <c r="AH26" s="354"/>
      <c r="AI26" s="354"/>
      <c r="AJ26" s="354"/>
      <c r="AK26" s="354"/>
      <c r="AL26" s="354"/>
      <c r="AM26" s="354"/>
    </row>
    <row r="27" spans="2:39" ht="50.7" customHeight="1" x14ac:dyDescent="0.3">
      <c r="B27" s="627"/>
      <c r="C27" s="628"/>
      <c r="D27" s="628"/>
      <c r="E27" s="628"/>
      <c r="F27" s="628"/>
      <c r="G27" s="628"/>
      <c r="H27" s="629"/>
      <c r="L27" s="531" t="str">
        <f>L44</f>
        <v>Shared moped - BEV</v>
      </c>
      <c r="M27" s="539"/>
      <c r="N27" s="540"/>
      <c r="O27" s="533" t="str">
        <f>W44</f>
        <v>Ridesourcing - car - HEV</v>
      </c>
      <c r="P27" s="532"/>
      <c r="Q27" s="543"/>
      <c r="R27" s="544" t="str">
        <f>Z44</f>
        <v>Ridesourcing - car - BEV (two packs)</v>
      </c>
      <c r="S27" s="534"/>
      <c r="T27" s="534"/>
      <c r="U27" s="529"/>
      <c r="V27" s="529"/>
      <c r="W27" s="525"/>
      <c r="X27" s="525"/>
      <c r="Y27" s="526"/>
      <c r="Z27" s="526"/>
      <c r="AB27" s="355"/>
      <c r="AC27" s="354"/>
      <c r="AD27" s="354"/>
      <c r="AE27" s="354"/>
      <c r="AF27" s="354"/>
      <c r="AG27" s="354"/>
      <c r="AH27" s="354"/>
      <c r="AI27" s="354"/>
      <c r="AJ27" s="354"/>
      <c r="AK27" s="354"/>
      <c r="AL27" s="354"/>
      <c r="AM27" s="354"/>
    </row>
    <row r="28" spans="2:39" x14ac:dyDescent="0.3">
      <c r="B28" s="627"/>
      <c r="C28" s="628"/>
      <c r="D28" s="628"/>
      <c r="E28" s="628"/>
      <c r="F28" s="628"/>
      <c r="G28" s="628"/>
      <c r="H28" s="629"/>
      <c r="L28" s="539"/>
      <c r="M28" s="539"/>
      <c r="N28" s="540"/>
      <c r="O28" s="538"/>
      <c r="P28" s="534"/>
      <c r="Q28" s="545"/>
      <c r="R28" s="542"/>
      <c r="S28" s="534"/>
      <c r="T28" s="534"/>
      <c r="U28" s="529"/>
      <c r="V28" s="529"/>
      <c r="W28" s="525"/>
      <c r="X28" s="525"/>
      <c r="Y28" s="526"/>
      <c r="Z28" s="526"/>
      <c r="AB28" s="355"/>
      <c r="AC28" s="354"/>
      <c r="AD28" s="354"/>
      <c r="AE28" s="354"/>
      <c r="AF28" s="354"/>
      <c r="AG28" s="354"/>
      <c r="AH28" s="354"/>
      <c r="AI28" s="354"/>
      <c r="AJ28" s="354"/>
      <c r="AK28" s="354"/>
      <c r="AL28" s="354"/>
      <c r="AM28" s="354"/>
    </row>
    <row r="29" spans="2:39" ht="4.95" customHeight="1" x14ac:dyDescent="0.3">
      <c r="B29" s="627"/>
      <c r="C29" s="628"/>
      <c r="D29" s="628"/>
      <c r="E29" s="628"/>
      <c r="F29" s="628"/>
      <c r="G29" s="628"/>
      <c r="H29" s="629"/>
      <c r="L29" s="539"/>
      <c r="M29" s="539"/>
      <c r="N29" s="540"/>
      <c r="O29" s="538"/>
      <c r="P29" s="539"/>
      <c r="Q29" s="539"/>
      <c r="R29" s="538"/>
      <c r="S29" s="534"/>
      <c r="T29" s="534"/>
      <c r="U29" s="529"/>
      <c r="V29" s="529"/>
      <c r="W29" s="525"/>
      <c r="X29" s="525"/>
      <c r="Y29" s="526"/>
      <c r="Z29" s="526"/>
      <c r="AB29" s="355"/>
      <c r="AC29" s="354"/>
      <c r="AD29" s="354"/>
      <c r="AE29" s="354"/>
      <c r="AF29" s="354"/>
      <c r="AG29" s="354"/>
      <c r="AH29" s="354"/>
      <c r="AI29" s="354"/>
      <c r="AJ29" s="354"/>
      <c r="AK29" s="354"/>
      <c r="AL29" s="354"/>
      <c r="AM29" s="354"/>
    </row>
    <row r="30" spans="2:39" x14ac:dyDescent="0.3">
      <c r="B30" s="627"/>
      <c r="C30" s="628"/>
      <c r="D30" s="628"/>
      <c r="E30" s="628"/>
      <c r="F30" s="628"/>
      <c r="G30" s="628"/>
      <c r="H30" s="629"/>
      <c r="L30" s="539"/>
      <c r="M30" s="539"/>
      <c r="N30" s="540"/>
      <c r="O30" s="533"/>
      <c r="P30" s="534"/>
      <c r="Q30" s="545"/>
      <c r="R30" s="542"/>
      <c r="S30" s="534"/>
      <c r="T30" s="534"/>
      <c r="U30" s="529"/>
      <c r="V30" s="529"/>
      <c r="W30" s="525"/>
      <c r="X30" s="525"/>
      <c r="Y30" s="526"/>
      <c r="Z30" s="526"/>
      <c r="AB30" s="355"/>
      <c r="AC30" s="354"/>
      <c r="AD30" s="354"/>
      <c r="AE30" s="354"/>
      <c r="AF30" s="354"/>
      <c r="AG30" s="354"/>
      <c r="AH30" s="354"/>
      <c r="AI30" s="354"/>
      <c r="AJ30" s="354"/>
      <c r="AK30" s="354"/>
      <c r="AL30" s="354"/>
      <c r="AM30" s="354"/>
    </row>
    <row r="31" spans="2:39" ht="10.5" customHeight="1" x14ac:dyDescent="0.3">
      <c r="B31" s="627"/>
      <c r="C31" s="628"/>
      <c r="D31" s="628"/>
      <c r="E31" s="628"/>
      <c r="F31" s="628"/>
      <c r="G31" s="628"/>
      <c r="H31" s="629"/>
      <c r="L31" s="539"/>
      <c r="M31" s="539"/>
      <c r="N31" s="540"/>
      <c r="O31" s="538"/>
      <c r="P31" s="539"/>
      <c r="Q31" s="539"/>
      <c r="R31" s="538"/>
      <c r="S31" s="534"/>
      <c r="T31" s="534"/>
      <c r="U31" s="529"/>
      <c r="V31" s="529"/>
      <c r="W31" s="525"/>
      <c r="X31" s="525"/>
      <c r="Y31" s="526"/>
      <c r="Z31" s="526"/>
      <c r="AB31" s="355"/>
      <c r="AC31" s="354"/>
      <c r="AD31" s="354"/>
      <c r="AE31" s="354"/>
      <c r="AF31" s="354"/>
      <c r="AG31" s="354"/>
      <c r="AH31" s="354"/>
      <c r="AI31" s="354"/>
      <c r="AJ31" s="354"/>
      <c r="AK31" s="354"/>
      <c r="AL31" s="354"/>
      <c r="AM31" s="354"/>
    </row>
    <row r="32" spans="2:39" x14ac:dyDescent="0.3">
      <c r="B32" s="627"/>
      <c r="C32" s="628"/>
      <c r="D32" s="628"/>
      <c r="E32" s="628"/>
      <c r="F32" s="628"/>
      <c r="G32" s="628"/>
      <c r="H32" s="629"/>
      <c r="L32" s="539"/>
      <c r="M32" s="539"/>
      <c r="N32" s="540"/>
      <c r="O32" s="538"/>
      <c r="P32" s="539"/>
      <c r="Q32" s="539"/>
      <c r="R32" s="538"/>
      <c r="S32" s="534"/>
      <c r="T32" s="534"/>
      <c r="U32" s="401"/>
      <c r="V32" s="401"/>
      <c r="W32" s="525"/>
      <c r="X32" s="525"/>
      <c r="Y32" s="526"/>
      <c r="Z32" s="526"/>
      <c r="AB32" s="355"/>
      <c r="AC32" s="354"/>
      <c r="AD32" s="354"/>
      <c r="AE32" s="354"/>
      <c r="AF32" s="354"/>
      <c r="AG32" s="354"/>
      <c r="AH32" s="354"/>
      <c r="AI32" s="354"/>
      <c r="AJ32" s="354"/>
      <c r="AK32" s="354"/>
      <c r="AL32" s="354"/>
      <c r="AM32" s="354"/>
    </row>
    <row r="33" spans="2:81" ht="25.2" customHeight="1" x14ac:dyDescent="0.3">
      <c r="B33" s="630"/>
      <c r="C33" s="631"/>
      <c r="D33" s="631"/>
      <c r="E33" s="631"/>
      <c r="F33" s="631"/>
      <c r="G33" s="631"/>
      <c r="H33" s="632"/>
      <c r="L33" s="539"/>
      <c r="M33" s="539"/>
      <c r="N33" s="540"/>
      <c r="O33" s="533" t="str">
        <f>R44</f>
        <v>Taxi  HEV</v>
      </c>
      <c r="P33" s="534"/>
      <c r="Q33" s="545"/>
      <c r="R33" s="542" t="str">
        <f>T44</f>
        <v>Taxi  BEV (two packs)</v>
      </c>
      <c r="S33" s="548"/>
      <c r="T33" s="548"/>
      <c r="U33" s="525"/>
      <c r="V33" s="525"/>
      <c r="W33" s="525"/>
      <c r="X33" s="525"/>
      <c r="Y33" s="526"/>
      <c r="Z33" s="526"/>
      <c r="AB33" s="355"/>
      <c r="AC33" s="354"/>
      <c r="AD33" s="354"/>
      <c r="AE33" s="354"/>
      <c r="AF33" s="354"/>
      <c r="AG33" s="354"/>
      <c r="AH33" s="354"/>
      <c r="AI33" s="354"/>
      <c r="AJ33" s="354"/>
      <c r="AK33" s="354"/>
      <c r="AL33" s="354"/>
      <c r="AM33" s="354"/>
    </row>
    <row r="34" spans="2:81" x14ac:dyDescent="0.3">
      <c r="L34" s="539"/>
      <c r="M34" s="539"/>
      <c r="N34" s="540"/>
      <c r="O34" s="538"/>
      <c r="P34" s="534"/>
      <c r="Q34" s="545"/>
      <c r="R34" s="538"/>
      <c r="S34" s="549"/>
      <c r="T34" s="549"/>
      <c r="U34" s="526"/>
      <c r="V34" s="526"/>
      <c r="W34" s="526"/>
      <c r="X34" s="526"/>
      <c r="Y34" s="526"/>
      <c r="Z34" s="526"/>
      <c r="AB34" s="355"/>
      <c r="AC34" s="354"/>
      <c r="AD34" s="354"/>
      <c r="AE34" s="354"/>
      <c r="AF34" s="354"/>
      <c r="AG34" s="354"/>
      <c r="AH34" s="354"/>
      <c r="AI34" s="354"/>
      <c r="AJ34" s="354"/>
      <c r="AK34" s="354"/>
      <c r="AL34" s="354"/>
      <c r="AM34" s="354"/>
    </row>
    <row r="35" spans="2:81" x14ac:dyDescent="0.3">
      <c r="L35" s="534"/>
      <c r="M35" s="534"/>
      <c r="N35" s="545"/>
      <c r="O35" s="550"/>
      <c r="P35" s="549"/>
      <c r="Q35" s="549"/>
      <c r="R35" s="550"/>
      <c r="S35" s="549"/>
      <c r="T35" s="549"/>
      <c r="U35" s="526"/>
      <c r="V35" s="526"/>
      <c r="W35" s="526"/>
      <c r="X35" s="526"/>
      <c r="Y35" s="526"/>
      <c r="Z35" s="526"/>
      <c r="AB35" s="355"/>
      <c r="AC35" s="354"/>
      <c r="AD35" s="354"/>
      <c r="AE35" s="354"/>
      <c r="AF35" s="354"/>
      <c r="AG35" s="354"/>
      <c r="AH35" s="354"/>
      <c r="AI35" s="354"/>
      <c r="AJ35" s="354"/>
      <c r="AK35" s="354"/>
      <c r="AL35" s="354"/>
      <c r="AM35" s="354"/>
    </row>
    <row r="36" spans="2:81" x14ac:dyDescent="0.3">
      <c r="L36" s="534"/>
      <c r="M36" s="534"/>
      <c r="N36" s="545"/>
      <c r="O36" s="549"/>
      <c r="P36" s="549"/>
      <c r="Q36" s="549"/>
      <c r="R36" s="549"/>
      <c r="S36" s="549"/>
      <c r="T36" s="549"/>
      <c r="U36" s="526"/>
      <c r="V36" s="526"/>
      <c r="W36" s="526"/>
      <c r="X36" s="526"/>
      <c r="Y36" s="526"/>
      <c r="Z36" s="526"/>
      <c r="AB36" s="355"/>
      <c r="AC36" s="354"/>
      <c r="AD36" s="354"/>
      <c r="AE36" s="354"/>
      <c r="AF36" s="354"/>
      <c r="AG36" s="354"/>
      <c r="AH36" s="354"/>
      <c r="AI36" s="354"/>
      <c r="AJ36" s="354"/>
      <c r="AK36" s="354"/>
      <c r="AL36" s="354"/>
      <c r="AM36" s="354"/>
    </row>
    <row r="37" spans="2:81" x14ac:dyDescent="0.3">
      <c r="L37" s="534"/>
      <c r="M37" s="534"/>
      <c r="N37" s="545"/>
      <c r="O37" s="549"/>
      <c r="P37" s="549"/>
      <c r="Q37" s="549"/>
      <c r="R37" s="549"/>
      <c r="S37" s="549"/>
      <c r="T37" s="549"/>
      <c r="U37" s="526"/>
      <c r="V37" s="526"/>
      <c r="W37" s="526"/>
      <c r="X37" s="526"/>
      <c r="Y37" s="526"/>
      <c r="Z37" s="526"/>
      <c r="AB37" s="355"/>
      <c r="AC37" s="354"/>
      <c r="AD37" s="354"/>
      <c r="AE37" s="354"/>
      <c r="AF37" s="354"/>
      <c r="AG37" s="354"/>
      <c r="AH37" s="354"/>
      <c r="AI37" s="354"/>
      <c r="AJ37" s="354"/>
      <c r="AK37" s="354"/>
      <c r="AL37" s="354"/>
      <c r="AM37" s="354"/>
    </row>
    <row r="38" spans="2:81" x14ac:dyDescent="0.3">
      <c r="L38" s="529"/>
      <c r="M38" s="529"/>
      <c r="N38" s="530"/>
      <c r="O38" s="551"/>
      <c r="P38" s="551"/>
      <c r="Q38" s="551"/>
      <c r="R38" s="551"/>
      <c r="S38" s="551"/>
      <c r="T38" s="551"/>
      <c r="U38" s="526"/>
      <c r="V38" s="526"/>
      <c r="W38" s="526"/>
      <c r="X38" s="526"/>
      <c r="Y38" s="526"/>
      <c r="Z38" s="526"/>
      <c r="AB38" s="355"/>
      <c r="AC38" s="354"/>
      <c r="AD38" s="354"/>
      <c r="AE38" s="354"/>
      <c r="AF38" s="354"/>
      <c r="AG38" s="354"/>
      <c r="AH38" s="354"/>
      <c r="AI38" s="354"/>
      <c r="AJ38" s="354"/>
      <c r="AK38" s="354"/>
      <c r="AL38" s="354"/>
      <c r="AM38" s="354"/>
    </row>
    <row r="39" spans="2:81" x14ac:dyDescent="0.3">
      <c r="N39" s="355"/>
      <c r="O39" s="354"/>
      <c r="P39" s="354"/>
      <c r="Q39" s="354"/>
      <c r="R39" s="354"/>
      <c r="S39" s="354"/>
      <c r="T39" s="354"/>
      <c r="U39" s="354"/>
      <c r="V39" s="354"/>
      <c r="W39" s="354"/>
      <c r="X39" s="354"/>
      <c r="Y39" s="354"/>
      <c r="Z39" s="354"/>
      <c r="AB39" s="355"/>
      <c r="AC39" s="354"/>
      <c r="AD39" s="354"/>
      <c r="AE39" s="354"/>
      <c r="AF39" s="354"/>
      <c r="AG39" s="354"/>
      <c r="AH39" s="354"/>
      <c r="AI39" s="354"/>
      <c r="AJ39" s="354"/>
      <c r="AK39" s="354"/>
      <c r="AL39" s="354"/>
      <c r="AM39" s="354"/>
    </row>
    <row r="40" spans="2:81" ht="23.4" x14ac:dyDescent="0.45">
      <c r="B40" s="360" t="s">
        <v>1064</v>
      </c>
      <c r="C40" s="359"/>
      <c r="N40" s="355"/>
      <c r="O40" s="354"/>
      <c r="P40" s="354"/>
      <c r="Q40" s="354"/>
      <c r="R40" s="354"/>
      <c r="S40" s="354"/>
      <c r="T40" s="354"/>
      <c r="U40" s="354"/>
      <c r="V40" s="354"/>
      <c r="W40" s="354"/>
      <c r="X40" s="354"/>
      <c r="Y40" s="354"/>
      <c r="Z40" s="354"/>
      <c r="AB40" s="355"/>
      <c r="AC40" s="354"/>
      <c r="AD40" s="354"/>
      <c r="AE40" s="354"/>
      <c r="AF40" s="354"/>
      <c r="AG40" s="354"/>
      <c r="AH40" s="354"/>
      <c r="AI40" s="354"/>
      <c r="AJ40" s="354"/>
      <c r="AK40" s="354"/>
      <c r="AL40" s="354"/>
      <c r="AM40" s="354"/>
    </row>
    <row r="41" spans="2:81" ht="23.4" x14ac:dyDescent="0.45">
      <c r="B41" s="360"/>
      <c r="C41" s="359"/>
      <c r="N41" s="355"/>
      <c r="O41" s="354"/>
      <c r="P41" s="354"/>
      <c r="Q41" s="354"/>
      <c r="R41" s="354"/>
      <c r="S41" s="354"/>
      <c r="T41" s="354"/>
      <c r="U41" s="354"/>
      <c r="V41" s="354"/>
      <c r="W41" s="354"/>
      <c r="X41" s="354"/>
      <c r="Y41" s="354"/>
      <c r="Z41" s="354"/>
      <c r="AB41" s="355"/>
      <c r="AC41" s="354"/>
      <c r="AD41" s="354"/>
      <c r="AE41" s="354"/>
      <c r="AF41" s="354"/>
      <c r="AG41" s="354"/>
      <c r="AH41" s="354"/>
      <c r="AI41" s="354"/>
      <c r="AJ41" s="354"/>
      <c r="AK41" s="354"/>
      <c r="AL41" s="354"/>
      <c r="AM41" s="354"/>
    </row>
    <row r="42" spans="2:81" ht="23.4" x14ac:dyDescent="0.45">
      <c r="B42" s="360"/>
      <c r="C42" s="359"/>
      <c r="N42" s="355"/>
      <c r="O42" s="354"/>
      <c r="P42" s="354"/>
      <c r="Q42" s="354"/>
      <c r="R42" s="354"/>
      <c r="S42" s="354"/>
      <c r="T42" s="354"/>
      <c r="U42" s="354"/>
      <c r="V42" s="354"/>
      <c r="W42" s="354"/>
      <c r="X42" s="354"/>
      <c r="Y42" s="354"/>
      <c r="Z42" s="354"/>
      <c r="AB42" s="355"/>
      <c r="AC42" s="354"/>
      <c r="AD42" s="354"/>
      <c r="AE42" s="354"/>
      <c r="AF42" s="354"/>
      <c r="AG42" s="354"/>
      <c r="AH42" s="354"/>
      <c r="AI42" s="354"/>
      <c r="AJ42" s="354"/>
      <c r="AK42" s="354"/>
      <c r="AL42" s="354"/>
      <c r="AM42" s="354"/>
    </row>
    <row r="43" spans="2:81" x14ac:dyDescent="0.3">
      <c r="N43" s="355"/>
      <c r="O43" s="354"/>
      <c r="P43" s="354"/>
      <c r="Q43" s="354"/>
      <c r="R43" s="354"/>
      <c r="S43" s="354"/>
      <c r="T43" s="354"/>
      <c r="U43" s="354"/>
      <c r="V43" s="354"/>
      <c r="W43" s="354"/>
      <c r="X43" s="354"/>
      <c r="Y43" s="354"/>
      <c r="Z43" s="354"/>
      <c r="AB43" s="355"/>
      <c r="AC43" s="354"/>
      <c r="AD43" s="354"/>
      <c r="AE43" s="354"/>
      <c r="AF43" s="354"/>
      <c r="AG43" s="354"/>
      <c r="AH43" s="354"/>
      <c r="AI43" s="354"/>
      <c r="AJ43" s="354"/>
      <c r="AK43" s="354"/>
      <c r="AL43" s="354"/>
      <c r="AM43" s="354"/>
    </row>
    <row r="44" spans="2:81" s="401" customFormat="1" ht="72" x14ac:dyDescent="0.3">
      <c r="B44" s="399">
        <f>Figure_2_GHG_per_pkm_General!B44</f>
        <v>0</v>
      </c>
      <c r="C44" s="399" t="str">
        <f>Figure_2_GHG_per_pkm_General!C44</f>
        <v>Private e-scooter</v>
      </c>
      <c r="D44" s="399" t="str">
        <f>Figure_2_GHG_per_pkm_General!D44</f>
        <v>Shared e-scooter (first generation)</v>
      </c>
      <c r="E44" s="399" t="str">
        <f>Figure_2_GHG_per_pkm_General!F44</f>
        <v>Private bike</v>
      </c>
      <c r="F44" s="399" t="str">
        <f>Figure_2_GHG_per_pkm_General!G44</f>
        <v>Shared bike</v>
      </c>
      <c r="G44" s="399" t="str">
        <f>Figure_2_GHG_per_pkm_General!H44</f>
        <v>Private e-bike</v>
      </c>
      <c r="H44" s="399" t="str">
        <f>Figure_2_GHG_per_pkm_General!I44</f>
        <v>Shared e-bike</v>
      </c>
      <c r="I44" s="399" t="str">
        <f>Figure_2_GHG_per_pkm_General!J44</f>
        <v>Private moped - ICE</v>
      </c>
      <c r="J44" s="399" t="str">
        <f>Figure_2_GHG_per_pkm_General!K44</f>
        <v>Private moped - BEV</v>
      </c>
      <c r="K44" s="399" t="str">
        <f>Figure_2_GHG_per_pkm_General!L44</f>
        <v>Shared moped - ICE</v>
      </c>
      <c r="L44" s="399" t="str">
        <f>Figure_2_GHG_per_pkm_General!M44</f>
        <v>Shared moped - BEV</v>
      </c>
      <c r="M44" s="399" t="str">
        <f>Figure_2_GHG_per_pkm_General!N44</f>
        <v>Private car - ICE</v>
      </c>
      <c r="N44" s="399" t="str">
        <f>Figure_2_GHG_per_pkm_General!O44</f>
        <v>Private car - HEV</v>
      </c>
      <c r="O44" s="399" t="str">
        <f>Figure_2_GHG_per_pkm_General!P44</f>
        <v>Private car - PHEV</v>
      </c>
      <c r="P44" s="399" t="str">
        <f>Figure_2_GHG_per_pkm_General!Q44</f>
        <v>Private car - BEV</v>
      </c>
      <c r="Q44" s="399" t="str">
        <f>Figure_2_GHG_per_pkm_General!R44</f>
        <v>Private car - FCEV</v>
      </c>
      <c r="R44" s="399" t="str">
        <f>Figure_2_GHG_per_pkm_General!S44</f>
        <v>Taxi  HEV</v>
      </c>
      <c r="S44" s="399" t="str">
        <f>Figure_2_GHG_per_pkm_General!T44</f>
        <v>Taxi  BEV</v>
      </c>
      <c r="T44" s="399" t="str">
        <f>Figure_2_GHG_per_pkm_General!U44</f>
        <v>Taxi  BEV (two packs)</v>
      </c>
      <c r="U44" s="399" t="str">
        <f>Figure_2_GHG_per_pkm_General!V44</f>
        <v>Taxi - FCEV</v>
      </c>
      <c r="V44" s="399" t="str">
        <f>Figure_2_GHG_per_pkm_General!W44</f>
        <v>Ridesourcing - car - ICE</v>
      </c>
      <c r="W44" s="399" t="str">
        <f>Figure_2_GHG_per_pkm_General!X44</f>
        <v>Ridesourcing - car - HEV</v>
      </c>
      <c r="X44" s="399" t="str">
        <f>Figure_2_GHG_per_pkm_General!Y44</f>
        <v>Ridesourcing - car - PHEV</v>
      </c>
      <c r="Y44" s="399" t="str">
        <f>Figure_2_GHG_per_pkm_General!Z44</f>
        <v>Ridesourcing - car - BEV</v>
      </c>
      <c r="Z44" s="399" t="str">
        <f>Figure_2_GHG_per_pkm_General!AA44</f>
        <v>Ridesourcing - car - BEV (two packs)</v>
      </c>
      <c r="AA44" s="399" t="str">
        <f>Figure_2_GHG_per_pkm_General!AB44</f>
        <v>Ridesourcing - car - FCEV</v>
      </c>
      <c r="AB44" s="399" t="str">
        <f>Figure_2_GHG_per_pkm_General!AC44</f>
        <v>Bus - ICE</v>
      </c>
      <c r="AC44" s="399" t="str">
        <f>Figure_2_GHG_per_pkm_General!AD44</f>
        <v>Bus - HEV</v>
      </c>
      <c r="AD44" s="399" t="str">
        <f>Figure_2_GHG_per_pkm_General!AE44</f>
        <v>Bus - BEV</v>
      </c>
      <c r="AE44" s="399" t="str">
        <f>Figure_2_GHG_per_pkm_General!AF44</f>
        <v>Bus - BEV (two packs)</v>
      </c>
      <c r="AF44" s="399" t="str">
        <f>Figure_2_GHG_per_pkm_General!AG44</f>
        <v>Bus - FCEV</v>
      </c>
      <c r="AG44" s="399" t="str">
        <f>Figure_2_GHG_per_pkm_General!AH44</f>
        <v>Metro/urban train</v>
      </c>
      <c r="AI44" s="400"/>
      <c r="AL44" s="399"/>
      <c r="AM44" s="399"/>
      <c r="AN44" s="399"/>
      <c r="AO44" s="399"/>
      <c r="AP44" s="399"/>
      <c r="AQ44" s="399"/>
      <c r="AR44" s="399"/>
      <c r="BK44" s="399"/>
      <c r="BL44" s="399"/>
      <c r="BM44" s="399"/>
      <c r="BN44" s="399"/>
      <c r="BO44" s="399"/>
      <c r="BP44" s="399"/>
      <c r="BQ44" s="399"/>
      <c r="BR44" s="399"/>
      <c r="BS44" s="399"/>
      <c r="BT44" s="399"/>
      <c r="BX44" s="399"/>
      <c r="BZ44" s="399"/>
      <c r="CA44" s="399"/>
      <c r="CB44" s="399"/>
      <c r="CC44" s="399"/>
    </row>
    <row r="45" spans="2:81" x14ac:dyDescent="0.3">
      <c r="B45" s="358" t="str">
        <f>Figure_2_GHG_per_pkm_General!B45</f>
        <v>Vehicle component</v>
      </c>
      <c r="C45" s="357">
        <f ca="1">Figure_2_GHG_per_pkm_General!C45</f>
        <v>26.164322330581768</v>
      </c>
      <c r="D45" s="357">
        <f ca="1">Figure_2_GHG_per_pkm_General!D45</f>
        <v>71.455666502830198</v>
      </c>
      <c r="E45" s="357">
        <f ca="1">Figure_2_GHG_per_pkm_General!F45</f>
        <v>7.4670905852088847</v>
      </c>
      <c r="F45" s="357">
        <f ca="1">Figure_2_GHG_per_pkm_General!G45</f>
        <v>23.312907018241759</v>
      </c>
      <c r="G45" s="357">
        <f ca="1">Figure_2_GHG_per_pkm_General!H45</f>
        <v>12.537922665474529</v>
      </c>
      <c r="H45" s="357">
        <f ca="1">Figure_2_GHG_per_pkm_General!I45</f>
        <v>37.131518608826688</v>
      </c>
      <c r="I45" s="357">
        <f ca="1">Figure_2_GHG_per_pkm_General!J45</f>
        <v>7.985146217473579</v>
      </c>
      <c r="J45" s="357">
        <f ca="1">Figure_2_GHG_per_pkm_General!K45</f>
        <v>9.7988736045981124</v>
      </c>
      <c r="K45" s="357">
        <f ca="1">Figure_2_GHG_per_pkm_General!L45</f>
        <v>19.952685602050249</v>
      </c>
      <c r="L45" s="357">
        <f ca="1">Figure_2_GHG_per_pkm_General!M45</f>
        <v>34.562416943858203</v>
      </c>
      <c r="M45" s="357">
        <f ca="1">Figure_2_GHG_per_pkm_General!N45</f>
        <v>23.86345238869054</v>
      </c>
      <c r="N45" s="357">
        <f ca="1">Figure_2_GHG_per_pkm_General!O45</f>
        <v>25.97776328361342</v>
      </c>
      <c r="O45" s="357">
        <f ca="1">Figure_2_GHG_per_pkm_General!P45</f>
        <v>31.760408198944184</v>
      </c>
      <c r="P45" s="357">
        <f ca="1">Figure_2_GHG_per_pkm_General!Q45</f>
        <v>41.64927411276431</v>
      </c>
      <c r="Q45" s="357">
        <f ca="1">Figure_2_GHG_per_pkm_General!R45</f>
        <v>37.744913578184971</v>
      </c>
      <c r="R45" s="357">
        <f ca="1">Figure_2_GHG_per_pkm_General!S45</f>
        <v>30.645353280741684</v>
      </c>
      <c r="S45" s="357">
        <f ca="1">Figure_2_GHG_per_pkm_General!T45</f>
        <v>50.370851959294306</v>
      </c>
      <c r="T45" s="357">
        <f ca="1">Figure_2_GHG_per_pkm_General!U45</f>
        <v>76.734576745891161</v>
      </c>
      <c r="U45" s="357">
        <f ca="1">Figure_2_GHG_per_pkm_General!V45</f>
        <v>42.163812959731359</v>
      </c>
      <c r="V45" s="357">
        <f ca="1">Figure_2_GHG_per_pkm_General!W45</f>
        <v>22.31063196833988</v>
      </c>
      <c r="W45" s="357">
        <f ca="1">Figure_2_GHG_per_pkm_General!X45</f>
        <v>24.220828487012707</v>
      </c>
      <c r="X45" s="357">
        <f ca="1">Figure_2_GHG_per_pkm_General!Y45</f>
        <v>29.210236319465356</v>
      </c>
      <c r="Y45" s="357">
        <f ca="1">Figure_2_GHG_per_pkm_General!Z45</f>
        <v>38.532772618337084</v>
      </c>
      <c r="Z45" s="357">
        <f ca="1">Figure_2_GHG_per_pkm_General!AA45</f>
        <v>62.392606772849085</v>
      </c>
      <c r="AA45" s="357">
        <f ca="1">Figure_2_GHG_per_pkm_General!AB45</f>
        <v>32.45742243615814</v>
      </c>
      <c r="AB45" s="357">
        <f ca="1">Figure_2_GHG_per_pkm_General!AC45</f>
        <v>8.013715326026503</v>
      </c>
      <c r="AC45" s="357">
        <f ca="1">Figure_2_GHG_per_pkm_General!AD45</f>
        <v>7.9930110809261254</v>
      </c>
      <c r="AD45" s="357">
        <f ca="1">Figure_2_GHG_per_pkm_General!AE45</f>
        <v>13.730124843093328</v>
      </c>
      <c r="AE45" s="357">
        <f ca="1">Figure_2_GHG_per_pkm_General!AF45</f>
        <v>17.060980443414817</v>
      </c>
      <c r="AF45" s="357">
        <f ca="1">Figure_2_GHG_per_pkm_General!AG45</f>
        <v>11.025198611180571</v>
      </c>
      <c r="AG45" s="357">
        <f ca="1">Figure_2_GHG_per_pkm_General!AH45</f>
        <v>2.0282607820493368</v>
      </c>
      <c r="AI45" s="356"/>
      <c r="AL45" s="357"/>
      <c r="AM45" s="357"/>
      <c r="AN45" s="357"/>
      <c r="AO45" s="357"/>
      <c r="AP45" s="357"/>
      <c r="AQ45" s="357"/>
      <c r="AR45" s="357"/>
      <c r="BD45" s="350"/>
      <c r="BK45" s="357"/>
      <c r="BL45" s="357"/>
      <c r="BM45" s="357"/>
      <c r="BN45" s="357"/>
      <c r="BO45" s="357"/>
      <c r="BP45" s="357"/>
      <c r="BQ45" s="357"/>
      <c r="BR45" s="357"/>
      <c r="BS45" s="357"/>
      <c r="BT45" s="357"/>
      <c r="BX45" s="357"/>
      <c r="BZ45" s="357"/>
      <c r="CA45" s="357"/>
      <c r="CB45" s="357"/>
      <c r="CC45" s="357"/>
    </row>
    <row r="46" spans="2:81" x14ac:dyDescent="0.3">
      <c r="B46" s="358" t="str">
        <f>Figure_2_GHG_per_pkm_General!B46</f>
        <v>Fuel component</v>
      </c>
      <c r="C46" s="508">
        <f>Figure_2_GHG_per_pkm_General!C46</f>
        <v>1.4239176699373322</v>
      </c>
      <c r="D46" s="508">
        <f>Figure_2_GHG_per_pkm_General!D46</f>
        <v>1.4239176699373322</v>
      </c>
      <c r="E46" s="508">
        <f>Figure_2_GHG_per_pkm_General!F46</f>
        <v>0</v>
      </c>
      <c r="F46" s="508">
        <f>Figure_2_GHG_per_pkm_General!G46</f>
        <v>0</v>
      </c>
      <c r="G46" s="508">
        <f>Figure_2_GHG_per_pkm_General!H46</f>
        <v>2.7183882789712701</v>
      </c>
      <c r="H46" s="508">
        <f>Figure_2_GHG_per_pkm_General!I46</f>
        <v>2.7183882789712706</v>
      </c>
      <c r="I46" s="508">
        <f>Figure_2_GHG_per_pkm_General!J46</f>
        <v>53.73696412283369</v>
      </c>
      <c r="J46" s="508">
        <f>Figure_2_GHG_per_pkm_General!K46</f>
        <v>4.5324601156650521</v>
      </c>
      <c r="K46" s="508">
        <f>Figure_2_GHG_per_pkm_General!L46</f>
        <v>53.736964122833704</v>
      </c>
      <c r="L46" s="508">
        <f>Figure_2_GHG_per_pkm_General!M46</f>
        <v>4.5324601156650521</v>
      </c>
      <c r="M46" s="508">
        <f>Figure_2_GHG_per_pkm_General!N46</f>
        <v>125.63212704</v>
      </c>
      <c r="N46" s="508">
        <f>Figure_2_GHG_per_pkm_General!O46</f>
        <v>93.58311504000001</v>
      </c>
      <c r="O46" s="508">
        <f>Figure_2_GHG_per_pkm_General!P46</f>
        <v>42.659754529241155</v>
      </c>
      <c r="P46" s="508">
        <f>Figure_2_GHG_per_pkm_General!Q46</f>
        <v>16.426508205516896</v>
      </c>
      <c r="Q46" s="508">
        <f>Figure_2_GHG_per_pkm_General!R46</f>
        <v>82.679705112992522</v>
      </c>
      <c r="R46" s="508">
        <f>Figure_2_GHG_per_pkm_General!S46</f>
        <v>117.64755563047052</v>
      </c>
      <c r="S46" s="508">
        <f>Figure_2_GHG_per_pkm_General!T46</f>
        <v>20.650504496424475</v>
      </c>
      <c r="T46" s="508">
        <f>Figure_2_GHG_per_pkm_General!U46</f>
        <v>20.650504496424475</v>
      </c>
      <c r="U46" s="508">
        <f>Figure_2_GHG_per_pkm_General!V46</f>
        <v>103.94038713750945</v>
      </c>
      <c r="V46" s="508">
        <f>Figure_2_GHG_per_pkm_General!W46</f>
        <v>121.57947778064515</v>
      </c>
      <c r="W46" s="508">
        <f>Figure_2_GHG_per_pkm_General!X46</f>
        <v>90.564304877419374</v>
      </c>
      <c r="X46" s="508">
        <f>Figure_2_GHG_per_pkm_General!Y46</f>
        <v>63.747918471741364</v>
      </c>
      <c r="Y46" s="508">
        <f>Figure_2_GHG_per_pkm_General!Z46</f>
        <v>15.896620844048607</v>
      </c>
      <c r="Z46" s="508">
        <f>Figure_2_GHG_per_pkm_General!AA46</f>
        <v>15.896620844048607</v>
      </c>
      <c r="AA46" s="508">
        <f>Figure_2_GHG_per_pkm_General!AB46</f>
        <v>80.012617851283068</v>
      </c>
      <c r="AB46" s="508">
        <f>Figure_2_GHG_per_pkm_General!AC46</f>
        <v>71.835624993896062</v>
      </c>
      <c r="AC46" s="508">
        <f>Figure_2_GHG_per_pkm_General!AD46</f>
        <v>52.881213964464521</v>
      </c>
      <c r="AD46" s="508">
        <f>Figure_2_GHG_per_pkm_General!AE46</f>
        <v>10.462368334191947</v>
      </c>
      <c r="AE46" s="508">
        <f>Figure_2_GHG_per_pkm_General!AF46</f>
        <v>10.462368334191947</v>
      </c>
      <c r="AF46" s="508">
        <f>Figure_2_GHG_per_pkm_General!AG46</f>
        <v>43.913662604355508</v>
      </c>
      <c r="AG46" s="508">
        <f>Figure_2_GHG_per_pkm_General!AH46</f>
        <v>12.073398680398997</v>
      </c>
      <c r="AI46" s="356"/>
      <c r="AL46" s="357"/>
      <c r="AM46" s="357"/>
      <c r="AN46" s="357"/>
      <c r="AO46" s="357"/>
      <c r="AP46" s="357"/>
      <c r="AQ46" s="357"/>
      <c r="AR46" s="357"/>
      <c r="BD46" s="350"/>
      <c r="BK46" s="357"/>
      <c r="BL46" s="357"/>
      <c r="BM46" s="357"/>
      <c r="BN46" s="357"/>
      <c r="BO46" s="357"/>
      <c r="BP46" s="357"/>
      <c r="BQ46" s="357"/>
      <c r="BR46" s="357"/>
      <c r="BS46" s="357"/>
      <c r="BT46" s="357"/>
      <c r="BX46" s="357"/>
      <c r="BZ46" s="357"/>
      <c r="CA46" s="357"/>
      <c r="CB46" s="357"/>
      <c r="CC46" s="357"/>
    </row>
    <row r="47" spans="2:81" x14ac:dyDescent="0.3">
      <c r="B47" s="358" t="str">
        <f>Figure_2_GHG_per_pkm_General!B47</f>
        <v>Infrastructure component</v>
      </c>
      <c r="C47" s="357">
        <f>Figure_2_GHG_per_pkm_General!C47</f>
        <v>9.4409392749428456</v>
      </c>
      <c r="D47" s="357">
        <f>Figure_2_GHG_per_pkm_General!D47</f>
        <v>9.4409392749428456</v>
      </c>
      <c r="E47" s="357">
        <f>Figure_2_GHG_per_pkm_General!F47</f>
        <v>9.471154571397097</v>
      </c>
      <c r="F47" s="357">
        <f>Figure_2_GHG_per_pkm_General!G47</f>
        <v>9.4896885706026097</v>
      </c>
      <c r="G47" s="357">
        <f>Figure_2_GHG_per_pkm_General!H47</f>
        <v>9.4793603097639458</v>
      </c>
      <c r="H47" s="357">
        <f>Figure_2_GHG_per_pkm_General!I47</f>
        <v>9.5026866330964577</v>
      </c>
      <c r="I47" s="357">
        <f>Figure_2_GHG_per_pkm_General!J47</f>
        <v>11.394557604754132</v>
      </c>
      <c r="J47" s="357">
        <f>Figure_2_GHG_per_pkm_General!K47</f>
        <v>11.354081196149926</v>
      </c>
      <c r="K47" s="357">
        <f>Figure_2_GHG_per_pkm_General!L47</f>
        <v>11.394557604754132</v>
      </c>
      <c r="L47" s="357">
        <f>Figure_2_GHG_per_pkm_General!M47</f>
        <v>11.354081196149926</v>
      </c>
      <c r="M47" s="357">
        <f>Figure_2_GHG_per_pkm_General!N47</f>
        <v>12.476457294127272</v>
      </c>
      <c r="N47" s="357">
        <f>Figure_2_GHG_per_pkm_General!O47</f>
        <v>12.716888018619265</v>
      </c>
      <c r="O47" s="357">
        <f>Figure_2_GHG_per_pkm_General!P47</f>
        <v>12.937036533686294</v>
      </c>
      <c r="P47" s="357">
        <f>Figure_2_GHG_per_pkm_General!Q47</f>
        <v>12.197157451329351</v>
      </c>
      <c r="Q47" s="357">
        <f>Figure_2_GHG_per_pkm_General!R47</f>
        <v>12.984188392693992</v>
      </c>
      <c r="R47" s="357">
        <f>Figure_2_GHG_per_pkm_General!S47</f>
        <v>27.01554027394284</v>
      </c>
      <c r="S47" s="357">
        <f>Figure_2_GHG_per_pkm_General!T47</f>
        <v>25.911433510427884</v>
      </c>
      <c r="T47" s="357">
        <f>Figure_2_GHG_per_pkm_General!U47</f>
        <v>25.911433510427884</v>
      </c>
      <c r="U47" s="357">
        <f>Figure_2_GHG_per_pkm_General!V47</f>
        <v>27.58338863515219</v>
      </c>
      <c r="V47" s="357">
        <f>Figure_2_GHG_per_pkm_General!W47</f>
        <v>20.403198013580084</v>
      </c>
      <c r="W47" s="357">
        <f>Figure_2_GHG_per_pkm_General!X47</f>
        <v>20.796382999086166</v>
      </c>
      <c r="X47" s="357">
        <f>Figure_2_GHG_per_pkm_General!Y47</f>
        <v>21.156399760208132</v>
      </c>
      <c r="Y47" s="357">
        <f>Figure_2_GHG_per_pkm_General!Z47</f>
        <v>19.94644896507814</v>
      </c>
      <c r="Z47" s="357">
        <f>Figure_2_GHG_per_pkm_General!AA47</f>
        <v>19.94644896507814</v>
      </c>
      <c r="AA47" s="357">
        <f>Figure_2_GHG_per_pkm_General!AB47</f>
        <v>21.233508886089187</v>
      </c>
      <c r="AB47" s="357">
        <f>Figure_2_GHG_per_pkm_General!AC47</f>
        <v>3.6024452385780199</v>
      </c>
      <c r="AC47" s="357">
        <f>Figure_2_GHG_per_pkm_General!AD47</f>
        <v>3.5574070420397113</v>
      </c>
      <c r="AD47" s="357">
        <f>Figure_2_GHG_per_pkm_General!AE47</f>
        <v>3.9264293380027726</v>
      </c>
      <c r="AE47" s="357">
        <f>Figure_2_GHG_per_pkm_General!AF47</f>
        <v>3.9264293380027726</v>
      </c>
      <c r="AF47" s="357">
        <f>Figure_2_GHG_per_pkm_General!AG47</f>
        <v>4.0625475229856942</v>
      </c>
      <c r="AG47" s="357">
        <f>Figure_2_GHG_per_pkm_General!AH47</f>
        <v>11.003404253622561</v>
      </c>
      <c r="AI47" s="356"/>
      <c r="AL47" s="357"/>
      <c r="AM47" s="357"/>
      <c r="AN47" s="357"/>
      <c r="AO47" s="357"/>
      <c r="AP47" s="357"/>
      <c r="AQ47" s="357"/>
      <c r="AR47" s="357"/>
      <c r="BD47" s="350"/>
      <c r="BK47" s="357"/>
      <c r="BL47" s="357"/>
      <c r="BM47" s="357"/>
      <c r="BN47" s="357"/>
      <c r="BO47" s="357"/>
      <c r="BP47" s="357"/>
      <c r="BQ47" s="357"/>
      <c r="BR47" s="357"/>
      <c r="BS47" s="357"/>
      <c r="BT47" s="357"/>
      <c r="BX47" s="357"/>
      <c r="BZ47" s="357"/>
      <c r="CA47" s="357"/>
      <c r="CB47" s="357"/>
      <c r="CC47" s="357"/>
    </row>
    <row r="48" spans="2:81" x14ac:dyDescent="0.3">
      <c r="B48" s="358" t="str">
        <f>Figure_2_GHG_per_pkm_General!B48</f>
        <v>Operational services</v>
      </c>
      <c r="C48" s="508">
        <f>Figure_2_GHG_per_pkm_General!C48</f>
        <v>0</v>
      </c>
      <c r="D48" s="508">
        <f>Figure_2_GHG_per_pkm_General!D48</f>
        <v>34.727515897616378</v>
      </c>
      <c r="E48" s="508">
        <f>Figure_2_GHG_per_pkm_General!F48</f>
        <v>0</v>
      </c>
      <c r="F48" s="508">
        <f>Figure_2_GHG_per_pkm_General!G48</f>
        <v>24.702441658055513</v>
      </c>
      <c r="G48" s="508">
        <f>Figure_2_GHG_per_pkm_General!H48</f>
        <v>0</v>
      </c>
      <c r="H48" s="508">
        <f>Figure_2_GHG_per_pkm_General!I48</f>
        <v>24.702441658055513</v>
      </c>
      <c r="I48" s="508">
        <f>Figure_2_GHG_per_pkm_General!J48</f>
        <v>0</v>
      </c>
      <c r="J48" s="508">
        <f>Figure_2_GHG_per_pkm_General!K48</f>
        <v>0</v>
      </c>
      <c r="K48" s="508">
        <f>Figure_2_GHG_per_pkm_General!L48</f>
        <v>0</v>
      </c>
      <c r="L48" s="508">
        <f>Figure_2_GHG_per_pkm_General!M48</f>
        <v>13.516430341200186</v>
      </c>
      <c r="M48" s="508">
        <f>Figure_2_GHG_per_pkm_General!N48</f>
        <v>0</v>
      </c>
      <c r="N48" s="508">
        <f>Figure_2_GHG_per_pkm_General!O48</f>
        <v>0</v>
      </c>
      <c r="O48" s="508">
        <f>Figure_2_GHG_per_pkm_General!P48</f>
        <v>0</v>
      </c>
      <c r="P48" s="508">
        <f>Figure_2_GHG_per_pkm_General!Q48</f>
        <v>0</v>
      </c>
      <c r="Q48" s="508">
        <f>Figure_2_GHG_per_pkm_General!R48</f>
        <v>0</v>
      </c>
      <c r="R48" s="508">
        <f>Figure_2_GHG_per_pkm_General!S48</f>
        <v>108.04192570523938</v>
      </c>
      <c r="S48" s="508">
        <f>Figure_2_GHG_per_pkm_General!T48</f>
        <v>18.964442232750891</v>
      </c>
      <c r="T48" s="508">
        <f>Figure_2_GHG_per_pkm_General!U48</f>
        <v>18.964442232750891</v>
      </c>
      <c r="U48" s="508">
        <f>Figure_2_GHG_per_pkm_General!V48</f>
        <v>95.453913383102048</v>
      </c>
      <c r="V48" s="508">
        <f>Figure_2_GHG_per_pkm_General!W48</f>
        <v>111.65281620399554</v>
      </c>
      <c r="W48" s="508">
        <f>Figure_2_GHG_per_pkm_General!X48</f>
        <v>83.169954927466094</v>
      </c>
      <c r="X48" s="508">
        <f>Figure_2_GHG_per_pkm_General!Y48</f>
        <v>58.543059687707611</v>
      </c>
      <c r="Y48" s="508">
        <f>Figure_2_GHG_per_pkm_General!Z48</f>
        <v>14.598701341417666</v>
      </c>
      <c r="Z48" s="508">
        <f>Figure_2_GHG_per_pkm_General!AA48</f>
        <v>14.598701341417666</v>
      </c>
      <c r="AA48" s="508">
        <f>Figure_2_GHG_per_pkm_General!AB48</f>
        <v>73.479786868866043</v>
      </c>
      <c r="AB48" s="508">
        <f>Figure_2_GHG_per_pkm_General!AC48</f>
        <v>7.9817361104328963</v>
      </c>
      <c r="AC48" s="508">
        <f>Figure_2_GHG_per_pkm_General!AD48</f>
        <v>5.8756904404960579</v>
      </c>
      <c r="AD48" s="508">
        <f>Figure_2_GHG_per_pkm_General!AE48</f>
        <v>1.1624853704657718</v>
      </c>
      <c r="AE48" s="508">
        <f>Figure_2_GHG_per_pkm_General!AF48</f>
        <v>1.1624853704657718</v>
      </c>
      <c r="AF48" s="508">
        <f>Figure_2_GHG_per_pkm_General!AG48</f>
        <v>4.8792958449283903</v>
      </c>
      <c r="AG48" s="508">
        <f>Figure_2_GHG_per_pkm_General!AH48</f>
        <v>0</v>
      </c>
      <c r="AI48" s="356"/>
      <c r="AL48" s="357"/>
      <c r="AM48" s="357"/>
      <c r="AN48" s="357"/>
      <c r="AO48" s="357"/>
      <c r="AP48" s="357"/>
      <c r="AQ48" s="357"/>
      <c r="AR48" s="357"/>
      <c r="BD48" s="350"/>
      <c r="BK48" s="357"/>
      <c r="BL48" s="357"/>
      <c r="BM48" s="357"/>
      <c r="BN48" s="357"/>
      <c r="BO48" s="357"/>
      <c r="BP48" s="357"/>
      <c r="BQ48" s="357"/>
      <c r="BR48" s="357"/>
      <c r="BS48" s="357"/>
      <c r="BT48" s="357"/>
      <c r="BX48" s="357"/>
      <c r="BZ48" s="357"/>
      <c r="CA48" s="357"/>
      <c r="CB48" s="357"/>
      <c r="CC48" s="357"/>
    </row>
    <row r="49" spans="2:81" hidden="1" x14ac:dyDescent="0.3">
      <c r="B49" s="358" t="s">
        <v>1063</v>
      </c>
      <c r="C49" s="357">
        <v>225.8831960379388</v>
      </c>
      <c r="D49" s="357">
        <v>109.2715625573851</v>
      </c>
      <c r="E49" s="357">
        <v>134.5247173832434</v>
      </c>
      <c r="F49" s="357">
        <v>170.94671713201515</v>
      </c>
      <c r="G49" s="357">
        <v>198.6553751289735</v>
      </c>
      <c r="J49" s="355"/>
      <c r="K49" s="354"/>
      <c r="L49" s="354"/>
      <c r="M49" s="354"/>
      <c r="N49" s="349"/>
      <c r="O49" s="354"/>
      <c r="P49" s="354"/>
      <c r="Q49" s="354"/>
      <c r="R49" s="354"/>
      <c r="S49" s="354"/>
      <c r="U49" s="357">
        <v>92.000625319612908</v>
      </c>
      <c r="V49" s="354"/>
      <c r="W49" s="354"/>
      <c r="X49" s="354"/>
      <c r="Y49" s="354"/>
      <c r="Z49" s="354"/>
      <c r="AA49" s="354"/>
      <c r="AB49" s="354"/>
      <c r="AC49" s="354"/>
      <c r="AD49" s="354"/>
      <c r="AE49" s="354"/>
      <c r="AF49" s="357">
        <v>146.93726718801878</v>
      </c>
      <c r="AG49" s="357">
        <v>109.74665673023698</v>
      </c>
      <c r="AI49" s="355"/>
      <c r="AJ49" s="354"/>
      <c r="AK49" s="354"/>
      <c r="AL49" s="354"/>
      <c r="AM49" s="354"/>
      <c r="AN49" s="354"/>
      <c r="AO49" s="354"/>
      <c r="AP49" s="354"/>
      <c r="AQ49" s="354"/>
      <c r="AR49" s="354"/>
      <c r="AS49" s="354"/>
      <c r="AT49" s="354"/>
      <c r="AV49" s="350"/>
    </row>
    <row r="50" spans="2:81" hidden="1" x14ac:dyDescent="0.3">
      <c r="B50" s="358" t="s">
        <v>1062</v>
      </c>
      <c r="C50" s="357">
        <v>235.34686736744837</v>
      </c>
      <c r="D50" s="357">
        <v>29.082532108575009</v>
      </c>
      <c r="E50" s="357">
        <v>92.462424726943624</v>
      </c>
      <c r="F50" s="357">
        <v>147.75164600715308</v>
      </c>
      <c r="G50" s="357">
        <v>190.45060506651421</v>
      </c>
      <c r="J50" s="355"/>
      <c r="K50" s="354"/>
      <c r="L50" s="354"/>
      <c r="M50" s="354"/>
      <c r="N50" s="349"/>
      <c r="O50" s="354"/>
      <c r="P50" s="354"/>
      <c r="Q50" s="354"/>
      <c r="R50" s="354"/>
      <c r="S50" s="354"/>
      <c r="U50" s="357">
        <v>20.138098699878793</v>
      </c>
      <c r="V50" s="354"/>
      <c r="W50" s="354"/>
      <c r="X50" s="354"/>
      <c r="Y50" s="354"/>
      <c r="Z50" s="354"/>
      <c r="AA50" s="354"/>
      <c r="AB50" s="354"/>
      <c r="AC50" s="354"/>
      <c r="AD50" s="354"/>
      <c r="AE50" s="354"/>
      <c r="AF50" s="357">
        <v>123.41082373994841</v>
      </c>
      <c r="AG50" s="357">
        <v>47.360170627588715</v>
      </c>
      <c r="AI50" s="355"/>
      <c r="AJ50" s="354"/>
      <c r="AK50" s="354"/>
      <c r="AL50" s="354"/>
      <c r="AM50" s="354"/>
      <c r="AN50" s="354"/>
      <c r="AO50" s="354"/>
      <c r="AP50" s="354"/>
      <c r="AQ50" s="354"/>
      <c r="AR50" s="354"/>
      <c r="AS50" s="354"/>
      <c r="AT50" s="354"/>
      <c r="AV50" s="350"/>
    </row>
    <row r="51" spans="2:81" hidden="1" x14ac:dyDescent="0.3">
      <c r="B51" s="358" t="s">
        <v>1061</v>
      </c>
      <c r="C51" s="357">
        <v>169.63000923799299</v>
      </c>
      <c r="D51" s="357">
        <v>66.108608232937002</v>
      </c>
      <c r="E51" s="357">
        <v>87.042263228114194</v>
      </c>
      <c r="F51" s="357">
        <v>106.35742590613199</v>
      </c>
      <c r="G51" s="357">
        <v>130.467437832401</v>
      </c>
      <c r="J51" s="355"/>
      <c r="K51" s="354"/>
      <c r="L51" s="354"/>
      <c r="M51" s="354"/>
      <c r="N51" s="349"/>
      <c r="O51" s="354"/>
      <c r="P51" s="354"/>
      <c r="Q51" s="354"/>
      <c r="R51" s="354"/>
      <c r="S51" s="354"/>
      <c r="U51" s="357">
        <v>57.028326808897397</v>
      </c>
      <c r="V51" s="354"/>
      <c r="W51" s="354"/>
      <c r="X51" s="354"/>
      <c r="Y51" s="354"/>
      <c r="Z51" s="354"/>
      <c r="AA51" s="354"/>
      <c r="AB51" s="354"/>
      <c r="AC51" s="354"/>
      <c r="AD51" s="354"/>
      <c r="AE51" s="354"/>
      <c r="AF51" s="357">
        <v>82.788852695901895</v>
      </c>
      <c r="AG51" s="357">
        <v>73.1615339584623</v>
      </c>
      <c r="AI51" s="355"/>
      <c r="AJ51" s="354"/>
      <c r="AK51" s="354"/>
      <c r="AL51" s="354"/>
      <c r="AM51" s="354"/>
      <c r="AN51" s="354"/>
      <c r="AO51" s="354"/>
      <c r="AP51" s="354"/>
      <c r="AQ51" s="354"/>
      <c r="AR51" s="354"/>
      <c r="AS51" s="354"/>
      <c r="AT51" s="354"/>
      <c r="AV51" s="350"/>
    </row>
    <row r="52" spans="2:81" hidden="1" x14ac:dyDescent="0.3">
      <c r="B52" s="358" t="s">
        <v>1060</v>
      </c>
      <c r="C52" s="357">
        <v>129.54562060471599</v>
      </c>
      <c r="D52" s="357">
        <v>72.039757217874197</v>
      </c>
      <c r="E52" s="357">
        <v>76.416043285393002</v>
      </c>
      <c r="F52" s="357">
        <v>77.511185806366001</v>
      </c>
      <c r="G52" s="357">
        <v>94.288071043957402</v>
      </c>
      <c r="J52" s="355"/>
      <c r="K52" s="354"/>
      <c r="L52" s="354"/>
      <c r="M52" s="354"/>
      <c r="N52" s="349"/>
      <c r="O52" s="354"/>
      <c r="P52" s="354"/>
      <c r="Q52" s="354"/>
      <c r="R52" s="354"/>
      <c r="S52" s="354"/>
      <c r="U52" s="357">
        <v>64.575287204428093</v>
      </c>
      <c r="V52" s="354"/>
      <c r="W52" s="354"/>
      <c r="X52" s="354"/>
      <c r="Y52" s="354"/>
      <c r="Z52" s="354"/>
      <c r="AA52" s="354"/>
      <c r="AB52" s="354"/>
      <c r="AC52" s="354"/>
      <c r="AD52" s="354"/>
      <c r="AE52" s="354"/>
      <c r="AF52" s="357">
        <v>56.436216180368902</v>
      </c>
      <c r="AG52" s="357">
        <v>74.833619113601898</v>
      </c>
      <c r="AI52" s="355"/>
      <c r="AJ52" s="354"/>
      <c r="AK52" s="354"/>
      <c r="AL52" s="354"/>
      <c r="AM52" s="354"/>
      <c r="AN52" s="354"/>
      <c r="AO52" s="354"/>
      <c r="AP52" s="354"/>
      <c r="AQ52" s="354"/>
      <c r="AR52" s="354"/>
      <c r="AS52" s="354"/>
      <c r="AT52" s="354"/>
      <c r="AV52" s="350"/>
    </row>
    <row r="53" spans="2:81" hidden="1" x14ac:dyDescent="0.3">
      <c r="B53" s="358" t="s">
        <v>1059</v>
      </c>
      <c r="C53" s="357">
        <v>89.461231971439403</v>
      </c>
      <c r="D53" s="357">
        <v>77.970906202811506</v>
      </c>
      <c r="E53" s="357">
        <v>65.789823342671895</v>
      </c>
      <c r="F53" s="357">
        <v>48.664945706598999</v>
      </c>
      <c r="G53" s="357">
        <v>58.108704255513402</v>
      </c>
      <c r="J53" s="355"/>
      <c r="K53" s="354"/>
      <c r="L53" s="354"/>
      <c r="M53" s="354"/>
      <c r="N53" s="349"/>
      <c r="O53" s="354"/>
      <c r="P53" s="354"/>
      <c r="Q53" s="354"/>
      <c r="R53" s="354"/>
      <c r="S53" s="354"/>
      <c r="U53" s="357">
        <v>72.122247599958797</v>
      </c>
      <c r="V53" s="354"/>
      <c r="W53" s="354"/>
      <c r="X53" s="354"/>
      <c r="Y53" s="354"/>
      <c r="Z53" s="354"/>
      <c r="AA53" s="354"/>
      <c r="AB53" s="354"/>
      <c r="AC53" s="354"/>
      <c r="AD53" s="354"/>
      <c r="AE53" s="354"/>
      <c r="AF53" s="357">
        <v>30.0835796648349</v>
      </c>
      <c r="AG53" s="357">
        <v>76.505704268741596</v>
      </c>
      <c r="AI53" s="355"/>
      <c r="AJ53" s="354"/>
      <c r="AK53" s="354"/>
      <c r="AL53" s="354"/>
      <c r="AM53" s="354"/>
      <c r="AN53" s="354"/>
      <c r="AO53" s="354"/>
      <c r="AP53" s="354"/>
      <c r="AQ53" s="354"/>
      <c r="AR53" s="354"/>
      <c r="AS53" s="354"/>
      <c r="AT53" s="354"/>
      <c r="AV53" s="350"/>
    </row>
    <row r="54" spans="2:81" hidden="1" x14ac:dyDescent="0.3">
      <c r="B54" s="358" t="s">
        <v>1058</v>
      </c>
      <c r="C54" s="357">
        <v>49.376843338162402</v>
      </c>
      <c r="D54" s="357">
        <v>83.9020551877488</v>
      </c>
      <c r="E54" s="357">
        <v>55.163603399950702</v>
      </c>
      <c r="F54" s="357">
        <v>19.818705606832999</v>
      </c>
      <c r="G54" s="357">
        <v>21.929337467069399</v>
      </c>
      <c r="J54" s="355"/>
      <c r="K54" s="354"/>
      <c r="L54" s="354"/>
      <c r="M54" s="354"/>
      <c r="N54" s="349"/>
      <c r="O54" s="354"/>
      <c r="P54" s="354"/>
      <c r="Q54" s="354"/>
      <c r="R54" s="354"/>
      <c r="S54" s="354"/>
      <c r="U54" s="357">
        <v>79.669207995489501</v>
      </c>
      <c r="V54" s="354"/>
      <c r="W54" s="354"/>
      <c r="X54" s="354"/>
      <c r="Y54" s="354"/>
      <c r="Z54" s="354"/>
      <c r="AA54" s="354"/>
      <c r="AB54" s="354"/>
      <c r="AC54" s="354"/>
      <c r="AD54" s="354"/>
      <c r="AE54" s="354"/>
      <c r="AF54" s="357">
        <v>3.7309431493018801</v>
      </c>
      <c r="AG54" s="357">
        <v>78.177789423881194</v>
      </c>
      <c r="AI54" s="355"/>
      <c r="AJ54" s="354"/>
      <c r="AK54" s="354"/>
      <c r="AL54" s="354"/>
      <c r="AM54" s="354"/>
      <c r="AN54" s="354"/>
      <c r="AO54" s="354"/>
      <c r="AP54" s="354"/>
      <c r="AQ54" s="354"/>
      <c r="AR54" s="354"/>
      <c r="AS54" s="354"/>
      <c r="AT54" s="354"/>
      <c r="AV54" s="350"/>
    </row>
    <row r="55" spans="2:81" x14ac:dyDescent="0.3">
      <c r="C55" s="411">
        <f ca="1">SUM(D45:D48)-SUM(C45:C48)</f>
        <v>80.018860069864829</v>
      </c>
      <c r="E55" s="411">
        <f ca="1">SUM(F45:F48)-SUM(E45:E48)</f>
        <v>40.566792090293902</v>
      </c>
      <c r="G55" s="411">
        <f ca="1">SUM(H45:H48)-SUM(G45:G48)</f>
        <v>49.319363924740188</v>
      </c>
      <c r="J55" s="411">
        <f ca="1">SUM(L45:L48)-SUM(J45:J48)</f>
        <v>38.27997368046028</v>
      </c>
      <c r="K55" s="354"/>
      <c r="L55" s="354"/>
      <c r="M55" s="354"/>
      <c r="N55" s="411">
        <f ca="1">MAX(SUM($R45:$R48),SUM($W45:$W48))-SUM(N45:N48)</f>
        <v>151.0726085481617</v>
      </c>
      <c r="O55" s="354"/>
      <c r="P55" s="411">
        <f ca="1">MAX(SUM($T45:$T48),SUM($Z45:$Z48))-SUM(P45:P48)</f>
        <v>71.988017215883843</v>
      </c>
      <c r="Q55" s="354"/>
      <c r="R55" s="411">
        <f ca="1">MAX(SUM($R45:$R48),SUM($W45:$W48))-SUM(R45:R48)</f>
        <v>0</v>
      </c>
      <c r="S55" s="354"/>
      <c r="T55" s="411">
        <f ca="1">MAX(SUM($T45:$T48),SUM($Z45:$Z48))-SUM(T45:T48)</f>
        <v>0</v>
      </c>
      <c r="V55" s="354"/>
      <c r="W55" s="411">
        <f ca="1">MAX(SUM($R45:$R48),SUM($W45:$W48))-SUM(W45:W48)</f>
        <v>64.59890359941005</v>
      </c>
      <c r="X55" s="354"/>
      <c r="Y55" s="354"/>
      <c r="Z55" s="411">
        <f ca="1">MAX(SUM($T45:$T48),SUM($Z45:$Z48))-SUM(Z45:Z48)</f>
        <v>29.426579062100899</v>
      </c>
      <c r="AA55" s="354"/>
      <c r="AB55" s="354"/>
      <c r="AC55" s="354"/>
      <c r="AD55" s="354"/>
      <c r="AE55" s="354"/>
      <c r="AI55" s="355"/>
      <c r="AJ55" s="354"/>
      <c r="AK55" s="354"/>
      <c r="AL55" s="354"/>
      <c r="AM55" s="354"/>
      <c r="AN55" s="354"/>
      <c r="AO55" s="354"/>
      <c r="AP55" s="354"/>
      <c r="AQ55" s="354"/>
      <c r="AR55" s="354"/>
      <c r="AS55" s="354"/>
      <c r="AT55" s="354"/>
      <c r="AV55" s="350"/>
    </row>
    <row r="56" spans="2:81" x14ac:dyDescent="0.3">
      <c r="J56" s="355"/>
      <c r="K56" s="354"/>
      <c r="L56" s="354"/>
      <c r="M56" s="354"/>
      <c r="N56" s="349"/>
      <c r="O56" s="354"/>
      <c r="P56" s="354"/>
      <c r="Q56" s="354"/>
      <c r="R56" s="354"/>
      <c r="S56" s="354"/>
      <c r="V56" s="354"/>
      <c r="W56" s="354"/>
      <c r="X56" s="354"/>
      <c r="Y56" s="354"/>
      <c r="Z56" s="354"/>
      <c r="AA56" s="354"/>
      <c r="AB56" s="354"/>
      <c r="AC56" s="354"/>
      <c r="AD56" s="354"/>
      <c r="AE56" s="354"/>
      <c r="AI56" s="355"/>
      <c r="AJ56" s="354"/>
      <c r="AK56" s="354"/>
      <c r="AL56" s="354"/>
      <c r="AM56" s="354"/>
      <c r="AN56" s="354"/>
      <c r="AO56" s="354"/>
      <c r="AP56" s="354"/>
      <c r="AQ56" s="354"/>
      <c r="AR56" s="354"/>
      <c r="AS56" s="354"/>
      <c r="AT56" s="354"/>
      <c r="AV56" s="350"/>
    </row>
    <row r="57" spans="2:81" x14ac:dyDescent="0.3">
      <c r="B57" s="358"/>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I57" s="356"/>
      <c r="AL57" s="357"/>
      <c r="AM57" s="357"/>
      <c r="AN57" s="357"/>
      <c r="AO57" s="357"/>
      <c r="AP57" s="357"/>
      <c r="AQ57" s="357"/>
      <c r="AR57" s="357"/>
      <c r="BD57" s="350"/>
      <c r="BK57" s="357"/>
      <c r="BL57" s="357"/>
      <c r="BM57" s="357"/>
      <c r="BN57" s="357"/>
      <c r="BO57" s="357"/>
      <c r="BP57" s="357"/>
      <c r="BQ57" s="357"/>
      <c r="BR57" s="357"/>
      <c r="BS57" s="357"/>
      <c r="BT57" s="357"/>
      <c r="BX57" s="357"/>
      <c r="BZ57" s="357"/>
      <c r="CA57" s="357"/>
      <c r="CB57" s="357"/>
      <c r="CC57" s="357"/>
    </row>
    <row r="58" spans="2:81" x14ac:dyDescent="0.3">
      <c r="B58" s="358"/>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I58" s="356"/>
      <c r="AL58" s="357"/>
      <c r="AM58" s="357"/>
      <c r="AN58" s="357"/>
      <c r="AO58" s="357"/>
      <c r="AP58" s="357"/>
      <c r="AQ58" s="357"/>
      <c r="AR58" s="357"/>
      <c r="BD58" s="350"/>
      <c r="BK58" s="357"/>
      <c r="BL58" s="357"/>
      <c r="BM58" s="357"/>
      <c r="BN58" s="357"/>
      <c r="BO58" s="357"/>
      <c r="BP58" s="357"/>
      <c r="BQ58" s="357"/>
      <c r="BR58" s="357"/>
      <c r="BS58" s="357"/>
      <c r="BT58" s="357"/>
      <c r="BX58" s="357"/>
      <c r="BZ58" s="357"/>
      <c r="CA58" s="357"/>
      <c r="CB58" s="357"/>
      <c r="CC58" s="357"/>
    </row>
    <row r="59" spans="2:81" ht="72" x14ac:dyDescent="0.3">
      <c r="B59" s="399">
        <f>Figure_2_GHG_per_pkm_General!B44</f>
        <v>0</v>
      </c>
      <c r="C59" s="399" t="str">
        <f>Figure_2_GHG_per_pkm_General!C44</f>
        <v>Private e-scooter</v>
      </c>
      <c r="D59" s="399" t="str">
        <f>Figure_2_GHG_per_pkm_General!D44</f>
        <v>Shared e-scooter (first generation)</v>
      </c>
      <c r="E59" s="399" t="str">
        <f>Figure_2_GHG_per_pkm_General!F44</f>
        <v>Private bike</v>
      </c>
      <c r="F59" s="399" t="str">
        <f>Figure_2_GHG_per_pkm_General!G44</f>
        <v>Shared bike</v>
      </c>
      <c r="G59" s="399" t="str">
        <f>Figure_2_GHG_per_pkm_General!H44</f>
        <v>Private e-bike</v>
      </c>
      <c r="H59" s="399" t="str">
        <f>Figure_2_GHG_per_pkm_General!I44</f>
        <v>Shared e-bike</v>
      </c>
      <c r="I59" s="399" t="str">
        <f>Figure_2_GHG_per_pkm_General!J44</f>
        <v>Private moped - ICE</v>
      </c>
      <c r="J59" s="399" t="str">
        <f>Figure_2_GHG_per_pkm_General!K44</f>
        <v>Private moped - BEV</v>
      </c>
      <c r="K59" s="399" t="str">
        <f>Figure_2_GHG_per_pkm_General!L44</f>
        <v>Shared moped - ICE</v>
      </c>
      <c r="L59" s="399" t="str">
        <f>Figure_2_GHG_per_pkm_General!M44</f>
        <v>Shared moped - BEV</v>
      </c>
      <c r="M59" s="399" t="str">
        <f>Figure_2_GHG_per_pkm_General!N44</f>
        <v>Private car - ICE</v>
      </c>
      <c r="N59" s="399" t="str">
        <f>Figure_2_GHG_per_pkm_General!O44</f>
        <v>Private car - HEV</v>
      </c>
      <c r="O59" s="399" t="str">
        <f>Figure_2_GHG_per_pkm_General!P44</f>
        <v>Private car - PHEV</v>
      </c>
      <c r="P59" s="399" t="str">
        <f>Figure_2_GHG_per_pkm_General!Q44</f>
        <v>Private car - BEV</v>
      </c>
      <c r="Q59" s="399" t="str">
        <f>Figure_2_GHG_per_pkm_General!R44</f>
        <v>Private car - FCEV</v>
      </c>
      <c r="R59" s="399" t="str">
        <f>Figure_2_GHG_per_pkm_General!S44</f>
        <v>Taxi  HEV</v>
      </c>
      <c r="S59" s="399" t="str">
        <f>Figure_2_GHG_per_pkm_General!T44</f>
        <v>Taxi  BEV</v>
      </c>
      <c r="T59" s="399" t="str">
        <f>Figure_2_GHG_per_pkm_General!U44</f>
        <v>Taxi  BEV (two packs)</v>
      </c>
      <c r="U59" s="399" t="str">
        <f>Figure_2_GHG_per_pkm_General!V44</f>
        <v>Taxi - FCEV</v>
      </c>
      <c r="V59" s="399" t="str">
        <f>Figure_2_GHG_per_pkm_General!W44</f>
        <v>Ridesourcing - car - ICE</v>
      </c>
      <c r="W59" s="399" t="str">
        <f>Figure_2_GHG_per_pkm_General!X44</f>
        <v>Ridesourcing - car - HEV</v>
      </c>
      <c r="X59" s="399" t="str">
        <f>Figure_2_GHG_per_pkm_General!Y44</f>
        <v>Ridesourcing - car - PHEV</v>
      </c>
      <c r="Y59" s="399" t="str">
        <f>Figure_2_GHG_per_pkm_General!Z44</f>
        <v>Ridesourcing - car - BEV</v>
      </c>
      <c r="Z59" s="399" t="str">
        <f>Figure_2_GHG_per_pkm_General!AA44</f>
        <v>Ridesourcing - car - BEV (two packs)</v>
      </c>
      <c r="AA59" s="399" t="str">
        <f>Figure_2_GHG_per_pkm_General!AB44</f>
        <v>Ridesourcing - car - FCEV</v>
      </c>
      <c r="AB59" s="399" t="str">
        <f>Figure_2_GHG_per_pkm_General!AC44</f>
        <v>Bus - ICE</v>
      </c>
      <c r="AC59" s="399" t="str">
        <f>Figure_2_GHG_per_pkm_General!AD44</f>
        <v>Bus - HEV</v>
      </c>
      <c r="AD59" s="399" t="str">
        <f>Figure_2_GHG_per_pkm_General!AE44</f>
        <v>Bus - BEV</v>
      </c>
      <c r="AE59" s="399" t="str">
        <f>Figure_2_GHG_per_pkm_General!AF44</f>
        <v>Bus - BEV (two packs)</v>
      </c>
      <c r="AF59" s="399" t="str">
        <f>Figure_2_GHG_per_pkm_General!AG44</f>
        <v>Bus - FCEV</v>
      </c>
      <c r="AG59" s="399" t="str">
        <f>Figure_2_GHG_per_pkm_General!AH44</f>
        <v>Metro/urban train</v>
      </c>
      <c r="AH59" s="401"/>
      <c r="AI59" s="400"/>
      <c r="AJ59" s="401"/>
      <c r="AK59" s="401"/>
      <c r="AL59" s="399"/>
      <c r="AO59" s="349"/>
      <c r="AU59" s="350"/>
    </row>
    <row r="60" spans="2:81" s="507" customFormat="1" x14ac:dyDescent="0.3">
      <c r="B60" s="358" t="str">
        <f>Figure_2_GHG_per_pkm_General!B45</f>
        <v>Vehicle component</v>
      </c>
      <c r="C60" s="357">
        <f ca="1">Figure_2_GHG_per_pkm_General!C45</f>
        <v>26.164322330581768</v>
      </c>
      <c r="D60" s="357">
        <f ca="1">Figure_2_GHG_per_pkm_General!D45</f>
        <v>71.455666502830198</v>
      </c>
      <c r="E60" s="357">
        <f ca="1">Figure_2_GHG_per_pkm_General!F45</f>
        <v>7.4670905852088847</v>
      </c>
      <c r="F60" s="357">
        <f ca="1">Figure_2_GHG_per_pkm_General!G45</f>
        <v>23.312907018241759</v>
      </c>
      <c r="G60" s="357">
        <f ca="1">Figure_2_GHG_per_pkm_General!H45</f>
        <v>12.537922665474529</v>
      </c>
      <c r="H60" s="357">
        <f ca="1">Figure_2_GHG_per_pkm_General!I45</f>
        <v>37.131518608826688</v>
      </c>
      <c r="I60" s="357">
        <f ca="1">Figure_2_GHG_per_pkm_General!J45</f>
        <v>7.985146217473579</v>
      </c>
      <c r="J60" s="357">
        <f ca="1">Figure_2_GHG_per_pkm_General!K45</f>
        <v>9.7988736045981124</v>
      </c>
      <c r="K60" s="357">
        <f ca="1">Figure_2_GHG_per_pkm_General!L45</f>
        <v>19.952685602050249</v>
      </c>
      <c r="L60" s="357">
        <f ca="1">Figure_2_GHG_per_pkm_General!M45</f>
        <v>34.562416943858203</v>
      </c>
      <c r="M60" s="357">
        <f ca="1">Figure_2_GHG_per_pkm_General!N45</f>
        <v>23.86345238869054</v>
      </c>
      <c r="N60" s="357">
        <f ca="1">Figure_2_GHG_per_pkm_General!O45</f>
        <v>25.97776328361342</v>
      </c>
      <c r="O60" s="357">
        <f ca="1">Figure_2_GHG_per_pkm_General!P45</f>
        <v>31.760408198944184</v>
      </c>
      <c r="P60" s="357">
        <f ca="1">Figure_2_GHG_per_pkm_General!Q45</f>
        <v>41.64927411276431</v>
      </c>
      <c r="Q60" s="357">
        <f ca="1">Figure_2_GHG_per_pkm_General!R45</f>
        <v>37.744913578184971</v>
      </c>
      <c r="R60" s="357">
        <f ca="1">Figure_2_GHG_per_pkm_General!S45</f>
        <v>30.645353280741684</v>
      </c>
      <c r="S60" s="357">
        <f ca="1">Figure_2_GHG_per_pkm_General!T45</f>
        <v>50.370851959294306</v>
      </c>
      <c r="T60" s="357">
        <f ca="1">Figure_2_GHG_per_pkm_General!U45</f>
        <v>76.734576745891161</v>
      </c>
      <c r="U60" s="357">
        <f ca="1">Figure_2_GHG_per_pkm_General!V45</f>
        <v>42.163812959731359</v>
      </c>
      <c r="V60" s="357">
        <f ca="1">Figure_2_GHG_per_pkm_General!W45</f>
        <v>22.31063196833988</v>
      </c>
      <c r="W60" s="357">
        <f ca="1">Figure_2_GHG_per_pkm_General!X45</f>
        <v>24.220828487012707</v>
      </c>
      <c r="X60" s="357">
        <f ca="1">Figure_2_GHG_per_pkm_General!Y45</f>
        <v>29.210236319465356</v>
      </c>
      <c r="Y60" s="357">
        <f ca="1">Figure_2_GHG_per_pkm_General!Z45</f>
        <v>38.532772618337084</v>
      </c>
      <c r="Z60" s="357">
        <f ca="1">Figure_2_GHG_per_pkm_General!AA45</f>
        <v>62.392606772849085</v>
      </c>
      <c r="AA60" s="357">
        <f ca="1">Figure_2_GHG_per_pkm_General!AB45</f>
        <v>32.45742243615814</v>
      </c>
      <c r="AB60" s="357">
        <f ca="1">Figure_2_GHG_per_pkm_General!AC45</f>
        <v>8.013715326026503</v>
      </c>
      <c r="AC60" s="357">
        <f ca="1">Figure_2_GHG_per_pkm_General!AD45</f>
        <v>7.9930110809261254</v>
      </c>
      <c r="AD60" s="357">
        <f ca="1">Figure_2_GHG_per_pkm_General!AE45</f>
        <v>13.730124843093328</v>
      </c>
      <c r="AE60" s="357">
        <f ca="1">Figure_2_GHG_per_pkm_General!AF45</f>
        <v>17.060980443414817</v>
      </c>
      <c r="AF60" s="357">
        <f ca="1">Figure_2_GHG_per_pkm_General!AG45</f>
        <v>11.025198611180571</v>
      </c>
      <c r="AG60" s="357">
        <f ca="1">Figure_2_GHG_per_pkm_General!AH45</f>
        <v>2.0282607820493368</v>
      </c>
      <c r="AH60" s="349"/>
      <c r="AI60" s="356"/>
      <c r="AJ60" s="349"/>
      <c r="AK60" s="349"/>
      <c r="AL60" s="357"/>
      <c r="AU60" s="358"/>
    </row>
    <row r="61" spans="2:81" x14ac:dyDescent="0.3">
      <c r="B61" s="358" t="str">
        <f>Figure_2_GHG_per_pkm_General!B46</f>
        <v>Fuel component</v>
      </c>
      <c r="C61" s="508">
        <f>Figure_2_GHG_per_pkm_General!C46</f>
        <v>1.4239176699373322</v>
      </c>
      <c r="D61" s="508">
        <f>Figure_2_GHG_per_pkm_General!D46</f>
        <v>1.4239176699373322</v>
      </c>
      <c r="E61" s="508">
        <f>Figure_2_GHG_per_pkm_General!F46</f>
        <v>0</v>
      </c>
      <c r="F61" s="508">
        <f>Figure_2_GHG_per_pkm_General!G46</f>
        <v>0</v>
      </c>
      <c r="G61" s="508">
        <f>Figure_2_GHG_per_pkm_General!H46</f>
        <v>2.7183882789712701</v>
      </c>
      <c r="H61" s="508">
        <f>Figure_2_GHG_per_pkm_General!I46</f>
        <v>2.7183882789712706</v>
      </c>
      <c r="I61" s="508">
        <f>Figure_2_GHG_per_pkm_General!J46</f>
        <v>53.73696412283369</v>
      </c>
      <c r="J61" s="508">
        <f>Figure_2_GHG_per_pkm_General!K46</f>
        <v>4.5324601156650521</v>
      </c>
      <c r="K61" s="508">
        <f>Figure_2_GHG_per_pkm_General!L46</f>
        <v>53.736964122833704</v>
      </c>
      <c r="L61" s="508">
        <f>Figure_2_GHG_per_pkm_General!M46</f>
        <v>4.5324601156650521</v>
      </c>
      <c r="M61" s="508">
        <f>Figure_2_GHG_per_pkm_General!N46</f>
        <v>125.63212704</v>
      </c>
      <c r="N61" s="508">
        <f>Figure_2_GHG_per_pkm_General!O46</f>
        <v>93.58311504000001</v>
      </c>
      <c r="O61" s="508">
        <f>Figure_2_GHG_per_pkm_General!P46</f>
        <v>42.659754529241155</v>
      </c>
      <c r="P61" s="508">
        <f>Figure_2_GHG_per_pkm_General!Q46</f>
        <v>16.426508205516896</v>
      </c>
      <c r="Q61" s="508">
        <f>Figure_2_GHG_per_pkm_General!R46</f>
        <v>82.679705112992522</v>
      </c>
      <c r="R61" s="508">
        <f>Figure_2_GHG_per_pkm_General!S46</f>
        <v>117.64755563047052</v>
      </c>
      <c r="S61" s="508">
        <f>Figure_2_GHG_per_pkm_General!T46</f>
        <v>20.650504496424475</v>
      </c>
      <c r="T61" s="508">
        <f>Figure_2_GHG_per_pkm_General!U46</f>
        <v>20.650504496424475</v>
      </c>
      <c r="U61" s="508">
        <f>Figure_2_GHG_per_pkm_General!V46</f>
        <v>103.94038713750945</v>
      </c>
      <c r="V61" s="508">
        <f>Figure_2_GHG_per_pkm_General!W46</f>
        <v>121.57947778064515</v>
      </c>
      <c r="W61" s="508">
        <f>Figure_2_GHG_per_pkm_General!X46</f>
        <v>90.564304877419374</v>
      </c>
      <c r="X61" s="508">
        <f>Figure_2_GHG_per_pkm_General!Y46</f>
        <v>63.747918471741364</v>
      </c>
      <c r="Y61" s="508">
        <f>Figure_2_GHG_per_pkm_General!Z46</f>
        <v>15.896620844048607</v>
      </c>
      <c r="Z61" s="508">
        <f>Figure_2_GHG_per_pkm_General!AA46</f>
        <v>15.896620844048607</v>
      </c>
      <c r="AA61" s="508">
        <f>Figure_2_GHG_per_pkm_General!AB46</f>
        <v>80.012617851283068</v>
      </c>
      <c r="AB61" s="508">
        <f>Figure_2_GHG_per_pkm_General!AC46</f>
        <v>71.835624993896062</v>
      </c>
      <c r="AC61" s="508">
        <f>Figure_2_GHG_per_pkm_General!AD46</f>
        <v>52.881213964464521</v>
      </c>
      <c r="AD61" s="508">
        <f>Figure_2_GHG_per_pkm_General!AE46</f>
        <v>10.462368334191947</v>
      </c>
      <c r="AE61" s="508">
        <f>Figure_2_GHG_per_pkm_General!AF46</f>
        <v>10.462368334191947</v>
      </c>
      <c r="AF61" s="508">
        <f>Figure_2_GHG_per_pkm_General!AG46</f>
        <v>43.913662604355508</v>
      </c>
      <c r="AG61" s="508">
        <f>Figure_2_GHG_per_pkm_General!AH46</f>
        <v>12.073398680398997</v>
      </c>
      <c r="AI61" s="356"/>
      <c r="AL61" s="357"/>
      <c r="AO61" s="349"/>
      <c r="AU61" s="350"/>
    </row>
    <row r="62" spans="2:81" x14ac:dyDescent="0.3">
      <c r="B62" s="358" t="str">
        <f>Figure_2_GHG_per_pkm_General!B47</f>
        <v>Infrastructure component</v>
      </c>
      <c r="C62" s="357">
        <f>Figure_2_GHG_per_pkm_General!C47</f>
        <v>9.4409392749428456</v>
      </c>
      <c r="D62" s="357">
        <f>Figure_2_GHG_per_pkm_General!D47</f>
        <v>9.4409392749428456</v>
      </c>
      <c r="E62" s="357">
        <f>Figure_2_GHG_per_pkm_General!F47</f>
        <v>9.471154571397097</v>
      </c>
      <c r="F62" s="357">
        <f>Figure_2_GHG_per_pkm_General!G47</f>
        <v>9.4896885706026097</v>
      </c>
      <c r="G62" s="357">
        <f>Figure_2_GHG_per_pkm_General!H47</f>
        <v>9.4793603097639458</v>
      </c>
      <c r="H62" s="357">
        <f>Figure_2_GHG_per_pkm_General!I47</f>
        <v>9.5026866330964577</v>
      </c>
      <c r="I62" s="357">
        <f>Figure_2_GHG_per_pkm_General!J47</f>
        <v>11.394557604754132</v>
      </c>
      <c r="J62" s="357">
        <f>Figure_2_GHG_per_pkm_General!K47</f>
        <v>11.354081196149926</v>
      </c>
      <c r="K62" s="357">
        <f>Figure_2_GHG_per_pkm_General!L47</f>
        <v>11.394557604754132</v>
      </c>
      <c r="L62" s="357">
        <f>Figure_2_GHG_per_pkm_General!M47</f>
        <v>11.354081196149926</v>
      </c>
      <c r="M62" s="357">
        <f>Figure_2_GHG_per_pkm_General!N47</f>
        <v>12.476457294127272</v>
      </c>
      <c r="N62" s="357">
        <f>Figure_2_GHG_per_pkm_General!O47</f>
        <v>12.716888018619265</v>
      </c>
      <c r="O62" s="357">
        <f>Figure_2_GHG_per_pkm_General!P47</f>
        <v>12.937036533686294</v>
      </c>
      <c r="P62" s="357">
        <f>Figure_2_GHG_per_pkm_General!Q47</f>
        <v>12.197157451329351</v>
      </c>
      <c r="Q62" s="357">
        <f>Figure_2_GHG_per_pkm_General!R47</f>
        <v>12.984188392693992</v>
      </c>
      <c r="R62" s="357">
        <f>Figure_2_GHG_per_pkm_General!S47</f>
        <v>27.01554027394284</v>
      </c>
      <c r="S62" s="357">
        <f>Figure_2_GHG_per_pkm_General!T47</f>
        <v>25.911433510427884</v>
      </c>
      <c r="T62" s="357">
        <f>Figure_2_GHG_per_pkm_General!U47</f>
        <v>25.911433510427884</v>
      </c>
      <c r="U62" s="357">
        <f>Figure_2_GHG_per_pkm_General!V47</f>
        <v>27.58338863515219</v>
      </c>
      <c r="V62" s="357">
        <f>Figure_2_GHG_per_pkm_General!W47</f>
        <v>20.403198013580084</v>
      </c>
      <c r="W62" s="357">
        <f>Figure_2_GHG_per_pkm_General!X47</f>
        <v>20.796382999086166</v>
      </c>
      <c r="X62" s="357">
        <f>Figure_2_GHG_per_pkm_General!Y47</f>
        <v>21.156399760208132</v>
      </c>
      <c r="Y62" s="357">
        <f>Figure_2_GHG_per_pkm_General!Z47</f>
        <v>19.94644896507814</v>
      </c>
      <c r="Z62" s="357">
        <f>Figure_2_GHG_per_pkm_General!AA47</f>
        <v>19.94644896507814</v>
      </c>
      <c r="AA62" s="357">
        <f>Figure_2_GHG_per_pkm_General!AB47</f>
        <v>21.233508886089187</v>
      </c>
      <c r="AB62" s="357">
        <f>Figure_2_GHG_per_pkm_General!AC47</f>
        <v>3.6024452385780199</v>
      </c>
      <c r="AC62" s="357">
        <f>Figure_2_GHG_per_pkm_General!AD47</f>
        <v>3.5574070420397113</v>
      </c>
      <c r="AD62" s="357">
        <f>Figure_2_GHG_per_pkm_General!AE47</f>
        <v>3.9264293380027726</v>
      </c>
      <c r="AE62" s="357">
        <f>Figure_2_GHG_per_pkm_General!AF47</f>
        <v>3.9264293380027726</v>
      </c>
      <c r="AF62" s="357">
        <f>Figure_2_GHG_per_pkm_General!AG47</f>
        <v>4.0625475229856942</v>
      </c>
      <c r="AG62" s="357">
        <f>Figure_2_GHG_per_pkm_General!AH47</f>
        <v>11.003404253622561</v>
      </c>
      <c r="AI62" s="356"/>
      <c r="AL62" s="357"/>
      <c r="AO62" s="349"/>
      <c r="AU62" s="350"/>
    </row>
    <row r="63" spans="2:81" x14ac:dyDescent="0.3">
      <c r="B63" s="358" t="str">
        <f>Figure_2_GHG_per_pkm_General!B48</f>
        <v>Operational services</v>
      </c>
      <c r="C63" s="508">
        <f>Figure_2_GHG_per_pkm_General!C48</f>
        <v>0</v>
      </c>
      <c r="D63" s="508">
        <f>Figure_2_GHG_per_pkm_General!D48</f>
        <v>34.727515897616378</v>
      </c>
      <c r="E63" s="508">
        <f>Figure_2_GHG_per_pkm_General!F48</f>
        <v>0</v>
      </c>
      <c r="F63" s="508">
        <f>Figure_2_GHG_per_pkm_General!G48</f>
        <v>24.702441658055513</v>
      </c>
      <c r="G63" s="508">
        <f>Figure_2_GHG_per_pkm_General!H48</f>
        <v>0</v>
      </c>
      <c r="H63" s="508">
        <f>Figure_2_GHG_per_pkm_General!I48</f>
        <v>24.702441658055513</v>
      </c>
      <c r="I63" s="508">
        <f>Figure_2_GHG_per_pkm_General!J48</f>
        <v>0</v>
      </c>
      <c r="J63" s="508">
        <f>Figure_2_GHG_per_pkm_General!K48</f>
        <v>0</v>
      </c>
      <c r="K63" s="508">
        <f>Figure_2_GHG_per_pkm_General!L48</f>
        <v>0</v>
      </c>
      <c r="L63" s="508">
        <f>Figure_2_GHG_per_pkm_General!M48</f>
        <v>13.516430341200186</v>
      </c>
      <c r="M63" s="508">
        <f>Figure_2_GHG_per_pkm_General!N48</f>
        <v>0</v>
      </c>
      <c r="N63" s="508">
        <f>Figure_2_GHG_per_pkm_General!O48</f>
        <v>0</v>
      </c>
      <c r="O63" s="508">
        <f>Figure_2_GHG_per_pkm_General!P48</f>
        <v>0</v>
      </c>
      <c r="P63" s="508">
        <f>Figure_2_GHG_per_pkm_General!Q48</f>
        <v>0</v>
      </c>
      <c r="Q63" s="508">
        <f>Figure_2_GHG_per_pkm_General!R48</f>
        <v>0</v>
      </c>
      <c r="R63" s="508">
        <f>Figure_2_GHG_per_pkm_General!S48</f>
        <v>108.04192570523938</v>
      </c>
      <c r="S63" s="508">
        <f>Figure_2_GHG_per_pkm_General!T48</f>
        <v>18.964442232750891</v>
      </c>
      <c r="T63" s="508">
        <f>Figure_2_GHG_per_pkm_General!U48</f>
        <v>18.964442232750891</v>
      </c>
      <c r="U63" s="508">
        <f>Figure_2_GHG_per_pkm_General!V48</f>
        <v>95.453913383102048</v>
      </c>
      <c r="V63" s="508">
        <f>Figure_2_GHG_per_pkm_General!W48</f>
        <v>111.65281620399554</v>
      </c>
      <c r="W63" s="508">
        <f>Figure_2_GHG_per_pkm_General!X48</f>
        <v>83.169954927466094</v>
      </c>
      <c r="X63" s="508">
        <f>Figure_2_GHG_per_pkm_General!Y48</f>
        <v>58.543059687707611</v>
      </c>
      <c r="Y63" s="508">
        <f>Figure_2_GHG_per_pkm_General!Z48</f>
        <v>14.598701341417666</v>
      </c>
      <c r="Z63" s="508">
        <f>Figure_2_GHG_per_pkm_General!AA48</f>
        <v>14.598701341417666</v>
      </c>
      <c r="AA63" s="508">
        <f>Figure_2_GHG_per_pkm_General!AB48</f>
        <v>73.479786868866043</v>
      </c>
      <c r="AB63" s="508">
        <f>Figure_2_GHG_per_pkm_General!AC48</f>
        <v>7.9817361104328963</v>
      </c>
      <c r="AC63" s="508">
        <f>Figure_2_GHG_per_pkm_General!AD48</f>
        <v>5.8756904404960579</v>
      </c>
      <c r="AD63" s="508">
        <f>Figure_2_GHG_per_pkm_General!AE48</f>
        <v>1.1624853704657718</v>
      </c>
      <c r="AE63" s="508">
        <f>Figure_2_GHG_per_pkm_General!AF48</f>
        <v>1.1624853704657718</v>
      </c>
      <c r="AF63" s="508">
        <f>Figure_2_GHG_per_pkm_General!AG48</f>
        <v>4.8792958449283903</v>
      </c>
      <c r="AG63" s="508">
        <f>Figure_2_GHG_per_pkm_General!AH48</f>
        <v>0</v>
      </c>
      <c r="AI63" s="356"/>
      <c r="AL63" s="357"/>
      <c r="AO63" s="349"/>
      <c r="AU63" s="350"/>
    </row>
    <row r="64" spans="2:81" x14ac:dyDescent="0.3">
      <c r="B64" s="352"/>
      <c r="C64" s="351"/>
      <c r="D64" s="351"/>
      <c r="E64" s="351"/>
      <c r="F64" s="351"/>
      <c r="G64" s="351"/>
      <c r="H64" s="351"/>
      <c r="I64" s="351"/>
      <c r="J64" s="351"/>
      <c r="N64" s="349"/>
      <c r="O64" s="350"/>
      <c r="P64" s="350"/>
      <c r="Q64" s="350"/>
      <c r="AB64" s="349"/>
      <c r="AH64" s="350"/>
      <c r="AO64" s="349"/>
      <c r="AU64" s="350"/>
    </row>
    <row r="65" spans="2:48" x14ac:dyDescent="0.3">
      <c r="O65" s="350"/>
      <c r="P65" s="350"/>
      <c r="AB65" s="349"/>
      <c r="AG65" s="350"/>
      <c r="AO65" s="349"/>
      <c r="AT65" s="350"/>
    </row>
    <row r="66" spans="2:48" x14ac:dyDescent="0.3">
      <c r="O66" s="350"/>
      <c r="P66" s="350"/>
      <c r="AB66" s="349"/>
      <c r="AE66" s="350"/>
      <c r="AO66" s="349"/>
      <c r="AR66" s="350"/>
    </row>
    <row r="67" spans="2:48" x14ac:dyDescent="0.3">
      <c r="N67" s="349"/>
      <c r="AB67" s="349"/>
      <c r="AE67" s="350"/>
      <c r="AO67" s="349"/>
      <c r="AR67" s="350"/>
    </row>
    <row r="68" spans="2:48" s="401" customFormat="1" x14ac:dyDescent="0.3">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I68" s="402"/>
      <c r="AV68" s="402"/>
    </row>
    <row r="69" spans="2:48" x14ac:dyDescent="0.3">
      <c r="B69" s="405"/>
      <c r="C69" s="407"/>
      <c r="D69" s="407"/>
      <c r="E69" s="407"/>
      <c r="F69" s="407"/>
      <c r="G69" s="407"/>
      <c r="H69" s="407"/>
      <c r="I69" s="407"/>
      <c r="J69" s="407"/>
      <c r="K69" s="407"/>
      <c r="L69" s="407"/>
      <c r="M69" s="409"/>
      <c r="N69" s="409"/>
      <c r="O69" s="409"/>
      <c r="P69" s="409"/>
      <c r="Q69" s="409"/>
      <c r="R69" s="409"/>
      <c r="S69" s="409"/>
      <c r="T69" s="409"/>
      <c r="U69" s="409"/>
      <c r="V69" s="409"/>
      <c r="W69" s="409"/>
      <c r="X69" s="409"/>
      <c r="Y69" s="409"/>
      <c r="Z69" s="409"/>
      <c r="AA69" s="409"/>
      <c r="AB69" s="409"/>
      <c r="AC69" s="409"/>
      <c r="AD69" s="409"/>
      <c r="AE69" s="409"/>
      <c r="AF69" s="409"/>
      <c r="AG69" s="407"/>
      <c r="AI69" s="350"/>
      <c r="AO69" s="349"/>
      <c r="AV69" s="350"/>
    </row>
    <row r="70" spans="2:48" x14ac:dyDescent="0.3">
      <c r="B70" s="405"/>
      <c r="C70" s="406"/>
      <c r="D70" s="406"/>
      <c r="E70" s="406"/>
      <c r="F70" s="406"/>
      <c r="G70" s="406"/>
      <c r="H70" s="406"/>
      <c r="I70" s="406"/>
      <c r="J70" s="406"/>
      <c r="K70" s="406"/>
      <c r="L70" s="406"/>
      <c r="M70" s="410"/>
      <c r="N70" s="410"/>
      <c r="O70" s="410"/>
      <c r="P70" s="410"/>
      <c r="Q70" s="410"/>
      <c r="R70" s="410"/>
      <c r="S70" s="410"/>
      <c r="T70" s="410"/>
      <c r="U70" s="410"/>
      <c r="V70" s="410"/>
      <c r="W70" s="410"/>
      <c r="X70" s="410"/>
      <c r="Y70" s="410"/>
      <c r="Z70" s="410"/>
      <c r="AA70" s="410"/>
      <c r="AB70" s="410"/>
      <c r="AC70" s="410"/>
      <c r="AD70" s="410"/>
      <c r="AE70" s="410"/>
      <c r="AF70" s="410"/>
      <c r="AG70" s="406"/>
      <c r="AI70" s="350"/>
      <c r="AO70" s="349"/>
      <c r="AV70" s="350"/>
    </row>
    <row r="71" spans="2:48" x14ac:dyDescent="0.3">
      <c r="B71" s="405"/>
      <c r="C71" s="407"/>
      <c r="D71" s="407"/>
      <c r="E71" s="407"/>
      <c r="F71" s="407"/>
      <c r="G71" s="407"/>
      <c r="H71" s="407"/>
      <c r="I71" s="407"/>
      <c r="J71" s="407"/>
      <c r="K71" s="407"/>
      <c r="L71" s="407"/>
      <c r="M71" s="409"/>
      <c r="N71" s="409"/>
      <c r="O71" s="409"/>
      <c r="P71" s="409"/>
      <c r="Q71" s="409"/>
      <c r="R71" s="409"/>
      <c r="S71" s="409"/>
      <c r="T71" s="409"/>
      <c r="U71" s="409"/>
      <c r="V71" s="409"/>
      <c r="W71" s="409"/>
      <c r="X71" s="409"/>
      <c r="Y71" s="409"/>
      <c r="Z71" s="409"/>
      <c r="AA71" s="409"/>
      <c r="AB71" s="409"/>
      <c r="AC71" s="409"/>
      <c r="AD71" s="409"/>
      <c r="AE71" s="409"/>
      <c r="AF71" s="409"/>
      <c r="AG71" s="407"/>
      <c r="AI71" s="350"/>
      <c r="AO71" s="349"/>
      <c r="AV71" s="350"/>
    </row>
    <row r="72" spans="2:48" x14ac:dyDescent="0.3">
      <c r="B72" s="405"/>
      <c r="C72" s="406"/>
      <c r="D72" s="406"/>
      <c r="E72" s="406"/>
      <c r="F72" s="406"/>
      <c r="G72" s="406"/>
      <c r="H72" s="406"/>
      <c r="I72" s="406"/>
      <c r="J72" s="406"/>
      <c r="K72" s="406"/>
      <c r="L72" s="406"/>
      <c r="M72" s="410"/>
      <c r="N72" s="410"/>
      <c r="O72" s="410"/>
      <c r="P72" s="410"/>
      <c r="Q72" s="410"/>
      <c r="R72" s="410"/>
      <c r="S72" s="410"/>
      <c r="T72" s="410"/>
      <c r="U72" s="410"/>
      <c r="V72" s="410"/>
      <c r="W72" s="410"/>
      <c r="X72" s="410"/>
      <c r="Y72" s="410"/>
      <c r="Z72" s="410"/>
      <c r="AA72" s="410"/>
      <c r="AB72" s="410"/>
      <c r="AC72" s="410"/>
      <c r="AD72" s="410"/>
      <c r="AE72" s="410"/>
      <c r="AF72" s="410"/>
      <c r="AG72" s="406"/>
      <c r="AI72" s="350"/>
      <c r="AO72" s="349"/>
      <c r="AV72" s="350"/>
    </row>
    <row r="73" spans="2:48" x14ac:dyDescent="0.3">
      <c r="B73" s="405"/>
      <c r="C73" s="406"/>
      <c r="D73" s="406"/>
      <c r="E73" s="406"/>
      <c r="F73" s="406"/>
      <c r="G73" s="406"/>
      <c r="H73" s="406"/>
      <c r="I73" s="406"/>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I73" s="350"/>
      <c r="AO73" s="349"/>
      <c r="AV73" s="350"/>
    </row>
    <row r="74" spans="2:48" x14ac:dyDescent="0.3">
      <c r="B74" s="405"/>
      <c r="C74" s="408"/>
      <c r="D74" s="408"/>
      <c r="E74" s="408"/>
      <c r="F74" s="408"/>
      <c r="G74" s="408"/>
      <c r="H74" s="408"/>
      <c r="I74" s="408"/>
      <c r="J74" s="408"/>
      <c r="K74" s="408"/>
      <c r="L74" s="408"/>
      <c r="M74" s="407"/>
      <c r="N74" s="407"/>
      <c r="O74" s="406"/>
      <c r="P74" s="406"/>
      <c r="Q74" s="407"/>
      <c r="R74" s="406"/>
      <c r="S74" s="406"/>
      <c r="T74" s="406"/>
      <c r="U74" s="406"/>
      <c r="V74" s="406"/>
      <c r="W74" s="406"/>
      <c r="X74" s="406"/>
      <c r="Y74" s="406"/>
      <c r="Z74" s="406"/>
      <c r="AA74" s="407"/>
      <c r="AB74" s="406"/>
      <c r="AC74" s="406"/>
      <c r="AD74" s="406"/>
      <c r="AE74" s="406"/>
      <c r="AF74" s="406"/>
      <c r="AG74" s="406"/>
      <c r="AI74" s="350"/>
      <c r="AO74" s="349"/>
      <c r="AV74" s="350"/>
    </row>
    <row r="75" spans="2:48" x14ac:dyDescent="0.3">
      <c r="B75" s="405"/>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6"/>
      <c r="AC75" s="406"/>
      <c r="AD75" s="406"/>
      <c r="AE75" s="406"/>
      <c r="AF75" s="406"/>
      <c r="AG75" s="406"/>
      <c r="AI75" s="350"/>
      <c r="AO75" s="349"/>
      <c r="AV75" s="350"/>
    </row>
    <row r="76" spans="2:48" x14ac:dyDescent="0.3">
      <c r="B76" s="405"/>
      <c r="C76" s="406"/>
      <c r="D76" s="406"/>
      <c r="E76" s="406"/>
      <c r="F76" s="406"/>
      <c r="G76" s="406"/>
      <c r="H76" s="406"/>
      <c r="I76" s="406"/>
      <c r="J76" s="406"/>
      <c r="K76" s="406"/>
      <c r="L76" s="406"/>
      <c r="M76" s="406"/>
      <c r="N76" s="406"/>
      <c r="O76" s="406"/>
      <c r="P76" s="406"/>
      <c r="Q76" s="406"/>
      <c r="R76" s="406"/>
      <c r="S76" s="406"/>
      <c r="T76" s="406"/>
      <c r="U76" s="406"/>
      <c r="V76" s="406"/>
      <c r="W76" s="406"/>
      <c r="X76" s="406"/>
      <c r="Y76" s="406"/>
      <c r="Z76" s="406"/>
      <c r="AA76" s="406"/>
      <c r="AB76" s="406"/>
      <c r="AC76" s="406"/>
      <c r="AD76" s="406"/>
      <c r="AE76" s="406"/>
      <c r="AF76" s="406"/>
      <c r="AG76" s="406"/>
      <c r="AI76" s="350"/>
      <c r="AO76" s="349"/>
      <c r="AV76" s="350"/>
    </row>
    <row r="77" spans="2:48" x14ac:dyDescent="0.3">
      <c r="B77" s="405"/>
      <c r="C77" s="406"/>
      <c r="D77" s="406"/>
      <c r="E77" s="406"/>
      <c r="F77" s="406"/>
      <c r="G77" s="406"/>
      <c r="H77" s="406"/>
      <c r="I77" s="406"/>
      <c r="J77" s="406"/>
      <c r="K77" s="406"/>
      <c r="L77" s="406"/>
      <c r="M77" s="406"/>
      <c r="N77" s="406"/>
      <c r="O77" s="406"/>
      <c r="P77" s="406"/>
      <c r="Q77" s="406"/>
      <c r="R77" s="406"/>
      <c r="S77" s="406"/>
      <c r="T77" s="406"/>
      <c r="U77" s="406"/>
      <c r="V77" s="406"/>
      <c r="W77" s="406"/>
      <c r="X77" s="406"/>
      <c r="Y77" s="406"/>
      <c r="Z77" s="406"/>
      <c r="AA77" s="406"/>
      <c r="AB77" s="406"/>
      <c r="AC77" s="406"/>
      <c r="AD77" s="406"/>
      <c r="AE77" s="406"/>
      <c r="AF77" s="406"/>
      <c r="AG77" s="406"/>
      <c r="AI77" s="350"/>
      <c r="AO77" s="349"/>
      <c r="AV77" s="350"/>
    </row>
    <row r="78" spans="2:48" x14ac:dyDescent="0.3">
      <c r="B78" s="405"/>
      <c r="C78" s="406"/>
      <c r="D78" s="406"/>
      <c r="E78" s="406"/>
      <c r="F78" s="406"/>
      <c r="G78" s="406"/>
      <c r="H78" s="406"/>
      <c r="I78" s="406"/>
      <c r="J78" s="406"/>
      <c r="K78" s="406"/>
      <c r="L78" s="406"/>
      <c r="M78" s="406"/>
      <c r="N78" s="406"/>
      <c r="O78" s="406"/>
      <c r="P78" s="406"/>
      <c r="Q78" s="406"/>
      <c r="R78" s="406"/>
      <c r="S78" s="406"/>
      <c r="T78" s="406"/>
      <c r="U78" s="406"/>
      <c r="V78" s="406"/>
      <c r="W78" s="406"/>
      <c r="X78" s="406"/>
      <c r="Y78" s="406"/>
      <c r="Z78" s="406"/>
      <c r="AA78" s="406"/>
      <c r="AB78" s="406"/>
      <c r="AC78" s="406"/>
      <c r="AD78" s="406"/>
      <c r="AE78" s="406"/>
      <c r="AF78" s="406"/>
      <c r="AG78" s="406"/>
      <c r="AI78" s="350"/>
      <c r="AO78" s="349"/>
      <c r="AV78" s="350"/>
    </row>
    <row r="79" spans="2:48" x14ac:dyDescent="0.3">
      <c r="B79" s="405"/>
      <c r="C79" s="406"/>
      <c r="D79" s="406"/>
      <c r="E79" s="406"/>
      <c r="F79" s="406"/>
      <c r="G79" s="406"/>
      <c r="H79" s="406"/>
      <c r="I79" s="406"/>
      <c r="J79" s="406"/>
      <c r="K79" s="406"/>
      <c r="L79" s="406"/>
      <c r="M79" s="406"/>
      <c r="N79" s="406"/>
      <c r="O79" s="406"/>
      <c r="P79" s="406"/>
      <c r="Q79" s="406"/>
      <c r="R79" s="406"/>
      <c r="S79" s="406"/>
      <c r="T79" s="406"/>
      <c r="U79" s="406"/>
      <c r="V79" s="406"/>
      <c r="W79" s="406"/>
      <c r="X79" s="406"/>
      <c r="Y79" s="406"/>
      <c r="Z79" s="406"/>
      <c r="AA79" s="406"/>
      <c r="AB79" s="406"/>
      <c r="AC79" s="406"/>
      <c r="AD79" s="406"/>
      <c r="AE79" s="406"/>
      <c r="AF79" s="406"/>
      <c r="AG79" s="406"/>
      <c r="AH79" s="350"/>
      <c r="AO79" s="349"/>
      <c r="AU79" s="350"/>
    </row>
    <row r="80" spans="2:48" x14ac:dyDescent="0.3">
      <c r="B80" s="405"/>
      <c r="C80" s="406"/>
      <c r="O80" s="350"/>
      <c r="P80" s="350"/>
      <c r="AB80" s="349"/>
      <c r="AH80" s="350"/>
      <c r="AO80" s="349"/>
      <c r="AU80" s="350"/>
    </row>
    <row r="81" spans="2:47" x14ac:dyDescent="0.3">
      <c r="B81" s="405"/>
      <c r="C81" s="406"/>
      <c r="O81" s="350"/>
      <c r="P81" s="350"/>
      <c r="AB81" s="349"/>
      <c r="AH81" s="350"/>
      <c r="AO81" s="349"/>
      <c r="AU81" s="350"/>
    </row>
    <row r="82" spans="2:47" x14ac:dyDescent="0.3">
      <c r="O82" s="350"/>
      <c r="P82" s="350"/>
      <c r="AB82" s="349"/>
      <c r="AH82" s="350"/>
      <c r="AO82" s="349"/>
      <c r="AU82" s="350"/>
    </row>
    <row r="83" spans="2:47" x14ac:dyDescent="0.3">
      <c r="B83" s="405"/>
      <c r="C83" s="406"/>
      <c r="O83" s="350"/>
      <c r="P83" s="350"/>
      <c r="AB83" s="349"/>
      <c r="AH83" s="350"/>
      <c r="AO83" s="349"/>
      <c r="AU83" s="350"/>
    </row>
    <row r="84" spans="2:47" x14ac:dyDescent="0.3">
      <c r="O84" s="350"/>
      <c r="P84" s="350"/>
      <c r="AB84" s="349"/>
      <c r="AH84" s="350"/>
      <c r="AO84" s="349"/>
      <c r="AU84" s="350"/>
    </row>
    <row r="85" spans="2:47" x14ac:dyDescent="0.3">
      <c r="O85" s="350"/>
      <c r="P85" s="350"/>
      <c r="AB85" s="349"/>
      <c r="AH85" s="350"/>
      <c r="AO85" s="349"/>
      <c r="AU85" s="350"/>
    </row>
    <row r="86" spans="2:47" x14ac:dyDescent="0.3">
      <c r="B86" s="411"/>
      <c r="C86" s="412"/>
      <c r="D86" s="411"/>
      <c r="E86" s="412"/>
      <c r="F86" s="412"/>
      <c r="O86" s="350"/>
      <c r="P86" s="350"/>
      <c r="AB86" s="349"/>
      <c r="AG86" s="350"/>
      <c r="AO86" s="349"/>
      <c r="AT86" s="350"/>
    </row>
    <row r="87" spans="2:47" x14ac:dyDescent="0.3">
      <c r="C87" s="412"/>
      <c r="D87" s="411"/>
      <c r="E87" s="412"/>
      <c r="F87" s="412"/>
      <c r="O87" s="350"/>
      <c r="P87" s="350"/>
      <c r="AB87" s="349"/>
      <c r="AG87" s="350"/>
      <c r="AO87" s="349"/>
      <c r="AT87" s="350"/>
    </row>
    <row r="88" spans="2:47" x14ac:dyDescent="0.3">
      <c r="C88" s="412"/>
      <c r="D88" s="411"/>
      <c r="E88" s="412"/>
      <c r="F88" s="412"/>
      <c r="O88" s="350"/>
      <c r="P88" s="350"/>
      <c r="AB88" s="349"/>
      <c r="AG88" s="350"/>
      <c r="AO88" s="349"/>
      <c r="AT88" s="350"/>
    </row>
    <row r="89" spans="2:47" x14ac:dyDescent="0.3">
      <c r="B89" s="411"/>
      <c r="C89" s="412"/>
      <c r="D89" s="411"/>
      <c r="E89" s="412"/>
      <c r="F89" s="412"/>
      <c r="O89" s="350"/>
      <c r="P89" s="350"/>
      <c r="AB89" s="349"/>
      <c r="AG89" s="350"/>
      <c r="AO89" s="349"/>
      <c r="AT89" s="350"/>
    </row>
    <row r="90" spans="2:47" x14ac:dyDescent="0.3">
      <c r="C90" s="412"/>
      <c r="D90" s="411"/>
      <c r="E90" s="412"/>
      <c r="F90" s="412"/>
      <c r="O90" s="350"/>
      <c r="P90" s="350"/>
      <c r="AB90" s="349"/>
      <c r="AF90" s="350"/>
      <c r="AO90" s="349"/>
      <c r="AS90" s="350"/>
    </row>
    <row r="91" spans="2:47" x14ac:dyDescent="0.3">
      <c r="C91" s="412"/>
      <c r="D91" s="411"/>
      <c r="E91" s="412"/>
      <c r="F91" s="412"/>
      <c r="O91" s="350"/>
      <c r="P91" s="350"/>
      <c r="AB91" s="349"/>
      <c r="AF91" s="350"/>
      <c r="AO91" s="349"/>
      <c r="AS91" s="350"/>
    </row>
    <row r="92" spans="2:47" x14ac:dyDescent="0.3">
      <c r="C92" s="412"/>
      <c r="D92" s="411"/>
      <c r="E92" s="412"/>
      <c r="F92" s="412"/>
      <c r="O92" s="350"/>
      <c r="P92" s="350"/>
      <c r="AB92" s="349"/>
      <c r="AF92" s="350"/>
      <c r="AO92" s="349"/>
      <c r="AS92" s="350"/>
    </row>
    <row r="93" spans="2:47" x14ac:dyDescent="0.3">
      <c r="C93" s="412"/>
      <c r="D93" s="411"/>
      <c r="E93" s="412"/>
      <c r="F93" s="412"/>
      <c r="O93" s="350"/>
      <c r="P93" s="350"/>
      <c r="AB93" s="349"/>
      <c r="AF93" s="350"/>
      <c r="AO93" s="349"/>
      <c r="AS93" s="350"/>
    </row>
    <row r="94" spans="2:47" x14ac:dyDescent="0.3">
      <c r="C94" s="412"/>
      <c r="D94" s="411"/>
      <c r="E94" s="412"/>
      <c r="F94" s="412"/>
      <c r="O94" s="350"/>
      <c r="P94" s="350"/>
      <c r="AB94" s="349"/>
      <c r="AE94" s="350"/>
      <c r="AO94" s="349"/>
      <c r="AR94" s="350"/>
    </row>
    <row r="95" spans="2:47" x14ac:dyDescent="0.3">
      <c r="C95" s="412"/>
      <c r="D95" s="411"/>
      <c r="E95" s="411"/>
      <c r="F95" s="412"/>
      <c r="O95" s="350"/>
      <c r="P95" s="350"/>
      <c r="AB95" s="349"/>
      <c r="AE95" s="350"/>
      <c r="AO95" s="349"/>
      <c r="AR95" s="350"/>
    </row>
    <row r="96" spans="2:47" x14ac:dyDescent="0.3">
      <c r="O96" s="350"/>
      <c r="P96" s="350"/>
      <c r="AB96" s="349"/>
      <c r="AE96" s="350"/>
      <c r="AO96" s="349"/>
      <c r="AR96" s="350"/>
    </row>
    <row r="97" spans="2:44" x14ac:dyDescent="0.3">
      <c r="O97" s="350"/>
      <c r="P97" s="350"/>
      <c r="AB97" s="349"/>
      <c r="AE97" s="350"/>
      <c r="AO97" s="349"/>
      <c r="AR97" s="350"/>
    </row>
    <row r="98" spans="2:44" x14ac:dyDescent="0.3">
      <c r="B98" s="411"/>
      <c r="C98" s="411"/>
      <c r="D98" s="354"/>
      <c r="O98" s="350"/>
      <c r="P98" s="350"/>
      <c r="AB98" s="349"/>
      <c r="AC98" s="350"/>
      <c r="AO98" s="349"/>
      <c r="AP98" s="350"/>
    </row>
    <row r="99" spans="2:44" x14ac:dyDescent="0.3">
      <c r="C99" s="411"/>
      <c r="D99" s="354"/>
      <c r="O99" s="350"/>
      <c r="P99" s="350"/>
      <c r="AB99" s="349"/>
      <c r="AC99" s="350"/>
      <c r="AO99" s="349"/>
      <c r="AP99" s="350"/>
    </row>
    <row r="100" spans="2:44" x14ac:dyDescent="0.3">
      <c r="C100" s="411"/>
      <c r="D100" s="412"/>
      <c r="O100" s="350"/>
      <c r="P100" s="350"/>
      <c r="AB100" s="349"/>
      <c r="AC100" s="350"/>
      <c r="AO100" s="349"/>
      <c r="AP100" s="350"/>
    </row>
    <row r="101" spans="2:44" x14ac:dyDescent="0.3">
      <c r="C101" s="411"/>
      <c r="D101" s="411"/>
      <c r="O101" s="350"/>
      <c r="P101" s="350"/>
      <c r="AB101" s="349"/>
      <c r="AC101" s="350"/>
      <c r="AO101" s="349"/>
      <c r="AP101" s="350"/>
    </row>
    <row r="102" spans="2:44" x14ac:dyDescent="0.3">
      <c r="C102" s="411"/>
      <c r="D102" s="411"/>
      <c r="O102" s="350"/>
      <c r="P102" s="350"/>
      <c r="AB102" s="349"/>
      <c r="AC102" s="350"/>
      <c r="AO102" s="349"/>
      <c r="AP102" s="350"/>
    </row>
    <row r="103" spans="2:44" x14ac:dyDescent="0.3">
      <c r="C103" s="411"/>
      <c r="D103" s="411"/>
      <c r="O103" s="350"/>
      <c r="P103" s="350"/>
      <c r="AB103" s="349"/>
      <c r="AC103" s="350"/>
      <c r="AO103" s="349"/>
      <c r="AP103" s="350"/>
    </row>
    <row r="104" spans="2:44" x14ac:dyDescent="0.3">
      <c r="B104" s="411"/>
      <c r="C104" s="411"/>
      <c r="D104" s="411"/>
      <c r="O104" s="350"/>
      <c r="P104" s="350"/>
      <c r="AB104" s="349"/>
      <c r="AC104" s="350"/>
      <c r="AO104" s="349"/>
      <c r="AP104" s="350"/>
    </row>
    <row r="105" spans="2:44" x14ac:dyDescent="0.3">
      <c r="B105" s="411"/>
      <c r="C105" s="411"/>
      <c r="D105" s="411"/>
      <c r="O105" s="350"/>
      <c r="P105" s="350"/>
      <c r="AB105" s="349"/>
      <c r="AC105" s="350"/>
      <c r="AO105" s="349"/>
      <c r="AP105" s="350"/>
    </row>
    <row r="106" spans="2:44" x14ac:dyDescent="0.3">
      <c r="B106" s="411"/>
      <c r="C106" s="411"/>
      <c r="O106" s="350"/>
      <c r="P106" s="350"/>
      <c r="AB106" s="349"/>
      <c r="AC106" s="350"/>
      <c r="AO106" s="349"/>
      <c r="AP106" s="350"/>
    </row>
    <row r="107" spans="2:44" x14ac:dyDescent="0.3">
      <c r="O107" s="350"/>
      <c r="P107" s="350"/>
    </row>
    <row r="108" spans="2:44" x14ac:dyDescent="0.3">
      <c r="O108" s="350"/>
      <c r="P108" s="350"/>
    </row>
    <row r="109" spans="2:44" x14ac:dyDescent="0.3">
      <c r="O109" s="350"/>
      <c r="P109" s="350"/>
    </row>
    <row r="110" spans="2:44" x14ac:dyDescent="0.3">
      <c r="B110" s="413"/>
      <c r="O110" s="350"/>
      <c r="P110" s="350"/>
    </row>
    <row r="111" spans="2:44" x14ac:dyDescent="0.3">
      <c r="O111" s="350"/>
      <c r="P111" s="350"/>
    </row>
    <row r="112" spans="2:44" x14ac:dyDescent="0.3">
      <c r="O112" s="350"/>
      <c r="P112" s="350"/>
    </row>
  </sheetData>
  <mergeCells count="1">
    <mergeCell ref="B19:H33"/>
  </mergeCells>
  <pageMargins left="0" right="0" top="0" bottom="0" header="0" footer="0"/>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7BC143"/>
  </sheetPr>
  <dimension ref="A1:AN134"/>
  <sheetViews>
    <sheetView topLeftCell="F10" zoomScale="85" zoomScaleNormal="85" zoomScalePageLayoutView="200" workbookViewId="0">
      <selection activeCell="J14" sqref="J14"/>
    </sheetView>
  </sheetViews>
  <sheetFormatPr defaultColWidth="8.88671875" defaultRowHeight="14.4" x14ac:dyDescent="0.3"/>
  <cols>
    <col min="1" max="1" width="3.44140625" style="430" customWidth="1"/>
    <col min="2" max="2" width="17.109375" style="430" customWidth="1"/>
    <col min="3" max="3" width="49" style="430" customWidth="1"/>
    <col min="4" max="6" width="8.88671875" style="430"/>
    <col min="7" max="10" width="8.88671875" style="430" customWidth="1"/>
    <col min="11" max="13" width="8.88671875" style="430"/>
    <col min="14" max="14" width="8.88671875" style="431"/>
    <col min="15" max="15" width="17" style="430" customWidth="1"/>
    <col min="16" max="16" width="8.88671875" style="430"/>
    <col min="17" max="17" width="15.44140625" style="430" customWidth="1"/>
    <col min="18" max="26" width="8.88671875" style="430"/>
    <col min="27" max="27" width="8.88671875" style="431"/>
    <col min="28" max="39" width="8.88671875" style="430"/>
    <col min="40" max="40" width="8.88671875" style="431"/>
    <col min="41" max="16384" width="8.88671875" style="430"/>
  </cols>
  <sheetData>
    <row r="1" spans="2:40" s="429" customFormat="1" ht="21" x14ac:dyDescent="0.4">
      <c r="B1" s="428" t="s">
        <v>1086</v>
      </c>
      <c r="N1" s="428"/>
      <c r="AA1" s="428"/>
      <c r="AN1" s="428"/>
    </row>
    <row r="2" spans="2:40" x14ac:dyDescent="0.3">
      <c r="O2" s="431"/>
      <c r="P2" s="431"/>
      <c r="Q2" s="431"/>
      <c r="R2" s="431"/>
      <c r="S2" s="431"/>
      <c r="T2" s="431"/>
      <c r="U2" s="431"/>
      <c r="V2" s="431"/>
      <c r="W2" s="431"/>
      <c r="X2" s="431"/>
      <c r="Y2" s="431"/>
    </row>
    <row r="3" spans="2:40" ht="23.4" x14ac:dyDescent="0.45">
      <c r="B3" s="432" t="s">
        <v>1085</v>
      </c>
    </row>
    <row r="5" spans="2:40" x14ac:dyDescent="0.3">
      <c r="B5" s="431" t="s">
        <v>1084</v>
      </c>
      <c r="C5" s="433" t="s">
        <v>1083</v>
      </c>
    </row>
    <row r="6" spans="2:40" x14ac:dyDescent="0.3">
      <c r="B6" s="431" t="s">
        <v>1082</v>
      </c>
      <c r="C6" s="433" t="s">
        <v>1081</v>
      </c>
    </row>
    <row r="7" spans="2:40" x14ac:dyDescent="0.3">
      <c r="B7" s="431" t="s">
        <v>1080</v>
      </c>
      <c r="C7" s="433" t="s">
        <v>1079</v>
      </c>
    </row>
    <row r="8" spans="2:40" x14ac:dyDescent="0.3">
      <c r="B8" s="431" t="s">
        <v>1078</v>
      </c>
      <c r="C8" s="433" t="s">
        <v>1077</v>
      </c>
    </row>
    <row r="9" spans="2:40" ht="16.2" x14ac:dyDescent="0.3">
      <c r="B9" s="431"/>
      <c r="L9" s="434" t="s">
        <v>1076</v>
      </c>
    </row>
    <row r="10" spans="2:40" x14ac:dyDescent="0.3">
      <c r="B10" s="431" t="s">
        <v>1075</v>
      </c>
    </row>
    <row r="11" spans="2:40" x14ac:dyDescent="0.3">
      <c r="B11" s="431" t="s">
        <v>1074</v>
      </c>
      <c r="C11" s="433" t="str">
        <f>Figure_2_GHG_per_pkm_General!C12</f>
        <v>GHG emissions per pkm [g CO₂/pkm]</v>
      </c>
    </row>
    <row r="12" spans="2:40" x14ac:dyDescent="0.3">
      <c r="B12" s="431" t="s">
        <v>1072</v>
      </c>
      <c r="C12" s="433" t="s">
        <v>1146</v>
      </c>
    </row>
    <row r="13" spans="2:40" x14ac:dyDescent="0.3">
      <c r="B13" s="431"/>
      <c r="C13" s="435"/>
    </row>
    <row r="14" spans="2:40" x14ac:dyDescent="0.3">
      <c r="B14" s="431" t="s">
        <v>1071</v>
      </c>
      <c r="C14" s="435"/>
    </row>
    <row r="15" spans="2:40" x14ac:dyDescent="0.3">
      <c r="B15" s="431" t="s">
        <v>1070</v>
      </c>
      <c r="C15" s="436" t="s">
        <v>1069</v>
      </c>
    </row>
    <row r="16" spans="2:40" x14ac:dyDescent="0.3">
      <c r="B16" s="431" t="s">
        <v>1068</v>
      </c>
      <c r="C16" s="436" t="s">
        <v>1067</v>
      </c>
    </row>
    <row r="17" spans="2:38" x14ac:dyDescent="0.3">
      <c r="B17" s="431"/>
      <c r="C17" s="435"/>
    </row>
    <row r="18" spans="2:38" x14ac:dyDescent="0.3">
      <c r="B18" s="431" t="s">
        <v>1066</v>
      </c>
      <c r="V18" s="437"/>
      <c r="W18" s="437"/>
    </row>
    <row r="19" spans="2:38" x14ac:dyDescent="0.3">
      <c r="B19" s="633" t="s">
        <v>1065</v>
      </c>
      <c r="C19" s="634"/>
      <c r="D19" s="634"/>
      <c r="E19" s="634"/>
      <c r="F19" s="634"/>
      <c r="G19" s="634"/>
      <c r="H19" s="635"/>
      <c r="V19" s="437"/>
      <c r="W19" s="437"/>
    </row>
    <row r="20" spans="2:38" x14ac:dyDescent="0.3">
      <c r="B20" s="636"/>
      <c r="C20" s="637"/>
      <c r="D20" s="637"/>
      <c r="E20" s="637"/>
      <c r="F20" s="637"/>
      <c r="G20" s="637"/>
      <c r="H20" s="638"/>
      <c r="V20" s="437"/>
      <c r="W20" s="437"/>
    </row>
    <row r="21" spans="2:38" x14ac:dyDescent="0.3">
      <c r="B21" s="636"/>
      <c r="C21" s="637"/>
      <c r="D21" s="637"/>
      <c r="E21" s="637"/>
      <c r="F21" s="637"/>
      <c r="G21" s="637"/>
      <c r="H21" s="638"/>
      <c r="V21" s="437"/>
      <c r="W21" s="437"/>
    </row>
    <row r="22" spans="2:38" x14ac:dyDescent="0.3">
      <c r="B22" s="636"/>
      <c r="C22" s="637"/>
      <c r="D22" s="637"/>
      <c r="E22" s="637"/>
      <c r="F22" s="637"/>
      <c r="G22" s="637"/>
      <c r="H22" s="638"/>
      <c r="V22" s="437"/>
      <c r="W22" s="437"/>
      <c r="X22" s="431"/>
      <c r="Y22" s="431"/>
    </row>
    <row r="23" spans="2:38" x14ac:dyDescent="0.3">
      <c r="B23" s="636"/>
      <c r="C23" s="637"/>
      <c r="D23" s="637"/>
      <c r="E23" s="637"/>
      <c r="F23" s="637"/>
      <c r="G23" s="637"/>
      <c r="H23" s="638"/>
      <c r="V23" s="437"/>
      <c r="W23" s="437"/>
      <c r="X23" s="431"/>
      <c r="Y23" s="431"/>
    </row>
    <row r="24" spans="2:38" ht="15.6" x14ac:dyDescent="0.3">
      <c r="B24" s="636"/>
      <c r="C24" s="637"/>
      <c r="D24" s="637"/>
      <c r="E24" s="637"/>
      <c r="F24" s="637"/>
      <c r="G24" s="637"/>
      <c r="H24" s="638"/>
      <c r="N24" s="438"/>
      <c r="V24" s="437"/>
      <c r="W24" s="437"/>
      <c r="AA24" s="438"/>
    </row>
    <row r="25" spans="2:38" s="431" customFormat="1" x14ac:dyDescent="0.3">
      <c r="B25" s="636"/>
      <c r="C25" s="637"/>
      <c r="D25" s="637"/>
      <c r="E25" s="637"/>
      <c r="F25" s="637"/>
      <c r="G25" s="637"/>
      <c r="H25" s="638"/>
      <c r="N25" s="439"/>
      <c r="V25" s="437"/>
      <c r="W25" s="437"/>
      <c r="AA25" s="440"/>
    </row>
    <row r="26" spans="2:38" x14ac:dyDescent="0.3">
      <c r="B26" s="636"/>
      <c r="C26" s="637"/>
      <c r="D26" s="637"/>
      <c r="E26" s="637"/>
      <c r="F26" s="637"/>
      <c r="G26" s="637"/>
      <c r="H26" s="638"/>
      <c r="N26" s="441"/>
      <c r="V26" s="437"/>
      <c r="W26" s="437"/>
      <c r="X26" s="442"/>
      <c r="Y26" s="442"/>
      <c r="AA26" s="441"/>
      <c r="AB26" s="442"/>
      <c r="AC26" s="442"/>
      <c r="AD26" s="442"/>
      <c r="AE26" s="442"/>
      <c r="AF26" s="442"/>
      <c r="AG26" s="442"/>
      <c r="AH26" s="442"/>
      <c r="AI26" s="442"/>
      <c r="AJ26" s="442"/>
      <c r="AK26" s="442"/>
      <c r="AL26" s="442"/>
    </row>
    <row r="27" spans="2:38" x14ac:dyDescent="0.3">
      <c r="B27" s="636"/>
      <c r="C27" s="637"/>
      <c r="D27" s="637"/>
      <c r="E27" s="637"/>
      <c r="F27" s="637"/>
      <c r="G27" s="637"/>
      <c r="H27" s="638"/>
      <c r="N27" s="441"/>
      <c r="V27" s="437"/>
      <c r="W27" s="437"/>
      <c r="X27" s="442"/>
      <c r="Y27" s="442"/>
      <c r="AA27" s="441"/>
      <c r="AB27" s="442"/>
      <c r="AC27" s="442"/>
      <c r="AD27" s="442"/>
      <c r="AE27" s="442"/>
      <c r="AF27" s="442"/>
      <c r="AG27" s="442"/>
      <c r="AH27" s="442"/>
      <c r="AI27" s="442"/>
      <c r="AJ27" s="442"/>
      <c r="AK27" s="442"/>
      <c r="AL27" s="442"/>
    </row>
    <row r="28" spans="2:38" x14ac:dyDescent="0.3">
      <c r="B28" s="636"/>
      <c r="C28" s="637"/>
      <c r="D28" s="637"/>
      <c r="E28" s="637"/>
      <c r="F28" s="637"/>
      <c r="G28" s="637"/>
      <c r="H28" s="638"/>
      <c r="N28" s="441"/>
      <c r="V28" s="437"/>
      <c r="W28" s="437"/>
      <c r="X28" s="442"/>
      <c r="Y28" s="442"/>
      <c r="AA28" s="441"/>
      <c r="AB28" s="442"/>
      <c r="AC28" s="442"/>
      <c r="AD28" s="442"/>
      <c r="AE28" s="442"/>
      <c r="AF28" s="442"/>
      <c r="AG28" s="442"/>
      <c r="AH28" s="442"/>
      <c r="AI28" s="442"/>
      <c r="AJ28" s="442"/>
      <c r="AK28" s="442"/>
      <c r="AL28" s="442"/>
    </row>
    <row r="29" spans="2:38" x14ac:dyDescent="0.3">
      <c r="B29" s="636"/>
      <c r="C29" s="637"/>
      <c r="D29" s="637"/>
      <c r="E29" s="637"/>
      <c r="F29" s="637"/>
      <c r="G29" s="637"/>
      <c r="H29" s="638"/>
      <c r="N29" s="441"/>
      <c r="V29" s="437"/>
      <c r="W29" s="437"/>
      <c r="X29" s="442"/>
      <c r="Y29" s="442"/>
      <c r="AA29" s="441"/>
      <c r="AB29" s="442"/>
      <c r="AC29" s="442"/>
      <c r="AD29" s="442"/>
      <c r="AE29" s="442"/>
      <c r="AF29" s="442"/>
      <c r="AG29" s="442"/>
      <c r="AH29" s="442"/>
      <c r="AI29" s="442"/>
      <c r="AJ29" s="442"/>
      <c r="AK29" s="442"/>
      <c r="AL29" s="442"/>
    </row>
    <row r="30" spans="2:38" x14ac:dyDescent="0.3">
      <c r="B30" s="636"/>
      <c r="C30" s="637"/>
      <c r="D30" s="637"/>
      <c r="E30" s="637"/>
      <c r="F30" s="637"/>
      <c r="G30" s="637"/>
      <c r="H30" s="638"/>
      <c r="N30" s="441"/>
      <c r="V30" s="437"/>
      <c r="W30" s="437"/>
      <c r="X30" s="442"/>
      <c r="Y30" s="442"/>
      <c r="AA30" s="441"/>
      <c r="AB30" s="442"/>
      <c r="AC30" s="442"/>
      <c r="AD30" s="442"/>
      <c r="AE30" s="442"/>
      <c r="AF30" s="442"/>
      <c r="AG30" s="442"/>
      <c r="AH30" s="442"/>
      <c r="AI30" s="442"/>
      <c r="AJ30" s="442"/>
      <c r="AK30" s="442"/>
      <c r="AL30" s="442"/>
    </row>
    <row r="31" spans="2:38" x14ac:dyDescent="0.3">
      <c r="B31" s="636"/>
      <c r="C31" s="637"/>
      <c r="D31" s="637"/>
      <c r="E31" s="637"/>
      <c r="F31" s="637"/>
      <c r="G31" s="637"/>
      <c r="H31" s="638"/>
      <c r="N31" s="441"/>
      <c r="V31" s="437"/>
      <c r="W31" s="437"/>
      <c r="X31" s="442"/>
      <c r="Y31" s="442"/>
      <c r="AA31" s="441"/>
      <c r="AB31" s="442"/>
      <c r="AC31" s="442"/>
      <c r="AD31" s="442"/>
      <c r="AE31" s="442"/>
      <c r="AF31" s="442"/>
      <c r="AG31" s="442"/>
      <c r="AH31" s="442"/>
      <c r="AI31" s="442"/>
      <c r="AJ31" s="442"/>
      <c r="AK31" s="442"/>
      <c r="AL31" s="442"/>
    </row>
    <row r="32" spans="2:38" x14ac:dyDescent="0.3">
      <c r="B32" s="636"/>
      <c r="C32" s="637"/>
      <c r="D32" s="637"/>
      <c r="E32" s="637"/>
      <c r="F32" s="637"/>
      <c r="G32" s="637"/>
      <c r="H32" s="638"/>
      <c r="N32" s="441"/>
      <c r="V32" s="437"/>
      <c r="W32" s="437"/>
      <c r="X32" s="442"/>
      <c r="Y32" s="442"/>
      <c r="AA32" s="441"/>
      <c r="AB32" s="442"/>
      <c r="AC32" s="442"/>
      <c r="AD32" s="442"/>
      <c r="AE32" s="442"/>
      <c r="AF32" s="442"/>
      <c r="AG32" s="442"/>
      <c r="AH32" s="442"/>
      <c r="AI32" s="442"/>
      <c r="AJ32" s="442"/>
      <c r="AK32" s="442"/>
      <c r="AL32" s="442"/>
    </row>
    <row r="33" spans="1:40" x14ac:dyDescent="0.3">
      <c r="B33" s="639"/>
      <c r="C33" s="640"/>
      <c r="D33" s="640"/>
      <c r="E33" s="640"/>
      <c r="F33" s="640"/>
      <c r="G33" s="640"/>
      <c r="H33" s="641"/>
      <c r="N33" s="441"/>
      <c r="O33" s="437"/>
      <c r="P33" s="437"/>
      <c r="Q33" s="437"/>
      <c r="R33" s="437"/>
      <c r="S33" s="437"/>
      <c r="T33" s="437"/>
      <c r="U33" s="437"/>
      <c r="V33" s="437"/>
      <c r="W33" s="437"/>
      <c r="X33" s="442"/>
      <c r="Y33" s="442"/>
      <c r="AA33" s="441"/>
      <c r="AB33" s="442"/>
      <c r="AC33" s="442"/>
      <c r="AD33" s="442"/>
      <c r="AE33" s="442"/>
      <c r="AF33" s="442"/>
      <c r="AG33" s="442"/>
      <c r="AH33" s="442"/>
      <c r="AI33" s="442"/>
      <c r="AJ33" s="442"/>
      <c r="AK33" s="442"/>
      <c r="AL33" s="442"/>
    </row>
    <row r="34" spans="1:40" x14ac:dyDescent="0.3">
      <c r="N34" s="441"/>
      <c r="O34" s="442"/>
      <c r="P34" s="442"/>
      <c r="Q34" s="442"/>
      <c r="R34" s="442"/>
      <c r="S34" s="442"/>
      <c r="T34" s="442"/>
      <c r="U34" s="442"/>
      <c r="V34" s="442"/>
      <c r="W34" s="442"/>
      <c r="X34" s="442"/>
      <c r="Y34" s="442"/>
      <c r="AA34" s="441"/>
      <c r="AB34" s="442"/>
      <c r="AC34" s="442"/>
      <c r="AD34" s="442"/>
      <c r="AE34" s="442"/>
      <c r="AF34" s="442"/>
      <c r="AG34" s="442"/>
      <c r="AH34" s="442"/>
      <c r="AI34" s="442"/>
      <c r="AJ34" s="442"/>
      <c r="AK34" s="442"/>
      <c r="AL34" s="442"/>
    </row>
    <row r="35" spans="1:40" x14ac:dyDescent="0.3">
      <c r="N35" s="441"/>
      <c r="O35" s="442"/>
      <c r="P35" s="442"/>
      <c r="Q35" s="442"/>
      <c r="R35" s="442"/>
      <c r="S35" s="442"/>
      <c r="T35" s="442"/>
      <c r="U35" s="442"/>
      <c r="V35" s="442"/>
      <c r="W35" s="442"/>
      <c r="X35" s="442"/>
      <c r="Y35" s="442"/>
      <c r="AA35" s="441"/>
      <c r="AB35" s="442"/>
      <c r="AC35" s="442"/>
      <c r="AD35" s="442"/>
      <c r="AE35" s="442"/>
      <c r="AF35" s="442"/>
      <c r="AG35" s="442"/>
      <c r="AH35" s="442"/>
      <c r="AI35" s="442"/>
      <c r="AJ35" s="442"/>
      <c r="AK35" s="442"/>
      <c r="AL35" s="442"/>
    </row>
    <row r="36" spans="1:40" x14ac:dyDescent="0.3">
      <c r="N36" s="441"/>
      <c r="O36" s="442"/>
      <c r="P36" s="442"/>
      <c r="Q36" s="442"/>
      <c r="R36" s="442"/>
      <c r="S36" s="442"/>
      <c r="T36" s="442"/>
      <c r="U36" s="442"/>
      <c r="V36" s="442"/>
      <c r="W36" s="442"/>
      <c r="X36" s="442"/>
      <c r="Y36" s="442"/>
      <c r="AA36" s="441"/>
      <c r="AB36" s="442"/>
      <c r="AC36" s="442"/>
      <c r="AD36" s="442"/>
      <c r="AE36" s="442"/>
      <c r="AF36" s="442"/>
      <c r="AG36" s="442"/>
      <c r="AH36" s="442"/>
      <c r="AI36" s="442"/>
      <c r="AJ36" s="442"/>
      <c r="AK36" s="442"/>
      <c r="AL36" s="442"/>
    </row>
    <row r="37" spans="1:40" x14ac:dyDescent="0.3">
      <c r="N37" s="441"/>
      <c r="O37" s="442"/>
      <c r="P37" s="442"/>
      <c r="Q37" s="442"/>
      <c r="R37" s="442"/>
      <c r="S37" s="442"/>
      <c r="T37" s="442"/>
      <c r="U37" s="442"/>
      <c r="V37" s="442"/>
      <c r="W37" s="442"/>
      <c r="X37" s="442"/>
      <c r="Y37" s="442"/>
      <c r="AA37" s="441"/>
      <c r="AB37" s="442"/>
      <c r="AC37" s="442"/>
      <c r="AD37" s="442"/>
      <c r="AE37" s="442"/>
      <c r="AF37" s="442"/>
      <c r="AG37" s="442"/>
      <c r="AH37" s="442"/>
      <c r="AI37" s="442"/>
      <c r="AJ37" s="442"/>
      <c r="AK37" s="442"/>
      <c r="AL37" s="442"/>
    </row>
    <row r="38" spans="1:40" x14ac:dyDescent="0.3">
      <c r="N38" s="441"/>
      <c r="O38" s="442"/>
      <c r="P38" s="442"/>
      <c r="Q38" s="442"/>
      <c r="R38" s="442"/>
      <c r="S38" s="442"/>
      <c r="T38" s="442"/>
      <c r="U38" s="442"/>
      <c r="V38" s="442"/>
      <c r="W38" s="442"/>
      <c r="X38" s="442"/>
      <c r="Y38" s="442"/>
      <c r="AA38" s="441"/>
      <c r="AB38" s="442"/>
      <c r="AC38" s="442"/>
      <c r="AD38" s="442"/>
      <c r="AE38" s="442"/>
      <c r="AF38" s="442"/>
      <c r="AG38" s="442"/>
      <c r="AH38" s="442"/>
      <c r="AI38" s="442"/>
      <c r="AJ38" s="442"/>
      <c r="AK38" s="442"/>
      <c r="AL38" s="442"/>
    </row>
    <row r="39" spans="1:40" x14ac:dyDescent="0.3">
      <c r="N39" s="441"/>
      <c r="O39" s="442"/>
      <c r="P39" s="442"/>
      <c r="Q39" s="442"/>
      <c r="R39" s="442"/>
      <c r="S39" s="442"/>
      <c r="T39" s="442"/>
      <c r="U39" s="442"/>
      <c r="V39" s="442"/>
      <c r="W39" s="442"/>
      <c r="X39" s="442"/>
      <c r="Y39" s="442"/>
      <c r="AA39" s="441"/>
      <c r="AB39" s="442"/>
      <c r="AC39" s="442"/>
      <c r="AD39" s="442"/>
      <c r="AE39" s="442"/>
      <c r="AF39" s="442"/>
      <c r="AG39" s="442"/>
      <c r="AH39" s="442"/>
      <c r="AI39" s="442"/>
      <c r="AJ39" s="442"/>
      <c r="AK39" s="442"/>
      <c r="AL39" s="442"/>
    </row>
    <row r="40" spans="1:40" ht="23.4" x14ac:dyDescent="0.45">
      <c r="B40" s="432" t="s">
        <v>1064</v>
      </c>
      <c r="C40" s="443"/>
      <c r="N40" s="441"/>
      <c r="O40" s="442"/>
      <c r="P40" s="442"/>
      <c r="Q40" s="442"/>
      <c r="R40" s="442"/>
      <c r="S40" s="442"/>
      <c r="T40" s="442"/>
      <c r="U40" s="442"/>
      <c r="V40" s="442"/>
      <c r="W40" s="442"/>
      <c r="X40" s="442"/>
      <c r="Y40" s="442"/>
      <c r="AA40" s="441"/>
      <c r="AB40" s="442"/>
      <c r="AC40" s="442"/>
      <c r="AD40" s="442"/>
      <c r="AE40" s="442"/>
      <c r="AF40" s="442"/>
      <c r="AG40" s="442"/>
      <c r="AH40" s="442"/>
      <c r="AI40" s="442"/>
      <c r="AJ40" s="442"/>
      <c r="AK40" s="442"/>
      <c r="AL40" s="442"/>
    </row>
    <row r="41" spans="1:40" x14ac:dyDescent="0.3">
      <c r="N41" s="441"/>
      <c r="O41" s="442"/>
      <c r="P41" s="442"/>
      <c r="Q41" s="442"/>
      <c r="R41" s="442"/>
      <c r="S41" s="442"/>
      <c r="T41" s="442"/>
      <c r="U41" s="442"/>
      <c r="V41" s="442"/>
      <c r="W41" s="442"/>
      <c r="X41" s="442"/>
      <c r="Y41" s="442"/>
      <c r="AA41" s="441"/>
      <c r="AB41" s="442"/>
      <c r="AC41" s="442"/>
      <c r="AD41" s="442"/>
      <c r="AE41" s="442"/>
      <c r="AF41" s="442"/>
      <c r="AG41" s="442"/>
      <c r="AH41" s="442"/>
      <c r="AI41" s="442"/>
      <c r="AJ41" s="442"/>
      <c r="AK41" s="442"/>
      <c r="AL41" s="442"/>
    </row>
    <row r="42" spans="1:40" x14ac:dyDescent="0.3">
      <c r="N42" s="441"/>
      <c r="O42" s="442"/>
      <c r="P42" s="442"/>
      <c r="Q42" s="442"/>
      <c r="R42" s="442"/>
      <c r="S42" s="442"/>
      <c r="T42" s="442"/>
      <c r="U42" s="442"/>
      <c r="V42" s="442"/>
      <c r="W42" s="442"/>
      <c r="X42" s="442"/>
      <c r="Y42" s="442"/>
      <c r="AA42" s="441"/>
      <c r="AB42" s="442"/>
      <c r="AC42" s="442"/>
      <c r="AD42" s="442"/>
      <c r="AE42" s="442"/>
      <c r="AF42" s="442"/>
      <c r="AG42" s="442"/>
      <c r="AH42" s="442"/>
      <c r="AI42" s="442"/>
      <c r="AJ42" s="442"/>
      <c r="AK42" s="442"/>
      <c r="AL42" s="442"/>
    </row>
    <row r="43" spans="1:40" x14ac:dyDescent="0.3">
      <c r="N43" s="430"/>
      <c r="Q43" s="441"/>
      <c r="R43" s="442"/>
      <c r="S43" s="442"/>
      <c r="T43" s="442"/>
      <c r="U43" s="442"/>
      <c r="V43" s="442"/>
      <c r="W43" s="442"/>
      <c r="X43" s="442"/>
      <c r="Y43" s="442"/>
      <c r="AA43" s="441"/>
      <c r="AB43" s="442"/>
      <c r="AC43" s="442"/>
      <c r="AD43" s="442"/>
      <c r="AE43" s="442"/>
      <c r="AF43" s="442"/>
      <c r="AG43" s="442"/>
      <c r="AH43" s="442"/>
      <c r="AI43" s="442"/>
      <c r="AJ43" s="442"/>
      <c r="AK43" s="442"/>
      <c r="AL43" s="442"/>
    </row>
    <row r="44" spans="1:40" x14ac:dyDescent="0.3">
      <c r="C44" s="399"/>
      <c r="D44" s="399"/>
      <c r="E44" s="358" t="s">
        <v>1129</v>
      </c>
      <c r="F44" s="358" t="s">
        <v>1130</v>
      </c>
      <c r="G44" s="358" t="s">
        <v>1131</v>
      </c>
      <c r="H44" s="358" t="s">
        <v>850</v>
      </c>
      <c r="I44" s="358" t="str">
        <f>C60</f>
        <v>Private car - ICE (central estimate)</v>
      </c>
      <c r="J44" s="476" t="str">
        <f>C61</f>
        <v>Ridesourcing - car - ICE (central estimate)</v>
      </c>
      <c r="M44" s="441"/>
      <c r="N44" s="442"/>
      <c r="O44" s="442"/>
      <c r="P44" s="442"/>
      <c r="Q44" s="442"/>
      <c r="R44" s="442"/>
      <c r="S44" s="358" t="s">
        <v>1130</v>
      </c>
      <c r="T44" s="358" t="s">
        <v>850</v>
      </c>
      <c r="V44" s="509" t="str">
        <f>Figure_2_GHG_per_pkm_General!B60</f>
        <v>Deadheading, % of total vkm (excluding commute)</v>
      </c>
      <c r="W44" s="442"/>
      <c r="X44" s="442"/>
      <c r="Y44" s="442"/>
      <c r="Z44" s="442"/>
      <c r="AA44" s="442"/>
      <c r="AB44" s="442"/>
      <c r="AC44" s="442"/>
      <c r="AD44" s="442"/>
      <c r="AE44" s="442"/>
      <c r="AF44" s="442"/>
      <c r="AG44" s="442"/>
      <c r="AI44" s="431"/>
      <c r="AN44" s="430"/>
    </row>
    <row r="45" spans="1:40" x14ac:dyDescent="0.3">
      <c r="A45" s="442" t="str">
        <f>'0_Total'!CY2</f>
        <v>Ridesourcing - Shared van - ICE</v>
      </c>
      <c r="B45" s="470"/>
      <c r="C45" s="358" t="str">
        <f>MID(A45,16,10)</f>
        <v>Shared van</v>
      </c>
      <c r="D45" s="358" t="str">
        <f>MID(A45,29,LEN(A45))</f>
        <v>ICE</v>
      </c>
      <c r="E45" s="357">
        <f ca="1">HLOOKUP($A45,'0_Total'!$D$2:$ED$117,ROW('0_Total'!$A$99)-ROW('0_Total'!$A$2)+1,FALSE)+
HLOOKUP($A45,'0_Total'!$D$2:$ED$117,ROW('0_Total'!$A$100)-ROW('0_Total'!$A$2)+1,FALSE)</f>
        <v>8.2327426990191821</v>
      </c>
      <c r="F45" s="508">
        <f>S45*(1-V45)</f>
        <v>54.502172759999979</v>
      </c>
      <c r="G45" s="357">
        <f>HLOOKUP($A45,'0_Total'!$D$2:$ED$117,ROW('0_Total'!$A$103)-ROW('0_Total'!$A$2)+1,FALSE)</f>
        <v>6.0044203845842832</v>
      </c>
      <c r="H45" s="508">
        <f>T45+S45*V45</f>
        <v>27.517026558369906</v>
      </c>
      <c r="I45" s="448">
        <f t="shared" ref="I45:I55" ca="1" si="0">I$60</f>
        <v>161.97203672281782</v>
      </c>
      <c r="J45" s="454">
        <f t="shared" ref="J45:J55" ca="1" si="1">J$61</f>
        <v>275.94612396656066</v>
      </c>
      <c r="K45" s="454">
        <f ca="1">K$62</f>
        <v>91.433521668933466</v>
      </c>
      <c r="M45" s="454"/>
      <c r="N45" s="442"/>
      <c r="O45" s="442">
        <f ca="1">SUM(E45:H45)</f>
        <v>96.256362401973348</v>
      </c>
      <c r="P45" s="442"/>
      <c r="Q45" s="442"/>
      <c r="R45" s="442"/>
      <c r="S45" s="357">
        <f>HLOOKUP($A45,'0_Total'!$D$2:$ED$117,ROW('0_Total'!$A$101)-ROW('0_Total'!$A$2)+1,FALSE)</f>
        <v>74.437592658688644</v>
      </c>
      <c r="T45" s="357">
        <f>HLOOKUP($A45,'0_Total'!$D$2:$ED$117,ROW('0_Total'!$A$102)-ROW('0_Total'!$A$2)+1,FALSE)</f>
        <v>7.581606659681249</v>
      </c>
      <c r="V45" s="510">
        <f>Tech_Spec_TNC!$P$42</f>
        <v>0.26781387181738364</v>
      </c>
      <c r="W45" s="442"/>
      <c r="X45" s="442"/>
      <c r="Y45" s="442"/>
      <c r="Z45" s="442"/>
      <c r="AA45" s="442"/>
      <c r="AB45" s="442"/>
      <c r="AC45" s="442"/>
      <c r="AD45" s="442"/>
      <c r="AE45" s="442"/>
      <c r="AF45" s="442"/>
      <c r="AG45" s="442"/>
      <c r="AI45" s="431"/>
      <c r="AN45" s="430"/>
    </row>
    <row r="46" spans="1:40" x14ac:dyDescent="0.3">
      <c r="A46" s="442" t="str">
        <f>'0_Total'!CZ2</f>
        <v>Ridesourcing - Shared van - HEV</v>
      </c>
      <c r="B46" s="470"/>
      <c r="C46" s="358"/>
      <c r="D46" s="358" t="str">
        <f>MID(A46,29,LEN(A46))</f>
        <v>HEV</v>
      </c>
      <c r="E46" s="357">
        <f ca="1">HLOOKUP($A46,'0_Total'!$D$2:$ED$117,ROW('0_Total'!$A$99)-ROW('0_Total'!$A$2)+1,FALSE)+
HLOOKUP($A46,'0_Total'!$D$2:$ED$117,ROW('0_Total'!$A$100)-ROW('0_Total'!$A$2)+1,FALSE)</f>
        <v>8.8750291793809168</v>
      </c>
      <c r="F46" s="508">
        <f t="shared" ref="F46:F51" si="2">S46*(1-V46)</f>
        <v>40.121333384301543</v>
      </c>
      <c r="G46" s="357">
        <f>HLOOKUP($A46,'0_Total'!$D$2:$ED$117,ROW('0_Total'!$A$103)-ROW('0_Total'!$A$2)+1,FALSE)</f>
        <v>6.131049061968139</v>
      </c>
      <c r="H46" s="508">
        <f t="shared" ref="H46:H51" si="3">T46+S46*V46</f>
        <v>20.256436402170308</v>
      </c>
      <c r="I46" s="448">
        <f t="shared" ca="1" si="0"/>
        <v>161.97203672281782</v>
      </c>
      <c r="J46" s="454">
        <f t="shared" ca="1" si="1"/>
        <v>275.94612396656066</v>
      </c>
      <c r="K46" s="454">
        <f t="shared" ref="K46:K55" ca="1" si="4">K$62</f>
        <v>91.433521668933466</v>
      </c>
      <c r="M46" s="454"/>
      <c r="N46" s="442"/>
      <c r="O46" s="442">
        <f t="shared" ref="O46:O55" ca="1" si="5">SUM(E46:H46)</f>
        <v>75.383848027820903</v>
      </c>
      <c r="P46" s="442"/>
      <c r="Q46" s="442"/>
      <c r="R46" s="442"/>
      <c r="S46" s="357">
        <f>HLOOKUP($A46,'0_Total'!$D$2:$ED$117,ROW('0_Total'!$A$101)-ROW('0_Total'!$A$2)+1,FALSE)</f>
        <v>54.796631402848405</v>
      </c>
      <c r="T46" s="357">
        <f>HLOOKUP($A46,'0_Total'!$D$2:$ED$117,ROW('0_Total'!$A$102)-ROW('0_Total'!$A$2)+1,FALSE)</f>
        <v>5.5811383836234487</v>
      </c>
      <c r="V46" s="509">
        <f>V45</f>
        <v>0.26781387181738364</v>
      </c>
      <c r="W46" s="442"/>
      <c r="X46" s="442"/>
      <c r="Y46" s="442"/>
      <c r="Z46" s="442"/>
      <c r="AA46" s="442"/>
      <c r="AB46" s="442"/>
      <c r="AC46" s="442"/>
      <c r="AD46" s="442"/>
      <c r="AE46" s="442"/>
      <c r="AF46" s="442"/>
      <c r="AG46" s="442"/>
      <c r="AI46" s="431"/>
      <c r="AN46" s="430"/>
    </row>
    <row r="47" spans="1:40" x14ac:dyDescent="0.3">
      <c r="A47" s="442" t="str">
        <f>'0_Total'!DA2</f>
        <v>Ridesourcing - Shared van - PHEV</v>
      </c>
      <c r="B47" s="470"/>
      <c r="C47" s="358"/>
      <c r="D47" s="358" t="str">
        <f>MID(A47,29,LEN(A47))</f>
        <v>PHEV</v>
      </c>
      <c r="E47" s="357">
        <f ca="1">HLOOKUP($A47,'0_Total'!$D$2:$ED$117,ROW('0_Total'!$A$99)-ROW('0_Total'!$A$2)+1,FALSE)+
HLOOKUP($A47,'0_Total'!$D$2:$ED$117,ROW('0_Total'!$A$100)-ROW('0_Total'!$A$2)+1,FALSE)</f>
        <v>9.3946577351906395</v>
      </c>
      <c r="F47" s="508">
        <f t="shared" si="2"/>
        <v>26.333977398351692</v>
      </c>
      <c r="G47" s="357">
        <f>HLOOKUP($A47,'0_Total'!$D$2:$ED$117,ROW('0_Total'!$A$103)-ROW('0_Total'!$A$2)+1,FALSE)</f>
        <v>6.2465668388137754</v>
      </c>
      <c r="H47" s="508">
        <f t="shared" si="3"/>
        <v>13.295483808487283</v>
      </c>
      <c r="I47" s="448">
        <f t="shared" ca="1" si="0"/>
        <v>161.97203672281782</v>
      </c>
      <c r="J47" s="454">
        <f t="shared" ca="1" si="1"/>
        <v>275.94612396656066</v>
      </c>
      <c r="K47" s="454">
        <f t="shared" ca="1" si="4"/>
        <v>91.433521668933466</v>
      </c>
      <c r="M47" s="454"/>
      <c r="N47" s="442"/>
      <c r="O47" s="442">
        <f t="shared" ca="1" si="5"/>
        <v>55.270685780843394</v>
      </c>
      <c r="P47" s="442"/>
      <c r="Q47" s="442"/>
      <c r="R47" s="442"/>
      <c r="S47" s="357">
        <f>HLOOKUP($A47,'0_Total'!$D$2:$ED$117,ROW('0_Total'!$A$101)-ROW('0_Total'!$A$2)+1,FALSE)</f>
        <v>35.966233700324452</v>
      </c>
      <c r="T47" s="357">
        <f>HLOOKUP($A47,'0_Total'!$D$2:$ED$117,ROW('0_Total'!$A$102)-ROW('0_Total'!$A$2)+1,FALSE)</f>
        <v>3.6632275065145272</v>
      </c>
      <c r="V47" s="509">
        <f>V46</f>
        <v>0.26781387181738364</v>
      </c>
      <c r="W47" s="442"/>
      <c r="X47" s="442"/>
      <c r="Y47" s="442"/>
      <c r="Z47" s="442"/>
      <c r="AA47" s="442"/>
      <c r="AB47" s="442"/>
      <c r="AC47" s="442"/>
      <c r="AD47" s="442"/>
      <c r="AE47" s="442"/>
      <c r="AF47" s="442"/>
      <c r="AG47" s="442"/>
      <c r="AI47" s="431"/>
      <c r="AN47" s="430"/>
    </row>
    <row r="48" spans="1:40" x14ac:dyDescent="0.3">
      <c r="A48" s="442" t="str">
        <f>'0_Total'!DB2</f>
        <v>Ridesourcing - Shared van - BEV</v>
      </c>
      <c r="B48" s="470"/>
      <c r="C48" s="358"/>
      <c r="D48" s="358" t="str">
        <f>MID(A48,29,LEN(A48))</f>
        <v>BEV</v>
      </c>
      <c r="E48" s="357">
        <f ca="1">HLOOKUP($A48,'0_Total'!$D$2:$ED$117,ROW('0_Total'!$A$99)-ROW('0_Total'!$A$2)+1,FALSE)+
HLOOKUP($A48,'0_Total'!$D$2:$ED$117,ROW('0_Total'!$A$100)-ROW('0_Total'!$A$2)+1,FALSE)</f>
        <v>12.556176126308568</v>
      </c>
      <c r="F48" s="508">
        <f t="shared" si="2"/>
        <v>5.7560282564697287</v>
      </c>
      <c r="G48" s="357">
        <f>HLOOKUP($A48,'0_Total'!$D$2:$ED$117,ROW('0_Total'!$A$103)-ROW('0_Total'!$A$2)+1,FALSE)</f>
        <v>5.8575417052096102</v>
      </c>
      <c r="H48" s="508">
        <f t="shared" si="3"/>
        <v>2.9061003329439599</v>
      </c>
      <c r="I48" s="448">
        <f t="shared" ca="1" si="0"/>
        <v>161.97203672281782</v>
      </c>
      <c r="J48" s="454">
        <f t="shared" ca="1" si="1"/>
        <v>275.94612396656066</v>
      </c>
      <c r="K48" s="454">
        <f t="shared" ca="1" si="4"/>
        <v>91.433521668933466</v>
      </c>
      <c r="M48" s="454"/>
      <c r="N48" s="442"/>
      <c r="O48" s="442">
        <f t="shared" ca="1" si="5"/>
        <v>27.075846420931867</v>
      </c>
      <c r="P48" s="442"/>
      <c r="Q48" s="442"/>
      <c r="R48" s="442"/>
      <c r="S48" s="357">
        <f>HLOOKUP($A48,'0_Total'!$D$2:$ED$117,ROW('0_Total'!$A$101)-ROW('0_Total'!$A$2)+1,FALSE)</f>
        <v>7.8614276273670454</v>
      </c>
      <c r="T48" s="357">
        <f>HLOOKUP($A48,'0_Total'!$D$2:$ED$117,ROW('0_Total'!$A$102)-ROW('0_Total'!$A$2)+1,FALSE)</f>
        <v>0.80070096204664354</v>
      </c>
      <c r="V48" s="509">
        <f>V47</f>
        <v>0.26781387181738364</v>
      </c>
      <c r="W48" s="442"/>
      <c r="X48" s="442"/>
      <c r="Y48" s="442"/>
      <c r="Z48" s="442"/>
      <c r="AA48" s="442"/>
      <c r="AB48" s="442"/>
      <c r="AC48" s="442"/>
      <c r="AD48" s="442"/>
      <c r="AE48" s="442"/>
      <c r="AF48" s="442"/>
      <c r="AG48" s="442"/>
      <c r="AI48" s="431"/>
      <c r="AN48" s="430"/>
    </row>
    <row r="49" spans="1:40" x14ac:dyDescent="0.3">
      <c r="A49" s="442" t="str">
        <f>'0_Total'!DC2</f>
        <v>Ridesourcing - Shared van - BEV (two packs)</v>
      </c>
      <c r="B49" s="470"/>
      <c r="C49" s="358"/>
      <c r="D49" s="358" t="s">
        <v>1452</v>
      </c>
      <c r="E49" s="357">
        <f ca="1">HLOOKUP($A49,'0_Total'!$D$2:$ED$117,ROW('0_Total'!$A$99)-ROW('0_Total'!$A$2)+1,FALSE)+
HLOOKUP($A49,'0_Total'!$D$2:$ED$117,ROW('0_Total'!$A$100)-ROW('0_Total'!$A$2)+1,FALSE)</f>
        <v>18.419315044533644</v>
      </c>
      <c r="F49" s="508">
        <f t="shared" si="2"/>
        <v>5.7560282564697287</v>
      </c>
      <c r="G49" s="357">
        <f>HLOOKUP($A49,'0_Total'!$D$2:$ED$117,ROW('0_Total'!$A$103)-ROW('0_Total'!$A$2)+1,FALSE)</f>
        <v>5.8575417052096102</v>
      </c>
      <c r="H49" s="508">
        <f t="shared" si="3"/>
        <v>2.9061003329439599</v>
      </c>
      <c r="I49" s="448">
        <f t="shared" ca="1" si="0"/>
        <v>161.97203672281782</v>
      </c>
      <c r="J49" s="454">
        <f t="shared" ca="1" si="1"/>
        <v>275.94612396656066</v>
      </c>
      <c r="K49" s="454">
        <f t="shared" ca="1" si="4"/>
        <v>91.433521668933466</v>
      </c>
      <c r="M49" s="454"/>
      <c r="N49" s="442"/>
      <c r="O49" s="442">
        <f t="shared" ca="1" si="5"/>
        <v>32.938985339156943</v>
      </c>
      <c r="P49" s="442"/>
      <c r="Q49" s="442"/>
      <c r="R49" s="442"/>
      <c r="S49" s="357">
        <f>HLOOKUP($A49,'0_Total'!$D$2:$ED$117,ROW('0_Total'!$A$101)-ROW('0_Total'!$A$2)+1,FALSE)</f>
        <v>7.8614276273670454</v>
      </c>
      <c r="T49" s="357">
        <f>HLOOKUP($A49,'0_Total'!$D$2:$ED$117,ROW('0_Total'!$A$102)-ROW('0_Total'!$A$2)+1,FALSE)</f>
        <v>0.80070096204664354</v>
      </c>
      <c r="V49" s="509">
        <f>V48</f>
        <v>0.26781387181738364</v>
      </c>
      <c r="W49" s="442"/>
      <c r="X49" s="442"/>
      <c r="Y49" s="442"/>
      <c r="Z49" s="442"/>
      <c r="AA49" s="442"/>
      <c r="AB49" s="442"/>
      <c r="AC49" s="442"/>
      <c r="AD49" s="442"/>
      <c r="AE49" s="442"/>
      <c r="AF49" s="442"/>
      <c r="AG49" s="442"/>
      <c r="AI49" s="431"/>
      <c r="AN49" s="430"/>
    </row>
    <row r="50" spans="1:40" x14ac:dyDescent="0.3">
      <c r="A50" s="442" t="str">
        <f>'0_Total'!DD2</f>
        <v>Ridesourcing - Shared van - FCEV</v>
      </c>
      <c r="B50" s="470"/>
      <c r="C50" s="358"/>
      <c r="D50" s="358" t="str">
        <f>MID(A50,29,LEN(A50))</f>
        <v>FCEV</v>
      </c>
      <c r="E50" s="357">
        <f ca="1">HLOOKUP($A50,'0_Total'!$D$2:$ED$117,ROW('0_Total'!$A$99)-ROW('0_Total'!$A$2)+1,FALSE)+
HLOOKUP($A50,'0_Total'!$D$2:$ED$117,ROW('0_Total'!$A$100)-ROW('0_Total'!$A$2)+1,FALSE)</f>
        <v>11.807278979708432</v>
      </c>
      <c r="F50" s="508">
        <f t="shared" si="2"/>
        <v>31.493973498692483</v>
      </c>
      <c r="G50" s="357">
        <f>HLOOKUP($A50,'0_Total'!$D$2:$ED$117,ROW('0_Total'!$A$103)-ROW('0_Total'!$A$2)+1,FALSE)</f>
        <v>6.2965092572230317</v>
      </c>
      <c r="H50" s="508">
        <f t="shared" si="3"/>
        <v>15.900659759167359</v>
      </c>
      <c r="I50" s="448">
        <f t="shared" ca="1" si="0"/>
        <v>161.97203672281782</v>
      </c>
      <c r="J50" s="454">
        <f t="shared" ca="1" si="1"/>
        <v>275.94612396656066</v>
      </c>
      <c r="K50" s="454">
        <f t="shared" ca="1" si="4"/>
        <v>91.433521668933466</v>
      </c>
      <c r="M50" s="454"/>
      <c r="N50" s="442"/>
      <c r="O50" s="442">
        <f t="shared" ca="1" si="5"/>
        <v>65.498421494791302</v>
      </c>
      <c r="P50" s="442"/>
      <c r="Q50" s="442"/>
      <c r="R50" s="442"/>
      <c r="S50" s="357">
        <f>HLOOKUP($A50,'0_Total'!$D$2:$ED$117,ROW('0_Total'!$A$101)-ROW('0_Total'!$A$2)+1,FALSE)</f>
        <v>43.013616738225743</v>
      </c>
      <c r="T50" s="357">
        <f>HLOOKUP($A50,'0_Total'!$D$2:$ED$117,ROW('0_Total'!$A$102)-ROW('0_Total'!$A$2)+1,FALSE)</f>
        <v>4.3810165196341035</v>
      </c>
      <c r="V50" s="509">
        <f>V49</f>
        <v>0.26781387181738364</v>
      </c>
      <c r="W50" s="442"/>
      <c r="X50" s="442"/>
      <c r="Y50" s="442"/>
      <c r="Z50" s="442"/>
      <c r="AA50" s="442"/>
      <c r="AB50" s="442"/>
      <c r="AC50" s="442"/>
      <c r="AD50" s="442"/>
      <c r="AE50" s="442"/>
      <c r="AF50" s="442"/>
      <c r="AG50" s="442"/>
      <c r="AI50" s="431"/>
      <c r="AN50" s="430"/>
    </row>
    <row r="51" spans="1:40" x14ac:dyDescent="0.3">
      <c r="A51" s="442" t="str">
        <f>'0_Total'!DE2</f>
        <v>Ridesourcing - Shared minibus - ICE</v>
      </c>
      <c r="B51" s="470"/>
      <c r="C51" s="358" t="str">
        <f>MID(A51,16,14)</f>
        <v>Shared minibus</v>
      </c>
      <c r="D51" s="358" t="str">
        <f>MID(A51,33,LEN(A51))</f>
        <v>ICE</v>
      </c>
      <c r="E51" s="357">
        <f ca="1">HLOOKUP($A51,'0_Total'!$D$2:$ED$117,ROW('0_Total'!$A$99)-ROW('0_Total'!$A$2)+1,FALSE)+
HLOOKUP($A51,'0_Total'!$D$2:$ED$117,ROW('0_Total'!$A$100)-ROW('0_Total'!$A$2)+1,FALSE)</f>
        <v>6.5095024467678364</v>
      </c>
      <c r="F51" s="508">
        <f t="shared" si="2"/>
        <v>41.425616007555327</v>
      </c>
      <c r="G51" s="357">
        <f>HLOOKUP($A51,'0_Total'!$D$2:$ED$117,ROW('0_Total'!$A$103)-ROW('0_Total'!$A$2)+1,FALSE)</f>
        <v>3.5717168242525923</v>
      </c>
      <c r="H51" s="508">
        <f t="shared" si="3"/>
        <v>20.914941884910164</v>
      </c>
      <c r="I51" s="448">
        <f t="shared" ca="1" si="0"/>
        <v>161.97203672281782</v>
      </c>
      <c r="J51" s="454">
        <f t="shared" ca="1" si="1"/>
        <v>275.94612396656066</v>
      </c>
      <c r="K51" s="454">
        <f t="shared" ca="1" si="4"/>
        <v>91.433521668933466</v>
      </c>
      <c r="M51" s="454"/>
      <c r="N51" s="442"/>
      <c r="O51" s="442">
        <f t="shared" ca="1" si="5"/>
        <v>72.421777163485913</v>
      </c>
      <c r="P51" s="442"/>
      <c r="Q51" s="442"/>
      <c r="R51" s="442"/>
      <c r="S51" s="357">
        <f>HLOOKUP($A51,'0_Total'!$D$2:$ED$117,ROW('0_Total'!$A$101)-ROW('0_Total'!$A$2)+1,FALSE)</f>
        <v>56.577985314170363</v>
      </c>
      <c r="T51" s="357">
        <f>HLOOKUP($A51,'0_Total'!$D$2:$ED$117,ROW('0_Total'!$A$102)-ROW('0_Total'!$A$2)+1,FALSE)</f>
        <v>5.7625725782951287</v>
      </c>
      <c r="V51" s="510">
        <f>Tech_Spec_TNC!$P$50</f>
        <v>0.26781387181738364</v>
      </c>
      <c r="W51" s="442"/>
      <c r="X51" s="442"/>
      <c r="Y51" s="442"/>
      <c r="Z51" s="442"/>
      <c r="AA51" s="442"/>
      <c r="AB51" s="442"/>
      <c r="AC51" s="442"/>
      <c r="AD51" s="442"/>
      <c r="AE51" s="442"/>
      <c r="AF51" s="442"/>
      <c r="AG51" s="442"/>
      <c r="AI51" s="431"/>
      <c r="AN51" s="430"/>
    </row>
    <row r="52" spans="1:40" x14ac:dyDescent="0.3">
      <c r="A52" s="442" t="str">
        <f>'0_Total'!DF2</f>
        <v>Ridesourcing - Shared minibus - HEV</v>
      </c>
      <c r="B52" s="470"/>
      <c r="C52" s="358"/>
      <c r="D52" s="358" t="str">
        <f>MID(A52,33,LEN(A52))</f>
        <v>HEV</v>
      </c>
      <c r="E52" s="357">
        <f ca="1">HLOOKUP($A52,'0_Total'!$D$2:$ED$117,ROW('0_Total'!$A$99)-ROW('0_Total'!$A$2)+1,FALSE)+
HLOOKUP($A52,'0_Total'!$D$2:$ED$117,ROW('0_Total'!$A$100)-ROW('0_Total'!$A$2)+1,FALSE)</f>
        <v>6.4396033526031733</v>
      </c>
      <c r="F52" s="508">
        <f>S52*(1-V52)</f>
        <v>30.49513196121589</v>
      </c>
      <c r="G52" s="357">
        <f>HLOOKUP($A52,'0_Total'!$D$2:$ED$117,ROW('0_Total'!$A$103)-ROW('0_Total'!$A$2)+1,FALSE)</f>
        <v>3.5994059437926644</v>
      </c>
      <c r="H52" s="508">
        <f>T52+S52*V52</f>
        <v>15.396365201308591</v>
      </c>
      <c r="I52" s="448">
        <f t="shared" ca="1" si="0"/>
        <v>161.97203672281782</v>
      </c>
      <c r="J52" s="454">
        <f t="shared" ca="1" si="1"/>
        <v>275.94612396656066</v>
      </c>
      <c r="K52" s="454">
        <f t="shared" ca="1" si="4"/>
        <v>91.433521668933466</v>
      </c>
      <c r="M52" s="454"/>
      <c r="N52" s="442"/>
      <c r="O52" s="442">
        <f t="shared" ca="1" si="5"/>
        <v>55.930506458920313</v>
      </c>
      <c r="P52" s="442"/>
      <c r="Q52" s="442"/>
      <c r="R52" s="442"/>
      <c r="S52" s="357">
        <f>HLOOKUP($A52,'0_Total'!$D$2:$ED$117,ROW('0_Total'!$A$101)-ROW('0_Total'!$A$2)+1,FALSE)</f>
        <v>41.649425996240709</v>
      </c>
      <c r="T52" s="357">
        <f>HLOOKUP($A52,'0_Total'!$D$2:$ED$117,ROW('0_Total'!$A$102)-ROW('0_Total'!$A$2)+1,FALSE)</f>
        <v>4.2420711662837762</v>
      </c>
      <c r="V52" s="509">
        <f>V51</f>
        <v>0.26781387181738364</v>
      </c>
      <c r="W52" s="442"/>
      <c r="X52" s="442"/>
      <c r="Y52" s="442"/>
      <c r="Z52" s="442"/>
      <c r="AA52" s="442"/>
      <c r="AB52" s="442"/>
      <c r="AC52" s="442"/>
      <c r="AD52" s="442"/>
      <c r="AE52" s="442"/>
      <c r="AF52" s="442"/>
      <c r="AG52" s="442"/>
      <c r="AI52" s="431"/>
      <c r="AN52" s="430"/>
    </row>
    <row r="53" spans="1:40" x14ac:dyDescent="0.3">
      <c r="A53" s="442" t="str">
        <f>'0_Total'!DH2</f>
        <v>Ridesourcing - Shared minibus - BEV</v>
      </c>
      <c r="B53" s="470"/>
      <c r="C53" s="358"/>
      <c r="D53" s="358" t="str">
        <f>MID(A53,33,LEN(A53))</f>
        <v>BEV</v>
      </c>
      <c r="E53" s="357">
        <f ca="1">HLOOKUP($A53,'0_Total'!$D$2:$ED$117,ROW('0_Total'!$A$99)-ROW('0_Total'!$A$2)+1,FALSE)+
HLOOKUP($A53,'0_Total'!$D$2:$ED$117,ROW('0_Total'!$A$100)-ROW('0_Total'!$A$2)+1,FALSE)</f>
        <v>12.140572388163051</v>
      </c>
      <c r="F53" s="508">
        <f>S53*(1-V53)</f>
        <v>5.4947320083020861</v>
      </c>
      <c r="G53" s="357">
        <f>HLOOKUP($A53,'0_Total'!$D$2:$ED$117,ROW('0_Total'!$A$103)-ROW('0_Total'!$A$2)+1,FALSE)</f>
        <v>3.30949292679554</v>
      </c>
      <c r="H53" s="508">
        <f>T53+S53*V53</f>
        <v>2.0098242743206725</v>
      </c>
      <c r="I53" s="448">
        <f t="shared" ca="1" si="0"/>
        <v>161.97203672281782</v>
      </c>
      <c r="J53" s="454">
        <f t="shared" ca="1" si="1"/>
        <v>275.94612396656066</v>
      </c>
      <c r="K53" s="454">
        <f t="shared" ca="1" si="4"/>
        <v>91.433521668933466</v>
      </c>
      <c r="M53" s="454"/>
      <c r="N53" s="442"/>
      <c r="O53" s="442">
        <f t="shared" ca="1" si="5"/>
        <v>22.954621597581347</v>
      </c>
      <c r="P53" s="442"/>
      <c r="Q53" s="442"/>
      <c r="R53" s="442"/>
      <c r="S53" s="357">
        <f>HLOOKUP($A53,'0_Total'!$D$2:$ED$117,ROW('0_Total'!$A$101)-ROW('0_Total'!$A$2)+1,FALSE)</f>
        <v>7.504556282622759</v>
      </c>
      <c r="T53" s="357">
        <f>HLOOKUP($A53,'0_Total'!$D$2:$ED$117,ROW('0_Total'!$A$102)-ROW('0_Total'!$A$2)+1,FALSE)</f>
        <v>0</v>
      </c>
      <c r="V53" s="509">
        <f t="shared" ref="V53:V55" si="6">V52</f>
        <v>0.26781387181738364</v>
      </c>
      <c r="W53" s="442"/>
      <c r="X53" s="442"/>
      <c r="Y53" s="442"/>
      <c r="Z53" s="442"/>
      <c r="AA53" s="442"/>
      <c r="AB53" s="442"/>
      <c r="AC53" s="442"/>
      <c r="AD53" s="442"/>
      <c r="AE53" s="442"/>
      <c r="AF53" s="442"/>
      <c r="AG53" s="442"/>
      <c r="AI53" s="431"/>
      <c r="AN53" s="430"/>
    </row>
    <row r="54" spans="1:40" x14ac:dyDescent="0.3">
      <c r="A54" s="442" t="str">
        <f>'0_Total'!DI2</f>
        <v>Ridesourcing - Shared minibus - BEV (two packs)</v>
      </c>
      <c r="B54" s="470"/>
      <c r="C54" s="358"/>
      <c r="D54" s="358" t="s">
        <v>1452</v>
      </c>
      <c r="E54" s="357">
        <f ca="1">HLOOKUP($A54,'0_Total'!$D$2:$ED$117,ROW('0_Total'!$A$99)-ROW('0_Total'!$A$2)+1,FALSE)+
HLOOKUP($A54,'0_Total'!$D$2:$ED$117,ROW('0_Total'!$A$100)-ROW('0_Total'!$A$2)+1,FALSE)</f>
        <v>17.737269562600016</v>
      </c>
      <c r="F54" s="508">
        <f>S54*(1-V54)</f>
        <v>5.4947320083020861</v>
      </c>
      <c r="G54" s="357">
        <f>HLOOKUP($A54,'0_Total'!$D$2:$ED$117,ROW('0_Total'!$A$103)-ROW('0_Total'!$A$2)+1,FALSE)</f>
        <v>3.30949292679554</v>
      </c>
      <c r="H54" s="508">
        <f>T54+S54*V54</f>
        <v>2.0098242743206725</v>
      </c>
      <c r="I54" s="448">
        <f t="shared" ca="1" si="0"/>
        <v>161.97203672281782</v>
      </c>
      <c r="J54" s="454">
        <f t="shared" ca="1" si="1"/>
        <v>275.94612396656066</v>
      </c>
      <c r="K54" s="454">
        <f t="shared" ca="1" si="4"/>
        <v>91.433521668933466</v>
      </c>
      <c r="M54" s="454"/>
      <c r="N54" s="442"/>
      <c r="O54" s="442">
        <f t="shared" ca="1" si="5"/>
        <v>28.551318772018313</v>
      </c>
      <c r="P54" s="442"/>
      <c r="Q54" s="442"/>
      <c r="R54" s="442"/>
      <c r="S54" s="357">
        <f>HLOOKUP($A54,'0_Total'!$D$2:$ED$117,ROW('0_Total'!$A$101)-ROW('0_Total'!$A$2)+1,FALSE)</f>
        <v>7.504556282622759</v>
      </c>
      <c r="T54" s="357">
        <f>HLOOKUP($A54,'0_Total'!$D$2:$ED$117,ROW('0_Total'!$A$102)-ROW('0_Total'!$A$2)+1,FALSE)</f>
        <v>0</v>
      </c>
      <c r="V54" s="509">
        <f t="shared" si="6"/>
        <v>0.26781387181738364</v>
      </c>
      <c r="W54" s="442"/>
      <c r="X54" s="442"/>
      <c r="Y54" s="442"/>
      <c r="Z54" s="442"/>
      <c r="AA54" s="442"/>
      <c r="AB54" s="442"/>
      <c r="AC54" s="442"/>
      <c r="AD54" s="442"/>
      <c r="AE54" s="442"/>
      <c r="AF54" s="442"/>
      <c r="AG54" s="442"/>
      <c r="AI54" s="431"/>
      <c r="AN54" s="430"/>
    </row>
    <row r="55" spans="1:40" x14ac:dyDescent="0.3">
      <c r="A55" s="442" t="str">
        <f>'0_Total'!DJ2</f>
        <v>Ridesourcing - Shared minibus - FCEV</v>
      </c>
      <c r="B55" s="470"/>
      <c r="C55" s="358"/>
      <c r="D55" s="358" t="str">
        <f>MID(A55,33,LEN(A55))</f>
        <v>FCEV</v>
      </c>
      <c r="E55" s="357">
        <f ca="1">HLOOKUP($A55,'0_Total'!$D$2:$ED$117,ROW('0_Total'!$A$99)-ROW('0_Total'!$A$2)+1,FALSE)+
HLOOKUP($A55,'0_Total'!$D$2:$ED$117,ROW('0_Total'!$A$100)-ROW('0_Total'!$A$2)+1,FALSE)</f>
        <v>9.9131231849150012</v>
      </c>
      <c r="F55" s="508">
        <f>S55*(1-V55)</f>
        <v>25.693605071912746</v>
      </c>
      <c r="G55" s="357">
        <f>HLOOKUP($A55,'0_Total'!$D$2:$ED$117,ROW('0_Total'!$A$103)-ROW('0_Total'!$A$2)+1,FALSE)</f>
        <v>3.5010144880862284</v>
      </c>
      <c r="H55" s="508">
        <f>T55+S55*V55</f>
        <v>9.3980254342369705</v>
      </c>
      <c r="I55" s="448">
        <f t="shared" ca="1" si="0"/>
        <v>161.97203672281782</v>
      </c>
      <c r="J55" s="454">
        <f t="shared" ca="1" si="1"/>
        <v>275.94612396656066</v>
      </c>
      <c r="K55" s="454">
        <f t="shared" ca="1" si="4"/>
        <v>91.433521668933466</v>
      </c>
      <c r="M55" s="454"/>
      <c r="N55" s="442"/>
      <c r="O55" s="442">
        <f t="shared" ca="1" si="5"/>
        <v>48.505768179150948</v>
      </c>
      <c r="P55" s="442"/>
      <c r="Q55" s="442"/>
      <c r="R55" s="442"/>
      <c r="S55" s="357">
        <f>HLOOKUP($A55,'0_Total'!$D$2:$ED$117,ROW('0_Total'!$A$101)-ROW('0_Total'!$A$2)+1,FALSE)</f>
        <v>35.09163050614972</v>
      </c>
      <c r="T55" s="357">
        <f>HLOOKUP($A55,'0_Total'!$D$2:$ED$117,ROW('0_Total'!$A$102)-ROW('0_Total'!$A$2)+1,FALSE)</f>
        <v>0</v>
      </c>
      <c r="V55" s="509">
        <f t="shared" si="6"/>
        <v>0.26781387181738364</v>
      </c>
      <c r="W55" s="442"/>
      <c r="X55" s="442"/>
      <c r="Y55" s="442"/>
      <c r="Z55" s="442"/>
      <c r="AA55" s="442"/>
      <c r="AB55" s="442"/>
      <c r="AC55" s="442"/>
      <c r="AD55" s="442"/>
      <c r="AE55" s="442"/>
      <c r="AF55" s="442"/>
      <c r="AG55" s="442"/>
      <c r="AI55" s="431"/>
      <c r="AN55" s="430"/>
    </row>
    <row r="56" spans="1:40" hidden="1" x14ac:dyDescent="0.3">
      <c r="A56" s="442"/>
      <c r="B56" s="470"/>
      <c r="C56" s="358"/>
      <c r="D56" s="358"/>
      <c r="E56" s="357"/>
      <c r="F56" s="508"/>
      <c r="G56" s="357"/>
      <c r="H56" s="508"/>
      <c r="I56" s="448"/>
      <c r="J56" s="454"/>
      <c r="M56" s="454"/>
      <c r="N56" s="442"/>
      <c r="O56" s="442"/>
      <c r="P56" s="442"/>
      <c r="Q56" s="442"/>
      <c r="R56" s="442"/>
      <c r="S56" s="357"/>
      <c r="T56" s="357"/>
      <c r="V56" s="510"/>
      <c r="W56" s="442"/>
      <c r="X56" s="442"/>
      <c r="Y56" s="442"/>
      <c r="Z56" s="442"/>
      <c r="AA56" s="442"/>
      <c r="AB56" s="442"/>
      <c r="AC56" s="442"/>
      <c r="AD56" s="442"/>
      <c r="AE56" s="442"/>
      <c r="AF56" s="442"/>
      <c r="AG56" s="442"/>
      <c r="AI56" s="431"/>
      <c r="AN56" s="430"/>
    </row>
    <row r="57" spans="1:40" hidden="1" x14ac:dyDescent="0.3">
      <c r="A57" s="442"/>
      <c r="B57" s="470"/>
      <c r="C57" s="358"/>
      <c r="D57" s="358"/>
      <c r="E57" s="357"/>
      <c r="F57" s="508"/>
      <c r="G57" s="357"/>
      <c r="H57" s="508"/>
      <c r="I57" s="448"/>
      <c r="J57" s="454"/>
      <c r="M57" s="454"/>
      <c r="N57" s="442"/>
      <c r="O57" s="442"/>
      <c r="P57" s="442"/>
      <c r="Q57" s="442"/>
      <c r="R57" s="442"/>
      <c r="S57" s="357"/>
      <c r="T57" s="357"/>
      <c r="V57" s="509"/>
      <c r="W57" s="442"/>
      <c r="X57" s="442"/>
      <c r="Y57" s="442"/>
      <c r="Z57" s="442"/>
      <c r="AA57" s="442"/>
      <c r="AB57" s="442"/>
      <c r="AC57" s="442"/>
      <c r="AD57" s="442"/>
      <c r="AE57" s="442"/>
      <c r="AF57" s="442"/>
      <c r="AG57" s="442"/>
      <c r="AI57" s="431"/>
      <c r="AN57" s="430"/>
    </row>
    <row r="58" spans="1:40" hidden="1" x14ac:dyDescent="0.3">
      <c r="A58" s="442"/>
      <c r="B58" s="470"/>
      <c r="C58" s="358"/>
      <c r="D58" s="358"/>
      <c r="E58" s="357"/>
      <c r="F58" s="508"/>
      <c r="G58" s="357"/>
      <c r="H58" s="508"/>
      <c r="I58" s="448"/>
      <c r="J58" s="454"/>
      <c r="M58" s="454"/>
      <c r="N58" s="442"/>
      <c r="O58" s="442"/>
      <c r="P58" s="442"/>
      <c r="Q58" s="442"/>
      <c r="R58" s="442"/>
      <c r="S58" s="357"/>
      <c r="T58" s="357"/>
      <c r="V58" s="509"/>
      <c r="W58" s="442"/>
      <c r="X58" s="442"/>
      <c r="Y58" s="442"/>
      <c r="Z58" s="442"/>
      <c r="AA58" s="442"/>
      <c r="AB58" s="442"/>
      <c r="AC58" s="442"/>
      <c r="AD58" s="442"/>
      <c r="AE58" s="442"/>
      <c r="AF58" s="442"/>
      <c r="AG58" s="442"/>
      <c r="AI58" s="431"/>
      <c r="AN58" s="430"/>
    </row>
    <row r="59" spans="1:40" x14ac:dyDescent="0.3">
      <c r="C59" s="358"/>
      <c r="D59" s="358"/>
      <c r="E59" s="357"/>
      <c r="F59" s="357"/>
      <c r="G59" s="357"/>
      <c r="H59" s="357"/>
      <c r="I59" s="448"/>
      <c r="M59" s="454"/>
      <c r="N59" s="442"/>
      <c r="O59" s="442"/>
      <c r="P59" s="442"/>
      <c r="Q59" s="442"/>
      <c r="R59" s="442"/>
      <c r="S59" s="442"/>
      <c r="T59" s="442"/>
      <c r="V59" s="441"/>
      <c r="W59" s="442"/>
      <c r="X59" s="442"/>
      <c r="Y59" s="442"/>
      <c r="Z59" s="442"/>
      <c r="AA59" s="442"/>
      <c r="AB59" s="442"/>
      <c r="AC59" s="442"/>
      <c r="AD59" s="442"/>
      <c r="AE59" s="442"/>
      <c r="AF59" s="442"/>
      <c r="AG59" s="442"/>
      <c r="AI59" s="431"/>
      <c r="AN59" s="430"/>
    </row>
    <row r="60" spans="1:40" x14ac:dyDescent="0.3">
      <c r="A60" s="430" t="str">
        <f>'0_Total'!AO2</f>
        <v>Private car - ICE</v>
      </c>
      <c r="C60" s="358" t="str">
        <f>A60&amp;" (central estimate)"</f>
        <v>Private car - ICE (central estimate)</v>
      </c>
      <c r="D60" s="358"/>
      <c r="E60" s="357"/>
      <c r="F60" s="357"/>
      <c r="G60" s="357"/>
      <c r="H60" s="357"/>
      <c r="I60" s="444">
        <f ca="1">HLOOKUP($A60,'0_Total'!$D$2:$ED$117,ROW('0_Total'!$A$98)-ROW('0_Total'!$A$2)+1,FALSE)</f>
        <v>161.97203672281782</v>
      </c>
      <c r="N60" s="442"/>
      <c r="O60" s="442"/>
      <c r="P60" s="442"/>
      <c r="Q60" s="442"/>
      <c r="R60" s="442"/>
      <c r="S60" s="442"/>
      <c r="T60" s="442"/>
      <c r="V60" s="441"/>
      <c r="W60" s="442"/>
      <c r="X60" s="442"/>
      <c r="Y60" s="442"/>
      <c r="Z60" s="442"/>
      <c r="AA60" s="442"/>
      <c r="AB60" s="442"/>
      <c r="AC60" s="442"/>
      <c r="AD60" s="442"/>
      <c r="AE60" s="442"/>
      <c r="AF60" s="442"/>
      <c r="AG60" s="442"/>
      <c r="AI60" s="431"/>
      <c r="AN60" s="430"/>
    </row>
    <row r="61" spans="1:40" x14ac:dyDescent="0.3">
      <c r="A61" s="430" t="str">
        <f>'0_Total'!BI2</f>
        <v>Ridesourcing - car - ICE</v>
      </c>
      <c r="C61" s="358" t="str">
        <f>A61&amp;" (central estimate)"</f>
        <v>Ridesourcing - car - ICE (central estimate)</v>
      </c>
      <c r="D61" s="358"/>
      <c r="E61" s="357"/>
      <c r="F61" s="357"/>
      <c r="G61" s="357"/>
      <c r="H61" s="448"/>
      <c r="I61" s="449"/>
      <c r="J61" s="522">
        <f ca="1">HLOOKUP($A61,'0_Total'!$D$2:$ED$117,ROW('0_Total'!$A$98)-ROW('0_Total'!$A$2)+1,FALSE)</f>
        <v>275.94612396656066</v>
      </c>
      <c r="K61" s="442"/>
      <c r="L61" s="442"/>
      <c r="M61" s="442"/>
      <c r="N61" s="442"/>
      <c r="O61" s="442"/>
      <c r="P61" s="442"/>
      <c r="Q61" s="442"/>
      <c r="R61" s="442"/>
      <c r="S61" s="442"/>
      <c r="T61" s="442"/>
      <c r="V61" s="441"/>
      <c r="W61" s="442"/>
      <c r="X61" s="442"/>
      <c r="Y61" s="442"/>
      <c r="Z61" s="442"/>
      <c r="AA61" s="442"/>
      <c r="AB61" s="442"/>
      <c r="AC61" s="442"/>
      <c r="AD61" s="442"/>
      <c r="AE61" s="442"/>
      <c r="AF61" s="442"/>
      <c r="AG61" s="442"/>
      <c r="AI61" s="431"/>
      <c r="AN61" s="430"/>
    </row>
    <row r="62" spans="1:40" x14ac:dyDescent="0.3">
      <c r="A62" s="430" t="str">
        <f>'0_Total'!DQ2</f>
        <v>Bus - ICE</v>
      </c>
      <c r="B62" s="358"/>
      <c r="C62" s="358" t="str">
        <f>A62&amp;" (central estimate)"</f>
        <v>Bus - ICE (central estimate)</v>
      </c>
      <c r="D62" s="358"/>
      <c r="E62" s="357"/>
      <c r="F62" s="357"/>
      <c r="G62" s="357"/>
      <c r="H62" s="448"/>
      <c r="I62" s="449"/>
      <c r="K62" s="522">
        <f ca="1">HLOOKUP($A62,'0_Total'!$D$2:$ED$117,ROW('0_Total'!$A$98)-ROW('0_Total'!$A$2)+1,FALSE)</f>
        <v>91.433521668933466</v>
      </c>
      <c r="L62" s="442"/>
      <c r="M62" s="442"/>
      <c r="N62" s="442"/>
      <c r="O62" s="442"/>
      <c r="P62" s="442"/>
      <c r="Q62" s="442"/>
      <c r="R62" s="442"/>
      <c r="S62" s="442"/>
      <c r="T62" s="442"/>
      <c r="V62" s="441"/>
      <c r="W62" s="442"/>
      <c r="X62" s="442"/>
      <c r="Y62" s="442"/>
      <c r="Z62" s="442"/>
      <c r="AA62" s="442"/>
      <c r="AB62" s="442"/>
      <c r="AC62" s="442"/>
      <c r="AD62" s="442"/>
      <c r="AE62" s="442"/>
      <c r="AF62" s="442"/>
      <c r="AG62" s="442"/>
      <c r="AI62" s="431"/>
      <c r="AN62" s="430"/>
    </row>
    <row r="63" spans="1:40" x14ac:dyDescent="0.3">
      <c r="B63" s="358"/>
      <c r="C63" s="357"/>
      <c r="D63" s="357"/>
      <c r="E63" s="357"/>
      <c r="F63" s="357"/>
      <c r="G63" s="357"/>
      <c r="H63" s="448"/>
      <c r="I63" s="449"/>
      <c r="J63" s="454"/>
      <c r="K63" s="442"/>
      <c r="L63" s="442"/>
      <c r="M63" s="442"/>
      <c r="N63" s="442"/>
      <c r="O63" s="442"/>
      <c r="P63" s="442"/>
      <c r="Q63" s="442"/>
      <c r="R63" s="442"/>
      <c r="S63" s="442"/>
      <c r="T63" s="442"/>
      <c r="V63" s="441"/>
      <c r="W63" s="442"/>
      <c r="X63" s="442"/>
      <c r="Y63" s="442"/>
      <c r="Z63" s="442"/>
      <c r="AA63" s="442"/>
      <c r="AB63" s="442"/>
      <c r="AC63" s="442"/>
      <c r="AD63" s="442"/>
      <c r="AE63" s="442"/>
      <c r="AF63" s="442"/>
      <c r="AG63" s="442"/>
      <c r="AI63" s="431"/>
      <c r="AN63" s="430"/>
    </row>
    <row r="64" spans="1:40" x14ac:dyDescent="0.3">
      <c r="B64" s="358"/>
      <c r="C64" s="357"/>
      <c r="D64" s="357"/>
      <c r="E64" s="357"/>
      <c r="F64" s="357"/>
      <c r="G64" s="357"/>
      <c r="H64" s="445"/>
      <c r="I64" s="442"/>
      <c r="J64" s="442"/>
      <c r="K64" s="442"/>
      <c r="L64" s="442"/>
      <c r="M64" s="442"/>
      <c r="N64" s="442"/>
      <c r="O64" s="442"/>
      <c r="P64" s="442"/>
      <c r="Q64" s="442"/>
      <c r="R64" s="442"/>
      <c r="S64" s="442"/>
      <c r="U64" s="441"/>
      <c r="V64" s="442"/>
      <c r="W64" s="442"/>
      <c r="X64" s="442"/>
      <c r="Y64" s="442"/>
      <c r="Z64" s="442"/>
      <c r="AA64" s="442"/>
      <c r="AB64" s="442"/>
      <c r="AC64" s="442"/>
      <c r="AD64" s="442"/>
      <c r="AE64" s="442"/>
      <c r="AF64" s="442"/>
      <c r="AH64" s="431"/>
      <c r="AN64" s="430"/>
    </row>
    <row r="65" spans="2:40" x14ac:dyDescent="0.3">
      <c r="B65" s="358"/>
      <c r="C65" s="357"/>
      <c r="D65" s="357"/>
      <c r="E65" s="357"/>
      <c r="F65" s="357"/>
      <c r="G65" s="357"/>
      <c r="H65" s="445"/>
      <c r="K65" s="441"/>
      <c r="L65" s="442"/>
      <c r="M65" s="442"/>
      <c r="N65" s="442"/>
      <c r="O65" s="442"/>
      <c r="P65" s="442"/>
      <c r="Q65" s="442"/>
      <c r="R65" s="442"/>
      <c r="S65" s="442"/>
      <c r="T65" s="442"/>
      <c r="U65" s="442"/>
      <c r="V65" s="442"/>
      <c r="X65" s="441"/>
      <c r="Y65" s="442"/>
      <c r="Z65" s="442"/>
      <c r="AA65" s="442"/>
      <c r="AB65" s="442"/>
      <c r="AC65" s="442"/>
      <c r="AD65" s="442"/>
      <c r="AE65" s="442"/>
      <c r="AF65" s="442"/>
      <c r="AG65" s="442"/>
      <c r="AH65" s="442"/>
      <c r="AI65" s="442"/>
      <c r="AK65" s="431"/>
      <c r="AN65" s="430"/>
    </row>
    <row r="66" spans="2:40" x14ac:dyDescent="0.3">
      <c r="B66" s="358"/>
      <c r="C66" s="357"/>
      <c r="D66" s="357"/>
      <c r="E66" s="357"/>
      <c r="F66" s="357"/>
      <c r="G66" s="357"/>
      <c r="H66" s="357"/>
      <c r="I66" s="357"/>
      <c r="J66" s="357"/>
      <c r="K66" s="445"/>
      <c r="N66" s="441"/>
      <c r="O66" s="442"/>
      <c r="P66" s="442"/>
      <c r="Q66" s="442"/>
      <c r="R66" s="442"/>
      <c r="S66" s="442"/>
      <c r="T66" s="442"/>
      <c r="U66" s="442"/>
      <c r="V66" s="442"/>
      <c r="W66" s="442"/>
      <c r="X66" s="442"/>
      <c r="Y66" s="442"/>
      <c r="AA66" s="441"/>
      <c r="AB66" s="442"/>
      <c r="AC66" s="442"/>
      <c r="AD66" s="442"/>
      <c r="AE66" s="442"/>
      <c r="AF66" s="442"/>
      <c r="AG66" s="442"/>
      <c r="AH66" s="442"/>
      <c r="AI66" s="442"/>
      <c r="AJ66" s="442"/>
      <c r="AK66" s="442"/>
      <c r="AL66" s="442"/>
    </row>
    <row r="67" spans="2:40" x14ac:dyDescent="0.3">
      <c r="B67" s="349"/>
      <c r="C67" s="349"/>
      <c r="D67" s="349"/>
      <c r="E67" s="349"/>
      <c r="F67" s="349"/>
      <c r="G67" s="349"/>
      <c r="H67" s="349"/>
      <c r="I67" s="349"/>
      <c r="J67" s="349"/>
      <c r="N67" s="441"/>
      <c r="O67" s="442"/>
      <c r="P67" s="442"/>
      <c r="Q67" s="442"/>
      <c r="R67" s="442"/>
      <c r="S67" s="442"/>
      <c r="T67" s="442"/>
      <c r="U67" s="442"/>
      <c r="V67" s="442"/>
      <c r="W67" s="442"/>
      <c r="X67" s="442"/>
      <c r="Y67" s="442"/>
      <c r="AA67" s="441"/>
      <c r="AB67" s="442"/>
      <c r="AC67" s="442"/>
      <c r="AD67" s="442"/>
      <c r="AE67" s="442"/>
      <c r="AF67" s="442"/>
      <c r="AG67" s="442"/>
      <c r="AH67" s="442"/>
      <c r="AI67" s="442"/>
      <c r="AJ67" s="442"/>
      <c r="AK67" s="442"/>
      <c r="AL67" s="442"/>
    </row>
    <row r="68" spans="2:40" x14ac:dyDescent="0.3">
      <c r="N68" s="441"/>
      <c r="O68" s="442"/>
      <c r="P68" s="442"/>
      <c r="Q68" s="442"/>
      <c r="R68" s="442"/>
      <c r="S68" s="442"/>
      <c r="T68" s="442"/>
      <c r="U68" s="442"/>
      <c r="V68" s="442"/>
      <c r="W68" s="442"/>
      <c r="X68" s="442"/>
      <c r="Y68" s="442"/>
      <c r="AA68" s="441"/>
      <c r="AB68" s="442"/>
      <c r="AC68" s="442"/>
      <c r="AD68" s="442"/>
      <c r="AE68" s="442"/>
      <c r="AF68" s="442"/>
      <c r="AG68" s="442"/>
      <c r="AH68" s="442"/>
      <c r="AI68" s="442"/>
      <c r="AJ68" s="442"/>
      <c r="AK68" s="442"/>
      <c r="AL68" s="442"/>
    </row>
    <row r="69" spans="2:40" x14ac:dyDescent="0.3">
      <c r="N69" s="441"/>
      <c r="O69" s="442"/>
      <c r="P69" s="442"/>
      <c r="Q69" s="442"/>
      <c r="R69" s="442"/>
      <c r="S69" s="442"/>
      <c r="T69" s="442"/>
      <c r="U69" s="442"/>
      <c r="V69" s="442"/>
      <c r="W69" s="442"/>
      <c r="X69" s="442"/>
      <c r="Y69" s="442"/>
      <c r="AA69" s="441"/>
      <c r="AB69" s="442"/>
      <c r="AC69" s="442"/>
      <c r="AD69" s="442"/>
      <c r="AE69" s="442"/>
      <c r="AF69" s="442"/>
      <c r="AG69" s="442"/>
      <c r="AH69" s="442"/>
      <c r="AI69" s="442"/>
      <c r="AJ69" s="442"/>
      <c r="AK69" s="442"/>
      <c r="AL69" s="442"/>
    </row>
    <row r="70" spans="2:40" x14ac:dyDescent="0.3">
      <c r="N70" s="441"/>
      <c r="O70" s="442"/>
      <c r="P70" s="442"/>
      <c r="Q70" s="442"/>
      <c r="R70" s="442"/>
      <c r="S70" s="442"/>
      <c r="T70" s="442"/>
      <c r="U70" s="442"/>
      <c r="V70" s="442"/>
      <c r="W70" s="442"/>
      <c r="X70" s="442"/>
      <c r="Y70" s="442"/>
      <c r="AA70" s="441"/>
      <c r="AB70" s="442"/>
      <c r="AC70" s="442"/>
      <c r="AD70" s="442"/>
      <c r="AE70" s="442"/>
      <c r="AF70" s="442"/>
      <c r="AG70" s="442"/>
      <c r="AH70" s="442"/>
      <c r="AI70" s="442"/>
      <c r="AJ70" s="442"/>
      <c r="AK70" s="442"/>
      <c r="AL70" s="442"/>
    </row>
    <row r="71" spans="2:40" x14ac:dyDescent="0.3">
      <c r="O71" s="431"/>
      <c r="P71" s="431"/>
    </row>
    <row r="72" spans="2:40" x14ac:dyDescent="0.3">
      <c r="B72" s="446"/>
      <c r="C72" s="435"/>
      <c r="D72" s="435"/>
      <c r="E72" s="435"/>
      <c r="F72" s="435"/>
      <c r="G72" s="435"/>
      <c r="H72" s="435"/>
      <c r="I72" s="435"/>
      <c r="J72" s="435"/>
      <c r="K72" s="435"/>
      <c r="O72" s="431"/>
      <c r="P72" s="431"/>
    </row>
    <row r="73" spans="2:40" x14ac:dyDescent="0.3">
      <c r="B73" s="435"/>
      <c r="C73" s="447"/>
      <c r="D73" s="447"/>
      <c r="E73" s="447"/>
      <c r="F73" s="447"/>
      <c r="G73" s="447"/>
      <c r="H73" s="447"/>
      <c r="I73" s="447"/>
      <c r="J73" s="447"/>
      <c r="K73" s="447"/>
      <c r="O73" s="431"/>
      <c r="P73" s="431"/>
    </row>
    <row r="74" spans="2:40" x14ac:dyDescent="0.3">
      <c r="B74" s="435"/>
      <c r="C74" s="447"/>
      <c r="D74" s="447"/>
      <c r="E74" s="447"/>
      <c r="F74" s="447"/>
      <c r="G74" s="447"/>
      <c r="H74" s="447"/>
      <c r="I74" s="447"/>
      <c r="J74" s="447"/>
      <c r="K74" s="447"/>
      <c r="O74" s="431"/>
      <c r="P74" s="431"/>
    </row>
    <row r="75" spans="2:40" x14ac:dyDescent="0.3">
      <c r="B75" s="435"/>
      <c r="C75" s="447"/>
      <c r="D75" s="447"/>
      <c r="E75" s="447"/>
      <c r="F75" s="447"/>
      <c r="G75" s="447"/>
      <c r="H75" s="447"/>
      <c r="I75" s="447"/>
      <c r="J75" s="447"/>
      <c r="K75" s="447"/>
      <c r="O75" s="431"/>
      <c r="P75" s="431"/>
    </row>
    <row r="76" spans="2:40" x14ac:dyDescent="0.3">
      <c r="B76" s="435"/>
      <c r="C76" s="447"/>
      <c r="D76" s="447"/>
      <c r="E76" s="447"/>
      <c r="F76" s="447"/>
      <c r="G76" s="447"/>
      <c r="H76" s="447"/>
      <c r="I76" s="447"/>
      <c r="J76" s="447"/>
      <c r="K76" s="447"/>
      <c r="O76" s="431"/>
      <c r="P76" s="431"/>
    </row>
    <row r="77" spans="2:40" x14ac:dyDescent="0.3">
      <c r="O77" s="431"/>
      <c r="P77" s="431"/>
    </row>
    <row r="78" spans="2:40" x14ac:dyDescent="0.3">
      <c r="O78" s="431"/>
      <c r="P78" s="431"/>
    </row>
    <row r="79" spans="2:40" x14ac:dyDescent="0.3">
      <c r="O79" s="431"/>
      <c r="P79" s="431"/>
    </row>
    <row r="80" spans="2:40" x14ac:dyDescent="0.3">
      <c r="O80" s="431"/>
      <c r="P80" s="431"/>
    </row>
    <row r="81" spans="15:16" x14ac:dyDescent="0.3">
      <c r="O81" s="431"/>
      <c r="P81" s="431"/>
    </row>
    <row r="82" spans="15:16" x14ac:dyDescent="0.3">
      <c r="O82" s="431"/>
      <c r="P82" s="431"/>
    </row>
    <row r="83" spans="15:16" x14ac:dyDescent="0.3">
      <c r="O83" s="431"/>
      <c r="P83" s="431"/>
    </row>
    <row r="84" spans="15:16" x14ac:dyDescent="0.3">
      <c r="O84" s="431"/>
      <c r="P84" s="431"/>
    </row>
    <row r="85" spans="15:16" x14ac:dyDescent="0.3">
      <c r="O85" s="431"/>
      <c r="P85" s="431"/>
    </row>
    <row r="86" spans="15:16" x14ac:dyDescent="0.3">
      <c r="O86" s="431"/>
      <c r="P86" s="431"/>
    </row>
    <row r="87" spans="15:16" x14ac:dyDescent="0.3">
      <c r="O87" s="431"/>
      <c r="P87" s="431"/>
    </row>
    <row r="88" spans="15:16" x14ac:dyDescent="0.3">
      <c r="O88" s="431"/>
      <c r="P88" s="431"/>
    </row>
    <row r="89" spans="15:16" x14ac:dyDescent="0.3">
      <c r="O89" s="431"/>
      <c r="P89" s="431"/>
    </row>
    <row r="90" spans="15:16" x14ac:dyDescent="0.3">
      <c r="O90" s="431"/>
      <c r="P90" s="431"/>
    </row>
    <row r="91" spans="15:16" x14ac:dyDescent="0.3">
      <c r="O91" s="431"/>
      <c r="P91" s="431"/>
    </row>
    <row r="92" spans="15:16" x14ac:dyDescent="0.3">
      <c r="O92" s="431"/>
      <c r="P92" s="431"/>
    </row>
    <row r="93" spans="15:16" x14ac:dyDescent="0.3">
      <c r="O93" s="431"/>
      <c r="P93" s="431"/>
    </row>
    <row r="94" spans="15:16" x14ac:dyDescent="0.3">
      <c r="O94" s="431"/>
      <c r="P94" s="431"/>
    </row>
    <row r="95" spans="15:16" x14ac:dyDescent="0.3">
      <c r="O95" s="431"/>
      <c r="P95" s="431"/>
    </row>
    <row r="96" spans="15:16" x14ac:dyDescent="0.3">
      <c r="O96" s="431"/>
      <c r="P96" s="431"/>
    </row>
    <row r="97" spans="15:16" x14ac:dyDescent="0.3">
      <c r="O97" s="431"/>
      <c r="P97" s="431"/>
    </row>
    <row r="98" spans="15:16" x14ac:dyDescent="0.3">
      <c r="O98" s="431"/>
      <c r="P98" s="431"/>
    </row>
    <row r="99" spans="15:16" x14ac:dyDescent="0.3">
      <c r="O99" s="431"/>
      <c r="P99" s="431"/>
    </row>
    <row r="100" spans="15:16" x14ac:dyDescent="0.3">
      <c r="O100" s="431"/>
      <c r="P100" s="431"/>
    </row>
    <row r="101" spans="15:16" x14ac:dyDescent="0.3">
      <c r="O101" s="431"/>
      <c r="P101" s="431"/>
    </row>
    <row r="102" spans="15:16" x14ac:dyDescent="0.3">
      <c r="O102" s="431"/>
      <c r="P102" s="431"/>
    </row>
    <row r="103" spans="15:16" x14ac:dyDescent="0.3">
      <c r="O103" s="431"/>
      <c r="P103" s="431"/>
    </row>
    <row r="104" spans="15:16" x14ac:dyDescent="0.3">
      <c r="O104" s="431"/>
      <c r="P104" s="431"/>
    </row>
    <row r="105" spans="15:16" x14ac:dyDescent="0.3">
      <c r="O105" s="431"/>
      <c r="P105" s="431"/>
    </row>
    <row r="106" spans="15:16" x14ac:dyDescent="0.3">
      <c r="O106" s="431"/>
      <c r="P106" s="431"/>
    </row>
    <row r="107" spans="15:16" x14ac:dyDescent="0.3">
      <c r="O107" s="431"/>
      <c r="P107" s="431"/>
    </row>
    <row r="108" spans="15:16" x14ac:dyDescent="0.3">
      <c r="O108" s="431"/>
      <c r="P108" s="431"/>
    </row>
    <row r="109" spans="15:16" x14ac:dyDescent="0.3">
      <c r="O109" s="431"/>
      <c r="P109" s="431"/>
    </row>
    <row r="110" spans="15:16" x14ac:dyDescent="0.3">
      <c r="O110" s="431"/>
      <c r="P110" s="431"/>
    </row>
    <row r="111" spans="15:16" x14ac:dyDescent="0.3">
      <c r="O111" s="431"/>
      <c r="P111" s="431"/>
    </row>
    <row r="112" spans="15:16" x14ac:dyDescent="0.3">
      <c r="O112" s="431"/>
      <c r="P112" s="431"/>
    </row>
    <row r="113" spans="15:16" x14ac:dyDescent="0.3">
      <c r="O113" s="431"/>
      <c r="P113" s="431"/>
    </row>
    <row r="114" spans="15:16" x14ac:dyDescent="0.3">
      <c r="O114" s="431"/>
      <c r="P114" s="431"/>
    </row>
    <row r="115" spans="15:16" x14ac:dyDescent="0.3">
      <c r="O115" s="431"/>
      <c r="P115" s="431"/>
    </row>
    <row r="116" spans="15:16" x14ac:dyDescent="0.3">
      <c r="O116" s="431"/>
      <c r="P116" s="431"/>
    </row>
    <row r="117" spans="15:16" x14ac:dyDescent="0.3">
      <c r="O117" s="431"/>
      <c r="P117" s="431"/>
    </row>
    <row r="118" spans="15:16" x14ac:dyDescent="0.3">
      <c r="O118" s="431"/>
      <c r="P118" s="431"/>
    </row>
    <row r="119" spans="15:16" x14ac:dyDescent="0.3">
      <c r="O119" s="431"/>
      <c r="P119" s="431"/>
    </row>
    <row r="120" spans="15:16" x14ac:dyDescent="0.3">
      <c r="O120" s="431"/>
      <c r="P120" s="431"/>
    </row>
    <row r="121" spans="15:16" x14ac:dyDescent="0.3">
      <c r="O121" s="431"/>
      <c r="P121" s="431"/>
    </row>
    <row r="122" spans="15:16" x14ac:dyDescent="0.3">
      <c r="O122" s="431"/>
      <c r="P122" s="431"/>
    </row>
    <row r="123" spans="15:16" x14ac:dyDescent="0.3">
      <c r="O123" s="431"/>
      <c r="P123" s="431"/>
    </row>
    <row r="124" spans="15:16" x14ac:dyDescent="0.3">
      <c r="O124" s="431"/>
      <c r="P124" s="431"/>
    </row>
    <row r="125" spans="15:16" x14ac:dyDescent="0.3">
      <c r="O125" s="431"/>
      <c r="P125" s="431"/>
    </row>
    <row r="126" spans="15:16" x14ac:dyDescent="0.3">
      <c r="O126" s="431"/>
      <c r="P126" s="431"/>
    </row>
    <row r="127" spans="15:16" x14ac:dyDescent="0.3">
      <c r="O127" s="431"/>
      <c r="P127" s="431"/>
    </row>
    <row r="128" spans="15:16" x14ac:dyDescent="0.3">
      <c r="O128" s="431"/>
      <c r="P128" s="431"/>
    </row>
    <row r="129" spans="15:16" x14ac:dyDescent="0.3">
      <c r="O129" s="431"/>
      <c r="P129" s="431"/>
    </row>
    <row r="130" spans="15:16" x14ac:dyDescent="0.3">
      <c r="O130" s="431"/>
      <c r="P130" s="431"/>
    </row>
    <row r="131" spans="15:16" x14ac:dyDescent="0.3">
      <c r="O131" s="431"/>
      <c r="P131" s="431"/>
    </row>
    <row r="132" spans="15:16" x14ac:dyDescent="0.3">
      <c r="O132" s="431"/>
      <c r="P132" s="431"/>
    </row>
    <row r="133" spans="15:16" x14ac:dyDescent="0.3">
      <c r="O133" s="431"/>
      <c r="P133" s="431"/>
    </row>
    <row r="134" spans="15:16" x14ac:dyDescent="0.3">
      <c r="O134" s="431"/>
      <c r="P134" s="431"/>
    </row>
  </sheetData>
  <mergeCells count="1">
    <mergeCell ref="B19:H33"/>
  </mergeCells>
  <pageMargins left="0" right="0" top="0" bottom="0" header="0" footer="0"/>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EZ45"/>
  <sheetViews>
    <sheetView zoomScaleNormal="100" workbookViewId="0">
      <pane xSplit="3" ySplit="2" topLeftCell="AH3" activePane="bottomRight" state="frozen"/>
      <selection activeCell="AH7" sqref="AH7"/>
      <selection pane="topRight" activeCell="AH7" sqref="AH7"/>
      <selection pane="bottomLeft" activeCell="AH7" sqref="AH7"/>
      <selection pane="bottomRight" activeCell="AJ4" sqref="AJ4"/>
    </sheetView>
  </sheetViews>
  <sheetFormatPr defaultColWidth="9.109375" defaultRowHeight="13.8" x14ac:dyDescent="0.3"/>
  <cols>
    <col min="1" max="1" width="39.77734375" style="21" bestFit="1" customWidth="1"/>
    <col min="2" max="2" width="15.44140625" style="21" customWidth="1"/>
    <col min="3" max="3" width="34.5546875" style="21" bestFit="1" customWidth="1"/>
    <col min="4" max="32" width="9.21875" style="21" customWidth="1"/>
    <col min="33" max="50" width="9.21875" style="21" bestFit="1" customWidth="1"/>
    <col min="51" max="52" width="9.21875" style="21" customWidth="1"/>
    <col min="53" max="81" width="9.21875" style="21" bestFit="1" customWidth="1"/>
    <col min="82" max="83" width="9.21875" style="21" customWidth="1"/>
    <col min="84" max="85" width="9.21875" style="21" bestFit="1" customWidth="1"/>
    <col min="86" max="91" width="9.21875" style="21" customWidth="1"/>
    <col min="92" max="127" width="9.21875" style="21" bestFit="1" customWidth="1"/>
    <col min="128" max="134" width="9.44140625" style="21" bestFit="1" customWidth="1"/>
    <col min="135" max="16384" width="9.109375" style="21"/>
  </cols>
  <sheetData>
    <row r="1" spans="1:154" x14ac:dyDescent="0.3">
      <c r="D1" s="21" t="s">
        <v>64</v>
      </c>
      <c r="EG1" s="74"/>
    </row>
    <row r="2" spans="1:154" s="174" customFormat="1" ht="207" x14ac:dyDescent="0.25">
      <c r="C2" s="174" t="s">
        <v>62</v>
      </c>
      <c r="D2" s="174" t="str">
        <f>'1_Manufacturing'!D2</f>
        <v>Private e-scooter</v>
      </c>
      <c r="E2" s="174" t="str">
        <f>'1_Manufacturing'!E2</f>
        <v>Shared e-scooter (first generation, worst case)</v>
      </c>
      <c r="F2" s="174" t="str">
        <f>'1_Manufacturing'!F2</f>
        <v>Shared e-scooter (first generation, best case)</v>
      </c>
      <c r="G2" s="174" t="str">
        <f>'1_Manufacturing'!G2</f>
        <v>Shared e-scooter (first generation central case, daily distance 50% lower)</v>
      </c>
      <c r="H2" s="174" t="str">
        <f>'1_Manufacturing'!H2</f>
        <v>Shared e-scooter (first generation central case, daily distance 50% higher)</v>
      </c>
      <c r="I2" s="174" t="str">
        <f>'1_Manufacturing'!I2</f>
        <v>Shared e-scooter (first generation central case, low-carbon EVs for operational services)</v>
      </c>
      <c r="J2" s="174" t="str">
        <f>'1_Manufacturing'!J2</f>
        <v>Shared e-scooter (first generation central case, EVs for operational services)</v>
      </c>
      <c r="K2" s="174" t="str">
        <f>'1_Manufacturing'!J2</f>
        <v>Shared e-scooter (first generation central case, EVs for operational services)</v>
      </c>
      <c r="L2" s="174" t="str">
        <f>'1_Manufacturing'!L2</f>
        <v>Shared e-scooter (first generation central case, 50% less vehicles per servcing trip)</v>
      </c>
      <c r="M2" s="174" t="str">
        <f>'1_Manufacturing'!M2</f>
        <v>Shared e-scooter (first generation central case, vehicle servicing distance 50% down)</v>
      </c>
      <c r="N2" s="174" t="str">
        <f>'1_Manufacturing'!N2</f>
        <v>Shared e-scooter (first generation central case, vehicle servicing distance 50% up)</v>
      </c>
      <c r="O2" s="174" t="str">
        <f>'1_Manufacturing'!O2</f>
        <v>Shared e-scooter (first generation central case, 50% higher lifetime)</v>
      </c>
      <c r="P2" s="174" t="str">
        <f>'1_Manufacturing'!P2</f>
        <v>Shared e-scooter (first generation central case, 50% lower lifetime)</v>
      </c>
      <c r="Q2" s="174" t="str">
        <f>'1_Manufacturing'!Q2</f>
        <v>Shared e-scooter (first generation central case, 25% less battery capacity)</v>
      </c>
      <c r="R2" s="174" t="str">
        <f>'1_Manufacturing'!R2</f>
        <v>Shared e-scooter (first generation central case, 25% more battery capacity)</v>
      </c>
      <c r="S2" s="174" t="str">
        <f>'1_Manufacturing'!S2</f>
        <v>Shared e-scooter (first generation central case, 25% heavier vehicle)</v>
      </c>
      <c r="T2" s="174" t="str">
        <f>'1_Manufacturing'!T2</f>
        <v>Shared e-scooter (first generation central case, low carbon Al smelting)</v>
      </c>
      <c r="U2" s="174" t="str">
        <f>'1_Manufacturing'!U2</f>
        <v>Shared e-scooter (first generation central case, high carbon electricity in use phase)</v>
      </c>
      <c r="V2" s="174" t="str">
        <f>'1_Manufacturing'!V2</f>
        <v>Shared e-scooter (first generation central case, low carbon electricity in use phase)</v>
      </c>
      <c r="W2" s="174" t="str">
        <f>'1_Manufacturing'!W2</f>
        <v>Shared e-scooter (first generation, central case)</v>
      </c>
      <c r="X2" s="174" t="str">
        <f>'1_Manufacturing'!X2</f>
        <v>Shared e-scooter (new generation),- All improvements combined</v>
      </c>
      <c r="Y2" s="174" t="str">
        <f>'1_Manufacturing'!Y2</f>
        <v>Shared e-scooter (new generation) - Low-carbon electricity in use phase</v>
      </c>
      <c r="Z2" s="174" t="str">
        <f>'1_Manufacturing'!Z2</f>
        <v>Shared e-scooter (new generation) - 50% lower service distance</v>
      </c>
      <c r="AA2" s="174" t="str">
        <f>'1_Manufacturing'!AA2</f>
        <v>Shared e-scooter (new generation) - 50% higher daily e-scooter distance</v>
      </c>
      <c r="AB2" s="174" t="str">
        <f>'1_Manufacturing'!AB2</f>
        <v>Shared e-scooter (new generation) - Low carbon Al smelting</v>
      </c>
      <c r="AC2" s="174" t="str">
        <f>'1_Manufacturing'!AC2</f>
        <v>Shared e-scooter (new generation) - Low-carbon EVs for operational services</v>
      </c>
      <c r="AD2" s="174" t="str">
        <f>'1_Manufacturing'!AD2</f>
        <v>Shared e-scooter (new generation) - 50% more vehicles per servicing trip</v>
      </c>
      <c r="AE2" s="174" t="str">
        <f>'1_Manufacturing'!AE2</f>
        <v>Shared e-scooter (new generation) - Central case</v>
      </c>
      <c r="AF2" s="174" t="str">
        <f>'1_Manufacturing'!AF2</f>
        <v>Shared e-scooter (Hollingsworth et al. 2019 simulation)</v>
      </c>
      <c r="AG2" s="174" t="str">
        <f>'1_Manufacturing'!AG2</f>
        <v>Private bike</v>
      </c>
      <c r="AH2" s="174" t="str">
        <f>'1_Manufacturing'!AH2</f>
        <v>Private e-bike</v>
      </c>
      <c r="AI2" s="174" t="str">
        <f>'1_Manufacturing'!AI2</f>
        <v>Shared bike</v>
      </c>
      <c r="AJ2" s="174" t="str">
        <f>'1_Manufacturing'!AJ2</f>
        <v>Shared e-bike</v>
      </c>
      <c r="AK2" s="174" t="str">
        <f>'1_Manufacturing'!AK2</f>
        <v>Private moped - ICE</v>
      </c>
      <c r="AL2" s="174" t="str">
        <f>'1_Manufacturing'!AL2</f>
        <v>Private moped - BEV</v>
      </c>
      <c r="AM2" s="174" t="str">
        <f>'1_Manufacturing'!AM2</f>
        <v>Shared moped - ICE</v>
      </c>
      <c r="AN2" s="174" t="str">
        <f>'1_Manufacturing'!AN2</f>
        <v>Shared moped - BEV</v>
      </c>
      <c r="AO2" s="174" t="str">
        <f>'1_Manufacturing'!AO2</f>
        <v>Private car - ICE</v>
      </c>
      <c r="AP2" s="174" t="str">
        <f>'1_Manufacturing'!AP2</f>
        <v>Private car - HEV</v>
      </c>
      <c r="AQ2" s="174" t="str">
        <f>'1_Manufacturing'!AQ2</f>
        <v>Private car - PHEV</v>
      </c>
      <c r="AR2" s="174" t="str">
        <f>'1_Manufacturing'!AR2</f>
        <v>AVAILABLE</v>
      </c>
      <c r="AS2" s="174" t="str">
        <f>'1_Manufacturing'!AS2</f>
        <v>Private car - BEV (high carbon intensity of electricity in use phase)</v>
      </c>
      <c r="AT2" s="174" t="str">
        <f>'1_Manufacturing'!AT2</f>
        <v>Private car - BEV (low carbon intensity of electricity in use phase)</v>
      </c>
      <c r="AU2" s="174" t="str">
        <f>'1_Manufacturing'!AU2</f>
        <v>Private car - BEV (Lower carbon intensity of battery manufacturing)</v>
      </c>
      <c r="AV2" s="174" t="str">
        <f>'1_Manufacturing'!AV2</f>
        <v>Private car - BEV (25% smaller battery)</v>
      </c>
      <c r="AW2" s="174" t="str">
        <f>'1_Manufacturing'!AW2</f>
        <v>Private car - BEV (25% larger battery)</v>
      </c>
      <c r="AX2" s="174" t="str">
        <f>'1_Manufacturing'!AX2</f>
        <v>Private car - BEV</v>
      </c>
      <c r="AY2" s="174" t="str">
        <f>'1_Manufacturing'!AY2</f>
        <v>Private car - FCEV (hydrogen from electrolysis, 100% natural gas electricity)</v>
      </c>
      <c r="AZ2" s="174" t="str">
        <f>'1_Manufacturing'!AZ2</f>
        <v>Private car - FCEV (hydrogen from electrolysis, 100% renewable electricity)</v>
      </c>
      <c r="BA2" s="174" t="str">
        <f>'1_Manufacturing'!BA2</f>
        <v>Private car - FCEV (hydrogen from electrolysis, global grid mix)</v>
      </c>
      <c r="BB2" s="174" t="str">
        <f>'1_Manufacturing'!BB2</f>
        <v>Private car - FCEV</v>
      </c>
      <c r="BC2" s="174" t="str">
        <f>'1_Manufacturing'!AZ2</f>
        <v>Private car - FCEV (hydrogen from electrolysis, 100% renewable electricity)</v>
      </c>
      <c r="BD2" s="174" t="str">
        <f>'1_Manufacturing'!BA2</f>
        <v>Private car - FCEV (hydrogen from electrolysis, global grid mix)</v>
      </c>
      <c r="BE2" s="174" t="str">
        <f>'1_Manufacturing'!BB2</f>
        <v>Private car - FCEV</v>
      </c>
      <c r="BF2" s="174" t="str">
        <f>'1_Manufacturing'!BF2</f>
        <v>Ridesourcing - car - ICE (single passenger on board, no change in deadheading km share)</v>
      </c>
      <c r="BG2" s="174" t="str">
        <f>'1_Manufacturing'!BG2</f>
        <v>Ridesourcing - car - ICE (two passengers on board, no change in deadheading km share)</v>
      </c>
      <c r="BH2" s="174" t="str">
        <f>'1_Manufacturing'!BH2</f>
        <v>Ridesourcing - car - ICE (25% higher average load: 1,94 passengers on board, no change in deadheading km share)</v>
      </c>
      <c r="BI2" s="174" t="str">
        <f>'1_Manufacturing'!BI2</f>
        <v>Ridesourcing - car - ICE</v>
      </c>
      <c r="BJ2" s="174" t="str">
        <f>'1_Manufacturing'!BJ2</f>
        <v>Ridesourcing - car - HEV</v>
      </c>
      <c r="BK2" s="174" t="str">
        <f>'1_Manufacturing'!BK2</f>
        <v>Ridesourcing - car - PHEV</v>
      </c>
      <c r="BL2" s="174" t="str">
        <f>'1_Manufacturing'!BL2</f>
        <v>Ridesourcing - car - BEV single passenger on board, no change in deadheading km share)</v>
      </c>
      <c r="BM2" s="174" t="str">
        <f>'1_Manufacturing'!BM2</f>
        <v>Ridesourcing - car - BEV two passengers on board, no change in deadheading km share)</v>
      </c>
      <c r="BN2" s="174" t="str">
        <f>'1_Manufacturing'!BN2</f>
        <v>Ridesourcing - car - BEV 25% higher average load: 1,94 passengers on board, no change in deadheading km share)</v>
      </c>
      <c r="BO2" s="174" t="str">
        <f>'1_Manufacturing'!BO2</f>
        <v>Ridesourcing - car - BEV (high carbon intensity of electricity in use phase)</v>
      </c>
      <c r="BP2" s="174" t="str">
        <f>'1_Manufacturing'!BP2</f>
        <v>Ridesourcing - car - BEV (low carbon intensity of electricity in use phase)</v>
      </c>
      <c r="BQ2" s="174" t="str">
        <f>'1_Manufacturing'!BQ2</f>
        <v>Ridesourcing - car - BEV (Lower carbon intensity of battery manufacturing)</v>
      </c>
      <c r="BR2" s="174" t="str">
        <f>'1_Manufacturing'!BR2</f>
        <v>Ridesourcing - car - BEV (25% smaller battery)</v>
      </c>
      <c r="BS2" s="174" t="str">
        <f>'1_Manufacturing'!BS2</f>
        <v>Ridesourcing - car - BEV (25% larger battery)</v>
      </c>
      <c r="BT2" s="174" t="str">
        <f>'1_Manufacturing'!BT2</f>
        <v>Ridesourcing - car - BEV</v>
      </c>
      <c r="BU2" s="472" t="str">
        <f>'1_Manufacturing'!BU2</f>
        <v>Ridesourcing - car - BEV (two packs) single passenger on board, no change in deadheading km share)</v>
      </c>
      <c r="BV2" s="472" t="str">
        <f>'1_Manufacturing'!BV2</f>
        <v>Ridesourcing - car - BEV (two packs) two passengers on board, no change in deadheading km share)</v>
      </c>
      <c r="BW2" s="472" t="str">
        <f>'1_Manufacturing'!BW2</f>
        <v>Ridesourcing - car - BEV (two packs) 25% higher average load: 1,94 passengers on board, no change in deadheading km share)</v>
      </c>
      <c r="BX2" s="472" t="str">
        <f>'1_Manufacturing'!BX2</f>
        <v>Ridesourcing - car - BEV (two packs) (high carbon intensity of electricity in use phase)</v>
      </c>
      <c r="BY2" s="472" t="str">
        <f>'1_Manufacturing'!BY2</f>
        <v>Ridesourcing - car - BEV (two packs) (low carbon intensity of electricity in use phase)</v>
      </c>
      <c r="BZ2" s="472" t="str">
        <f>'1_Manufacturing'!BZ2</f>
        <v>Ridesourcing - car - BEV (two packs) (Lower carbon intensity of battery manufacturing)</v>
      </c>
      <c r="CA2" s="472" t="str">
        <f>'1_Manufacturing'!CA2</f>
        <v>Ridesourcing - car - BEV (two packs) (25% smaller battery)</v>
      </c>
      <c r="CB2" s="472" t="str">
        <f>'1_Manufacturing'!CB2</f>
        <v>Ridesourcing - car - BEV (two packs) (25% larger battery)</v>
      </c>
      <c r="CC2" s="472" t="str">
        <f>'1_Manufacturing'!CC2</f>
        <v>Ridesourcing - car - BEV (two packs)</v>
      </c>
      <c r="CD2" s="174" t="str">
        <f>'1_Manufacturing'!CD2</f>
        <v>Ridesourcing car - FCEV (hydrogen from electrolysis, 100% natural gas electricity)</v>
      </c>
      <c r="CE2" s="174" t="str">
        <f>'1_Manufacturing'!CE2</f>
        <v>Ridesourcing car - FCEV (hydrogen from electrolysis, 100% renewable electricity)</v>
      </c>
      <c r="CF2" s="174" t="str">
        <f>'1_Manufacturing'!CF2</f>
        <v>Ridesourcing car - FCEV (hydrogen from electrolysis, global grid mix)</v>
      </c>
      <c r="CG2" s="174" t="str">
        <f>'1_Manufacturing'!CG2</f>
        <v>Ridesourcing - car - FCEV</v>
      </c>
      <c r="CH2" s="174" t="str">
        <f>'1_Manufacturing'!CH2</f>
        <v>Taxi  ICE</v>
      </c>
      <c r="CI2" s="174" t="str">
        <f>'1_Manufacturing'!CI2</f>
        <v>Taxi  HEV</v>
      </c>
      <c r="CJ2" s="174" t="str">
        <f>'1_Manufacturing'!CJ2</f>
        <v>Taxi  PHEV</v>
      </c>
      <c r="CK2" s="174" t="str">
        <f>'1_Manufacturing'!CK2</f>
        <v>Taxi  BEV</v>
      </c>
      <c r="CL2" s="174" t="str">
        <f>'1_Manufacturing'!CL2</f>
        <v>Taxi  BEV (two packs)</v>
      </c>
      <c r="CM2" s="174" t="str">
        <f>'1_Manufacturing'!CM2</f>
        <v>Taxi - FCEV</v>
      </c>
      <c r="CN2" s="174" t="str">
        <f>'1_Manufacturing'!CN2</f>
        <v>Large Private car - ICE</v>
      </c>
      <c r="CO2" s="174" t="str">
        <f>'1_Manufacturing'!CO2</f>
        <v>Large Private car - HEV</v>
      </c>
      <c r="CP2" s="174" t="str">
        <f>'1_Manufacturing'!CP2</f>
        <v>Large Private car - PHEV</v>
      </c>
      <c r="CQ2" s="174" t="str">
        <f>'1_Manufacturing'!CQ2</f>
        <v>Large Private car - BEV</v>
      </c>
      <c r="CR2" s="174" t="str">
        <f>'1_Manufacturing'!CR2</f>
        <v>Large Private car - FCEV</v>
      </c>
      <c r="CS2" s="174" t="str">
        <f>'1_Manufacturing'!CS2</f>
        <v>Ridesourcing - Large car - ICE</v>
      </c>
      <c r="CT2" s="174" t="str">
        <f>'1_Manufacturing'!CT2</f>
        <v>Ridesourcing - Large car - HEV</v>
      </c>
      <c r="CU2" s="174" t="str">
        <f>'1_Manufacturing'!CU2</f>
        <v>Ridesourcing - Large car - PHEV</v>
      </c>
      <c r="CV2" s="174" t="str">
        <f>'1_Manufacturing'!CV2</f>
        <v>Ridesourcing - Large car - BEV</v>
      </c>
      <c r="CW2" s="472" t="str">
        <f>'1_Manufacturing'!CW2</f>
        <v>Ridesourcing - Large car - BEV (two packs)</v>
      </c>
      <c r="CX2" s="174" t="str">
        <f>'1_Manufacturing'!CX2</f>
        <v>Ridesourcing - Large car - FCEV</v>
      </c>
      <c r="CY2" s="174" t="str">
        <f>'1_Manufacturing'!CY2</f>
        <v>Ridesourcing - Shared van - ICE</v>
      </c>
      <c r="CZ2" s="174" t="str">
        <f>'1_Manufacturing'!CZ2</f>
        <v>Ridesourcing - Shared van - HEV</v>
      </c>
      <c r="DA2" s="174" t="str">
        <f>'1_Manufacturing'!DA2</f>
        <v>Ridesourcing - Shared van - PHEV</v>
      </c>
      <c r="DB2" s="174" t="str">
        <f>'1_Manufacturing'!DB2</f>
        <v>Ridesourcing - Shared van - BEV</v>
      </c>
      <c r="DC2" s="472" t="str">
        <f>'1_Manufacturing'!DC2</f>
        <v>Ridesourcing - Shared van - BEV (two packs)</v>
      </c>
      <c r="DD2" s="174" t="str">
        <f>'1_Manufacturing'!DD2</f>
        <v>Ridesourcing - Shared van - FCEV</v>
      </c>
      <c r="DE2" s="174" t="str">
        <f>'1_Manufacturing'!DE2</f>
        <v>Ridesourcing - Shared minibus - ICE</v>
      </c>
      <c r="DF2" s="174" t="str">
        <f>'1_Manufacturing'!DF2</f>
        <v>Ridesourcing - Shared minibus - HEV</v>
      </c>
      <c r="DH2" s="174" t="str">
        <f>'1_Manufacturing'!DH2</f>
        <v>Ridesourcing - Shared minibus - BEV</v>
      </c>
      <c r="DI2" s="472" t="str">
        <f>'1_Manufacturing'!DI2</f>
        <v>Ridesourcing - Shared minibus - BEV (two packs)</v>
      </c>
      <c r="DJ2" s="174" t="str">
        <f>'1_Manufacturing'!DJ2</f>
        <v>Ridesourcing - Shared minibus - FCEV</v>
      </c>
      <c r="DK2" s="174" t="str">
        <f>'1_Manufacturing'!DK2</f>
        <v>Bus - ICE (lifetime 25% lower)</v>
      </c>
      <c r="DL2" s="174" t="str">
        <f>'1_Manufacturing'!DL2</f>
        <v>Bus - ICE (lifetime 25% larger)</v>
      </c>
      <c r="DM2" s="174" t="str">
        <f>'1_Manufacturing'!DM2</f>
        <v>Bus - ICE (100% bus lane)</v>
      </c>
      <c r="DN2" s="174" t="str">
        <f>'1_Manufacturing'!DN2</f>
        <v>Bus - ICE (deadheading doubled)</v>
      </c>
      <c r="DO2" s="174" t="str">
        <f>'1_Manufacturing'!DO2</f>
        <v>Bus - ICE (ridership down by 50%)</v>
      </c>
      <c r="DP2" s="174" t="str">
        <f>'1_Manufacturing'!DP2</f>
        <v>Bus - ICE (ridership up by 50%)</v>
      </c>
      <c r="DQ2" s="174" t="str">
        <f>'1_Manufacturing'!DQ2</f>
        <v>Bus - ICE</v>
      </c>
      <c r="DR2" s="174" t="str">
        <f>'1_Manufacturing'!DR2</f>
        <v>Bus - HEV</v>
      </c>
      <c r="DS2" s="174" t="str">
        <f>'1_Manufacturing'!DS2</f>
        <v>Bus - BEV (two packs, 100% zero-carbon electricity)</v>
      </c>
      <c r="DT2" s="174" t="str">
        <f>'1_Manufacturing'!DT2</f>
        <v>Bus - BEV (two packs)</v>
      </c>
      <c r="DU2" s="174" t="str">
        <f>'1_Manufacturing'!DU2</f>
        <v>Bus - BEV</v>
      </c>
      <c r="DV2" s="174" t="str">
        <f>'1_Manufacturing'!DV2</f>
        <v>Bus - FCEV, hydrogen from electrolysis (100% zero-carbon electricity)</v>
      </c>
      <c r="DW2" s="174" t="str">
        <f>'1_Manufacturing'!DW2</f>
        <v>Bus - FCEV</v>
      </c>
      <c r="DX2" s="174" t="str">
        <f>'1_Manufacturing'!DX2</f>
        <v>Metro/urban train (infrastructure lifetime 25% higher)</v>
      </c>
      <c r="DY2" s="174" t="str">
        <f>'1_Manufacturing'!DY2</f>
        <v>Metro/urban train (infrastructure lifetime 25% lower)</v>
      </c>
      <c r="DZ2" s="174" t="str">
        <f>'1_Manufacturing'!DZ2</f>
        <v>Metro/urban train (network usage frequency down by 25%)</v>
      </c>
      <c r="EA2" s="174" t="str">
        <f>'1_Manufacturing'!EA2</f>
        <v>Metro/urban train (network usage frequency up by 25%)</v>
      </c>
      <c r="EB2" s="174" t="str">
        <f>'1_Manufacturing'!EB2</f>
        <v>Metro/urban train (ridership per train down by 50%)</v>
      </c>
      <c r="EC2" s="174" t="str">
        <f>'1_Manufacturing'!EC2</f>
        <v>Metro/urban train (ridership per train up by 50%)</v>
      </c>
      <c r="ED2" s="174" t="str">
        <f>'1_Manufacturing'!ED2</f>
        <v>Metro/urban train</v>
      </c>
      <c r="EG2" s="175"/>
    </row>
    <row r="3" spans="1:154" x14ac:dyDescent="0.3">
      <c r="A3" s="21" t="s">
        <v>326</v>
      </c>
      <c r="B3" s="21" t="s">
        <v>329</v>
      </c>
      <c r="C3" s="21" t="s">
        <v>849</v>
      </c>
      <c r="D3" s="61"/>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f>Tech_Specs_2W!C28</f>
        <v>1.9390547340857902</v>
      </c>
      <c r="AL3" s="77"/>
      <c r="AM3" s="77">
        <f>AK3</f>
        <v>1.9390547340857902</v>
      </c>
      <c r="AN3" s="77"/>
      <c r="AO3" s="306">
        <f>Tech_Specs_Car!$E$17*IF(AO14=WTW_Fuel_properties!$A$4,1,IF(AO14=WTW_Fuel_properties!$A$5,0.8,"Check fuel"))</f>
        <v>6.8</v>
      </c>
      <c r="AP3" s="307">
        <f>Tech_Specs_Car!$E$18*IF(AP14=WTW_Fuel_properties!$A$4,1,IF(AP14=WTW_Fuel_properties!$A$5,0.9,"Check fuel"))</f>
        <v>5.0653061224489804</v>
      </c>
      <c r="AQ3" s="307">
        <f>Tech_Specs_Car!$E$18*IF(AQ14=WTW_Fuel_properties!$A$4,1,IF(AQ14=WTW_Fuel_properties!$A$5,0.9,"Check fuel"))</f>
        <v>5.0653061224489804</v>
      </c>
      <c r="AR3" s="324"/>
      <c r="AS3" s="324"/>
      <c r="AT3" s="324"/>
      <c r="AU3" s="324"/>
      <c r="AV3" s="324"/>
      <c r="AW3" s="324"/>
      <c r="AX3" s="324"/>
      <c r="AY3" s="77"/>
      <c r="AZ3" s="77"/>
      <c r="BA3" s="77"/>
      <c r="BB3" s="77"/>
      <c r="BC3" s="316">
        <f t="shared" ref="BC3:BH3" si="0">$BI3</f>
        <v>6.8</v>
      </c>
      <c r="BD3" s="316">
        <f t="shared" si="0"/>
        <v>6.8</v>
      </c>
      <c r="BE3" s="316">
        <f t="shared" si="0"/>
        <v>6.8</v>
      </c>
      <c r="BF3" s="316">
        <f t="shared" si="0"/>
        <v>6.8</v>
      </c>
      <c r="BG3" s="316">
        <f t="shared" si="0"/>
        <v>6.8</v>
      </c>
      <c r="BH3" s="316">
        <f t="shared" si="0"/>
        <v>6.8</v>
      </c>
      <c r="BI3" s="306">
        <f>Tech_Specs_Car!$E$17*IF(BI14=WTW_Fuel_properties!$A$4,1,IF(BI14=WTW_Fuel_properties!$A$5,0.8,"Check fuel"))</f>
        <v>6.8</v>
      </c>
      <c r="BJ3" s="307">
        <f>Tech_Specs_Car!$E$18*IF(BJ14=WTW_Fuel_properties!$A$4,1,IF(BJ14=WTW_Fuel_properties!$A$5,0.9,"Check fuel"))</f>
        <v>5.0653061224489804</v>
      </c>
      <c r="BK3" s="307">
        <f>Tech_Specs_Car!$E$18*IF(BK14=WTW_Fuel_properties!$A$4,1,IF(BK14=WTW_Fuel_properties!$A$5,0.9,"Check fuel"))</f>
        <v>5.0653061224489804</v>
      </c>
      <c r="BL3" s="324"/>
      <c r="BM3" s="324"/>
      <c r="BN3" s="324"/>
      <c r="BO3" s="324"/>
      <c r="BP3" s="324"/>
      <c r="BQ3" s="324"/>
      <c r="BR3" s="324"/>
      <c r="BS3" s="324"/>
      <c r="BT3" s="298"/>
      <c r="BU3" s="324"/>
      <c r="BV3" s="324"/>
      <c r="BW3" s="324"/>
      <c r="BX3" s="324"/>
      <c r="BY3" s="324"/>
      <c r="BZ3" s="324"/>
      <c r="CA3" s="324"/>
      <c r="CB3" s="324"/>
      <c r="CC3" s="298"/>
      <c r="CD3" s="77"/>
      <c r="CE3" s="77"/>
      <c r="CF3" s="77"/>
      <c r="CG3" s="77"/>
      <c r="CH3" s="306">
        <f>Tech_Specs_Car!$E$17*IF(CH14=WTW_Fuel_properties!$A$4,1,IF(CH14=WTW_Fuel_properties!$A$5,0.8,"Check fuel"))</f>
        <v>6.8</v>
      </c>
      <c r="CI3" s="307">
        <f>Tech_Specs_Car!$E$18*IF(CI14=WTW_Fuel_properties!$A$4,1,IF(CI14=WTW_Fuel_properties!$A$5,0.9,"Check fuel"))</f>
        <v>5.0653061224489804</v>
      </c>
      <c r="CJ3" s="307">
        <f>Tech_Specs_Car!$E$18*IF(CJ14=WTW_Fuel_properties!$A$4,1,IF(CJ14=WTW_Fuel_properties!$A$5,0.9,"Check fuel"))</f>
        <v>5.0653061224489804</v>
      </c>
      <c r="CK3" s="87"/>
      <c r="CL3" s="87"/>
      <c r="CM3" s="77"/>
      <c r="CN3" s="306">
        <f>Tech_Specs_Car!$G$17*IF(CN14=WTW_Fuel_properties!$A$4,1,IF(CN14=WTW_Fuel_properties!$A$5,0.8,"Check fuel"))</f>
        <v>8.85</v>
      </c>
      <c r="CO3" s="307">
        <f>Tech_Specs_Car!$G$18*IF(CO14=WTW_Fuel_properties!$A$4,1,IF(CO14=WTW_Fuel_properties!$A$5,0.9,"Check fuel"))</f>
        <v>6.5148558758314854</v>
      </c>
      <c r="CP3" s="307">
        <f>Tech_Specs_Car!$G$18*IF(CP14=WTW_Fuel_properties!$A$4,1,IF(CP14=WTW_Fuel_properties!$A$5,0.9,"Check fuel"))</f>
        <v>6.5148558758314854</v>
      </c>
      <c r="CQ3" s="298"/>
      <c r="CR3" s="77"/>
      <c r="CS3" s="306">
        <f>Tech_Specs_Car!$G$17*IF(CS14=WTW_Fuel_properties!$A$4,1,IF(CS14=WTW_Fuel_properties!$A$5,0.8,"Check fuel"))</f>
        <v>8.85</v>
      </c>
      <c r="CT3" s="307">
        <f>Tech_Specs_Car!$G$18*IF(CT14=WTW_Fuel_properties!$A$4,1,IF(CT14=WTW_Fuel_properties!$A$5,0.9,"Check fuel"))</f>
        <v>6.5148558758314854</v>
      </c>
      <c r="CU3" s="307">
        <f>Tech_Specs_Car!$G$18*IF(CU14=WTW_Fuel_properties!$A$4,1,IF(CU14=WTW_Fuel_properties!$A$5,0.9,"Check fuel"))</f>
        <v>6.5148558758314854</v>
      </c>
      <c r="CV3" s="87"/>
      <c r="CW3" s="87"/>
      <c r="CX3" s="77"/>
      <c r="CY3" s="515">
        <f>BI3+(CS3-BI3)/('0_Total'!CS10-'0_Total'!BI10)*('0_Total'!CY10-'0_Total'!BI10)</f>
        <v>8.85</v>
      </c>
      <c r="CZ3" s="515">
        <f>BJ3+(CT3-BJ3)/('0_Total'!CT10-'0_Total'!BJ10)*('0_Total'!CZ10-'0_Total'!BJ10)</f>
        <v>6.5148558758314854</v>
      </c>
      <c r="DA3" s="515">
        <f>BK3+(CU3-BK3)/('0_Total'!CU$10-'0_Total'!BK$10)*('0_Total'!DA$10-'0_Total'!BK$10)</f>
        <v>6.5148558758314854</v>
      </c>
      <c r="DB3" s="87"/>
      <c r="DC3" s="87"/>
      <c r="DD3" s="77"/>
      <c r="DE3" s="515">
        <f>CY3+(DQ3-CY3)*('0_Total'!DE$10-'0_Total'!CY$10)/('0_Total'!DQ$10-'0_Total'!CY$10)</f>
        <v>15.100454684954343</v>
      </c>
      <c r="DF3" s="515">
        <f>CZ3+(DR3-CZ3)*('0_Total'!DF$10-'0_Total'!CZ$10)/('0_Total'!DR$10-'0_Total'!CZ$10)</f>
        <v>11.116077506440892</v>
      </c>
      <c r="DG3" s="515"/>
      <c r="DH3" s="87"/>
      <c r="DI3" s="87"/>
      <c r="DJ3" s="77"/>
      <c r="DK3" s="314">
        <f t="shared" ref="DK3:DP3" si="1">$DQ3</f>
        <v>40.932410117056847</v>
      </c>
      <c r="DL3" s="314">
        <f t="shared" si="1"/>
        <v>40.932410117056847</v>
      </c>
      <c r="DM3" s="318">
        <f>$DQ3*0.9</f>
        <v>36.839169105351161</v>
      </c>
      <c r="DN3" s="314">
        <f t="shared" si="1"/>
        <v>40.932410117056847</v>
      </c>
      <c r="DO3" s="314">
        <f t="shared" si="1"/>
        <v>40.932410117056847</v>
      </c>
      <c r="DP3" s="314">
        <f t="shared" si="1"/>
        <v>40.932410117056847</v>
      </c>
      <c r="DQ3" s="77">
        <f>Tech_Specs_Bus!E43/Convert!$C$17*100</f>
        <v>40.932410117056847</v>
      </c>
      <c r="DR3" s="87">
        <f>CO3/CN3*DQ3</f>
        <v>30.132062436503048</v>
      </c>
      <c r="DS3" s="87"/>
      <c r="DT3" s="87"/>
      <c r="DU3" s="87"/>
      <c r="DV3" s="77"/>
      <c r="DW3" s="77"/>
      <c r="DX3" s="87"/>
      <c r="DY3" s="87"/>
      <c r="DZ3" s="87"/>
      <c r="EA3" s="87"/>
      <c r="EB3" s="87"/>
      <c r="EC3" s="87"/>
      <c r="ED3" s="87"/>
      <c r="EG3" s="74"/>
    </row>
    <row r="4" spans="1:154" x14ac:dyDescent="0.3">
      <c r="A4" s="21" t="s">
        <v>327</v>
      </c>
      <c r="B4" s="21" t="s">
        <v>330</v>
      </c>
      <c r="D4" s="92">
        <f>Tech_Spec_Escoot!C24/Tech_Spec_Escoot!C26</f>
        <v>1.1000000000000001E-2</v>
      </c>
      <c r="E4" s="316">
        <f>O4*0.75</f>
        <v>6.1875000000000003E-3</v>
      </c>
      <c r="F4" s="316">
        <f>P4*0.75</f>
        <v>6.1875000000000003E-3</v>
      </c>
      <c r="G4" s="316">
        <f>O4*0.75</f>
        <v>6.1875000000000003E-3</v>
      </c>
      <c r="H4" s="316">
        <f>P4*0.75</f>
        <v>6.1875000000000003E-3</v>
      </c>
      <c r="I4" s="316">
        <f>S4*0.75</f>
        <v>8.2500000000000004E-3</v>
      </c>
      <c r="J4" s="316">
        <f>T4*0.75</f>
        <v>8.2500000000000004E-3</v>
      </c>
      <c r="K4" s="316">
        <f>P4*0.75</f>
        <v>6.1875000000000003E-3</v>
      </c>
      <c r="L4" s="316">
        <f>T4*0.75</f>
        <v>8.2500000000000004E-3</v>
      </c>
      <c r="M4" s="316">
        <f>U4*0.75</f>
        <v>8.2500000000000004E-3</v>
      </c>
      <c r="N4" s="316">
        <f>V4*0.75</f>
        <v>8.2500000000000004E-3</v>
      </c>
      <c r="O4" s="316">
        <f>V4*0.75</f>
        <v>8.2500000000000004E-3</v>
      </c>
      <c r="P4" s="316">
        <f>W4*0.75</f>
        <v>8.2500000000000004E-3</v>
      </c>
      <c r="Q4" s="316">
        <f>S4</f>
        <v>1.1000000000000001E-2</v>
      </c>
      <c r="R4" s="316">
        <f>T4</f>
        <v>1.1000000000000001E-2</v>
      </c>
      <c r="S4" s="316">
        <f>U4</f>
        <v>1.1000000000000001E-2</v>
      </c>
      <c r="T4" s="316">
        <f>V4</f>
        <v>1.1000000000000001E-2</v>
      </c>
      <c r="U4" s="316">
        <f>V4</f>
        <v>1.1000000000000001E-2</v>
      </c>
      <c r="V4" s="316">
        <f>W4</f>
        <v>1.1000000000000001E-2</v>
      </c>
      <c r="W4" s="92">
        <f>Tech_Spec_Escoot!C24/Tech_Spec_Escoot!C26</f>
        <v>1.1000000000000001E-2</v>
      </c>
      <c r="X4" s="92">
        <f>Tech_Spec_Escoot!$L$24/Tech_Spec_Escoot!$L$26</f>
        <v>1.1899999999999999E-2</v>
      </c>
      <c r="Y4" s="92">
        <f>Tech_Spec_Escoot!$L$24/Tech_Spec_Escoot!$L$26</f>
        <v>1.1899999999999999E-2</v>
      </c>
      <c r="Z4" s="92">
        <f>Tech_Spec_Escoot!$L$24/Tech_Spec_Escoot!$L$26</f>
        <v>1.1899999999999999E-2</v>
      </c>
      <c r="AA4" s="92">
        <f>Tech_Spec_Escoot!$L$24/Tech_Spec_Escoot!$L$26</f>
        <v>1.1899999999999999E-2</v>
      </c>
      <c r="AB4" s="92">
        <f>Tech_Spec_Escoot!$L$24/Tech_Spec_Escoot!$L$26</f>
        <v>1.1899999999999999E-2</v>
      </c>
      <c r="AC4" s="92">
        <f>Tech_Spec_Escoot!$L$24/Tech_Spec_Escoot!$L$26</f>
        <v>1.1899999999999999E-2</v>
      </c>
      <c r="AD4" s="92">
        <f>Tech_Spec_Escoot!$L$24/Tech_Spec_Escoot!$L$26</f>
        <v>1.1899999999999999E-2</v>
      </c>
      <c r="AE4" s="92">
        <f>Tech_Spec_Escoot!$L$24/Tech_Spec_Escoot!$L$26</f>
        <v>1.1899999999999999E-2</v>
      </c>
      <c r="AF4" s="92">
        <f>Tech_Spec_Escoot!C24/Tech_Spec_Escoot!C26</f>
        <v>1.1000000000000001E-2</v>
      </c>
      <c r="AG4" s="92"/>
      <c r="AH4" s="92">
        <f>AJ4</f>
        <v>2.1000000000000001E-2</v>
      </c>
      <c r="AI4" s="92"/>
      <c r="AJ4" s="92">
        <f>Tech_Spec_Bikes!E31</f>
        <v>2.1000000000000001E-2</v>
      </c>
      <c r="AK4" s="92"/>
      <c r="AL4" s="92">
        <f>Tech_Specs_2W!D30</f>
        <v>3.5014005602240911E-2</v>
      </c>
      <c r="AM4" s="92"/>
      <c r="AN4" s="92">
        <f>Tech_Specs_2W!D30</f>
        <v>3.5014005602240911E-2</v>
      </c>
      <c r="AO4" s="92"/>
      <c r="AP4" s="92"/>
      <c r="AQ4" s="92">
        <f>Tech_Specs_Car!$E$11/100</f>
        <v>0.19034624761904761</v>
      </c>
      <c r="AR4" s="316">
        <f t="shared" ref="AR4:AW6" si="2">$AX4</f>
        <v>0.19034624761904761</v>
      </c>
      <c r="AS4" s="316">
        <f t="shared" si="2"/>
        <v>0.19034624761904761</v>
      </c>
      <c r="AT4" s="316">
        <f t="shared" si="2"/>
        <v>0.19034624761904761</v>
      </c>
      <c r="AU4" s="316">
        <f t="shared" si="2"/>
        <v>0.19034624761904761</v>
      </c>
      <c r="AV4" s="316">
        <f t="shared" si="2"/>
        <v>0.19034624761904761</v>
      </c>
      <c r="AW4" s="316">
        <f t="shared" si="2"/>
        <v>0.19034624761904761</v>
      </c>
      <c r="AX4" s="92">
        <f>Tech_Specs_Car!$E$11/100</f>
        <v>0.19034624761904761</v>
      </c>
      <c r="AY4" s="92"/>
      <c r="AZ4" s="92"/>
      <c r="BA4" s="92"/>
      <c r="BB4" s="92"/>
      <c r="BC4" s="316"/>
      <c r="BD4" s="316"/>
      <c r="BE4" s="316"/>
      <c r="BF4" s="316"/>
      <c r="BG4" s="316"/>
      <c r="BH4" s="316"/>
      <c r="BI4" s="92"/>
      <c r="BJ4" s="92"/>
      <c r="BK4" s="92">
        <f>Tech_Specs_Car!$E$11/100</f>
        <v>0.19034624761904761</v>
      </c>
      <c r="BL4" s="316">
        <f t="shared" ref="BL4:BS4" si="3">$BT4</f>
        <v>0.19034624761904761</v>
      </c>
      <c r="BM4" s="316">
        <f t="shared" si="3"/>
        <v>0.19034624761904761</v>
      </c>
      <c r="BN4" s="316">
        <f t="shared" si="3"/>
        <v>0.19034624761904761</v>
      </c>
      <c r="BO4" s="316">
        <f t="shared" si="3"/>
        <v>0.19034624761904761</v>
      </c>
      <c r="BP4" s="316">
        <f t="shared" si="3"/>
        <v>0.19034624761904761</v>
      </c>
      <c r="BQ4" s="316">
        <f t="shared" si="3"/>
        <v>0.19034624761904761</v>
      </c>
      <c r="BR4" s="316">
        <f t="shared" si="3"/>
        <v>0.19034624761904761</v>
      </c>
      <c r="BS4" s="316">
        <f t="shared" si="3"/>
        <v>0.19034624761904761</v>
      </c>
      <c r="BT4" s="92">
        <f>Tech_Specs_Car!$E$11/100</f>
        <v>0.19034624761904761</v>
      </c>
      <c r="BU4" s="316">
        <f t="shared" ref="BU4:CB4" si="4">$CC4</f>
        <v>0.19034624761904761</v>
      </c>
      <c r="BV4" s="316">
        <f t="shared" si="4"/>
        <v>0.19034624761904761</v>
      </c>
      <c r="BW4" s="316">
        <f t="shared" si="4"/>
        <v>0.19034624761904761</v>
      </c>
      <c r="BX4" s="316">
        <f t="shared" si="4"/>
        <v>0.19034624761904761</v>
      </c>
      <c r="BY4" s="316">
        <f t="shared" si="4"/>
        <v>0.19034624761904761</v>
      </c>
      <c r="BZ4" s="316">
        <f t="shared" si="4"/>
        <v>0.19034624761904761</v>
      </c>
      <c r="CA4" s="316">
        <f t="shared" si="4"/>
        <v>0.19034624761904761</v>
      </c>
      <c r="CB4" s="316">
        <f t="shared" si="4"/>
        <v>0.19034624761904761</v>
      </c>
      <c r="CC4" s="92">
        <f>Tech_Specs_Car!$E$11/100</f>
        <v>0.19034624761904761</v>
      </c>
      <c r="CD4" s="92"/>
      <c r="CE4" s="92"/>
      <c r="CF4" s="92"/>
      <c r="CG4" s="92"/>
      <c r="CH4" s="92"/>
      <c r="CI4" s="92"/>
      <c r="CJ4" s="92">
        <f>Tech_Specs_Car!$E$11/100</f>
        <v>0.19034624761904761</v>
      </c>
      <c r="CK4" s="92">
        <f>Tech_Specs_Car!$E$11/100</f>
        <v>0.19034624761904761</v>
      </c>
      <c r="CL4" s="92">
        <f>Tech_Specs_Car!$E$11/100</f>
        <v>0.19034624761904761</v>
      </c>
      <c r="CM4" s="92"/>
      <c r="CN4" s="92"/>
      <c r="CO4" s="92"/>
      <c r="CP4" s="92">
        <f>Tech_Specs_Car!$G$11/100</f>
        <v>0.20009822527716184</v>
      </c>
      <c r="CQ4" s="163">
        <f>Tech_Specs_Car!$G$11/100</f>
        <v>0.20009822527716184</v>
      </c>
      <c r="CR4" s="92"/>
      <c r="CS4" s="92"/>
      <c r="CT4" s="92"/>
      <c r="CU4" s="92">
        <f>Tech_Specs_Car!$G$11/100</f>
        <v>0.20009822527716184</v>
      </c>
      <c r="CV4" s="163">
        <f>Tech_Specs_Car!$G$11/100</f>
        <v>0.20009822527716184</v>
      </c>
      <c r="CW4" s="163">
        <f>Tech_Specs_Car!$G$11/100</f>
        <v>0.20009822527716184</v>
      </c>
      <c r="CX4" s="92"/>
      <c r="CY4" s="92"/>
      <c r="CZ4" s="92"/>
      <c r="DA4" s="516">
        <f>BK4+(CU4-BK4)/('0_Total'!CU$10-'0_Total'!BK$10)*('0_Total'!DA$10-'0_Total'!BK$10)</f>
        <v>0.20009822527716184</v>
      </c>
      <c r="DB4" s="516">
        <f>BT4+(CV4-BT4)/('0_Total'!CV$10-'0_Total'!BT$10)*('0_Total'!DB$10-'0_Total'!BT$10)</f>
        <v>0.20009822527716184</v>
      </c>
      <c r="DC4" s="516">
        <f>CC4+(CW4-CC4)/('0_Total'!CW$10-'0_Total'!CC$10)*('0_Total'!DC$10-'0_Total'!CC$10)</f>
        <v>0.20009822527716184</v>
      </c>
      <c r="DD4" s="92"/>
      <c r="DE4" s="92"/>
      <c r="DF4" s="92"/>
      <c r="DG4" s="516"/>
      <c r="DH4" s="515">
        <f>DB4+(DT4-DB4)*('0_Total'!DH$10-'0_Total'!DB$10)/('0_Total'!DT$10-'0_Total'!DB$10)</f>
        <v>0.42880360684672125</v>
      </c>
      <c r="DI4" s="515">
        <f>DC4+(DU4-DC4)*('0_Total'!DI$10-'0_Total'!DC$10)/('0_Total'!DU$10-'0_Total'!DC$10)</f>
        <v>0.42880360684672125</v>
      </c>
      <c r="DJ4" s="92"/>
      <c r="DK4" s="92"/>
      <c r="DL4" s="92"/>
      <c r="DM4" s="92"/>
      <c r="DN4" s="92"/>
      <c r="DO4" s="92"/>
      <c r="DP4" s="92"/>
      <c r="DQ4" s="92"/>
      <c r="DR4" s="72"/>
      <c r="DS4" s="163">
        <f>Tech_Specs_Bus!$C$43/Convert!$B$12</f>
        <v>1.3739999999999999</v>
      </c>
      <c r="DT4" s="163">
        <f>Tech_Specs_Bus!$C$43/Convert!$B$12</f>
        <v>1.3739999999999999</v>
      </c>
      <c r="DU4" s="163">
        <f>Tech_Specs_Bus!$C$43/Convert!$B$12</f>
        <v>1.3739999999999999</v>
      </c>
      <c r="DV4" s="92"/>
      <c r="DW4" s="92"/>
      <c r="DX4" s="316">
        <f t="shared" ref="DX4:EC4" si="5">$ED4</f>
        <v>17.72111111111111</v>
      </c>
      <c r="DY4" s="316">
        <f t="shared" si="5"/>
        <v>17.72111111111111</v>
      </c>
      <c r="DZ4" s="316">
        <f t="shared" si="5"/>
        <v>17.72111111111111</v>
      </c>
      <c r="EA4" s="316">
        <f t="shared" si="5"/>
        <v>17.72111111111111</v>
      </c>
      <c r="EB4" s="316">
        <f t="shared" si="5"/>
        <v>17.72111111111111</v>
      </c>
      <c r="EC4" s="316">
        <f t="shared" si="5"/>
        <v>17.72111111111111</v>
      </c>
      <c r="ED4" s="92">
        <f>Tech_Spec_Rail!K24/Convert!B12</f>
        <v>17.72111111111111</v>
      </c>
      <c r="EG4" s="74"/>
      <c r="EH4" s="74"/>
    </row>
    <row r="5" spans="1:154" x14ac:dyDescent="0.3">
      <c r="A5" s="21" t="s">
        <v>1128</v>
      </c>
      <c r="B5" s="21" t="s">
        <v>329</v>
      </c>
      <c r="D5" s="92"/>
      <c r="E5" s="316"/>
      <c r="F5" s="316"/>
      <c r="G5" s="316"/>
      <c r="H5" s="316"/>
      <c r="I5" s="316"/>
      <c r="J5" s="316"/>
      <c r="K5" s="316"/>
      <c r="L5" s="316"/>
      <c r="M5" s="316"/>
      <c r="N5" s="316"/>
      <c r="O5" s="316"/>
      <c r="P5" s="316"/>
      <c r="Q5" s="316"/>
      <c r="R5" s="316"/>
      <c r="S5" s="316"/>
      <c r="T5" s="316"/>
      <c r="U5" s="316"/>
      <c r="V5" s="316"/>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316">
        <f>$BB5</f>
        <v>3.2370959256886969</v>
      </c>
      <c r="AZ5" s="316">
        <f>$BB5</f>
        <v>3.2370959256886969</v>
      </c>
      <c r="BA5" s="316">
        <f>$BB5</f>
        <v>3.2370959256886969</v>
      </c>
      <c r="BB5" s="92">
        <f>MIN(AX4*Convert!$B$12*100/Convert!$C$17*WTW_Fuel_properties!$C$66/WTW_Fuel_properties!$O$66,AO3*WTW_Fuel_properties!$C$66/WTW_Fuel_properties!$I$66)</f>
        <v>3.2370959256886969</v>
      </c>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316">
        <f>$CG5</f>
        <v>3.2370959256886969</v>
      </c>
      <c r="CE5" s="316">
        <f>$CG5</f>
        <v>3.2370959256886969</v>
      </c>
      <c r="CF5" s="316">
        <f>$CG5</f>
        <v>3.2370959256886969</v>
      </c>
      <c r="CG5" s="92">
        <f>MIN(BT4*Convert!$B$12*100/Convert!$C$17*WTW_Fuel_properties!$C$66/WTW_Fuel_properties!$O$66,BI3*WTW_Fuel_properties!$C$66/WTW_Fuel_properties!$I$66)</f>
        <v>3.2370959256886969</v>
      </c>
      <c r="CH5" s="92"/>
      <c r="CI5" s="92"/>
      <c r="CJ5" s="92"/>
      <c r="CK5" s="163"/>
      <c r="CL5" s="163"/>
      <c r="CM5" s="92">
        <f>MIN(CL4*Convert!$B$12*100/Convert!$C$17*WTW_Fuel_properties!$C$66/WTW_Fuel_properties!$O$66,CH3*WTW_Fuel_properties!$C$66/WTW_Fuel_properties!$I$66)</f>
        <v>3.2370959256886969</v>
      </c>
      <c r="CN5" s="92"/>
      <c r="CO5" s="92"/>
      <c r="CP5" s="92"/>
      <c r="CQ5" s="163"/>
      <c r="CR5" s="92">
        <f>MIN(CQ4*Convert!$B$12*100/Convert!$C$17*WTW_Fuel_properties!$C$66/WTW_Fuel_properties!$O$66,CN3*WTW_Fuel_properties!$C$66/WTW_Fuel_properties!$I$66)</f>
        <v>3.6991791331514325</v>
      </c>
      <c r="CS5" s="92"/>
      <c r="CT5" s="92"/>
      <c r="CU5" s="92"/>
      <c r="CV5" s="163"/>
      <c r="CW5" s="163"/>
      <c r="CX5" s="92">
        <f>MIN(CV4*Convert!$B$12*100/Convert!$C$17*WTW_Fuel_properties!$C$66/WTW_Fuel_properties!$O$66,CS3*WTW_Fuel_properties!$C$66/WTW_Fuel_properties!$I$66)</f>
        <v>3.6991791331514325</v>
      </c>
      <c r="CY5" s="92"/>
      <c r="CZ5" s="92"/>
      <c r="DA5" s="92"/>
      <c r="DB5" s="163"/>
      <c r="DC5" s="163"/>
      <c r="DD5" s="516">
        <f>CG5+(CX5-CG5)/('0_Total'!CX$10-'0_Total'!CG$10)*('0_Total'!DD$10-'0_Total'!CG$10)</f>
        <v>3.6991791331514325</v>
      </c>
      <c r="DE5" s="92"/>
      <c r="DF5" s="92"/>
      <c r="DG5" s="92"/>
      <c r="DH5" s="163"/>
      <c r="DI5" s="163"/>
      <c r="DJ5" s="515">
        <f>DD5+(DW5-DD5)*('0_Total'!DJ$10-'0_Total'!DD$10)/('0_Total'!DW$10-'0_Total'!DD$10)</f>
        <v>6.7747698146364685</v>
      </c>
      <c r="DK5" s="92"/>
      <c r="DL5" s="92"/>
      <c r="DM5" s="92"/>
      <c r="DN5" s="92"/>
      <c r="DO5" s="92"/>
      <c r="DP5" s="92"/>
      <c r="DQ5" s="92"/>
      <c r="DR5" s="72"/>
      <c r="DS5" s="163"/>
      <c r="DT5" s="163"/>
      <c r="DU5" s="163"/>
      <c r="DV5" s="92">
        <f>MIN(DT4*Convert!$B$12*100/Convert!$C$17*WTW_Fuel_properties!$C$66/WTW_Fuel_properties!$O$66,DP3*WTW_Fuel_properties!$C$66/WTW_Fuel_properties!$I$66)</f>
        <v>19.485608532138752</v>
      </c>
      <c r="DW5" s="92">
        <f>MIN(DU4*Convert!$B$12*100/Convert!$C$17*WTW_Fuel_properties!$C$66/WTW_Fuel_properties!$O$66,DQ3*WTW_Fuel_properties!$C$66/WTW_Fuel_properties!$I$66)</f>
        <v>19.485608532138752</v>
      </c>
      <c r="DX5" s="92"/>
      <c r="DY5" s="92"/>
      <c r="DZ5" s="92"/>
      <c r="EA5" s="92"/>
      <c r="EB5" s="92"/>
      <c r="EC5" s="92"/>
      <c r="ED5" s="92"/>
      <c r="EG5" s="74"/>
      <c r="EH5" s="74"/>
    </row>
    <row r="6" spans="1:154" x14ac:dyDescent="0.3">
      <c r="A6" s="21" t="s">
        <v>328</v>
      </c>
      <c r="B6" s="21" t="s">
        <v>118</v>
      </c>
      <c r="D6" s="165">
        <v>1</v>
      </c>
      <c r="E6" s="165">
        <v>1</v>
      </c>
      <c r="F6" s="165">
        <v>1</v>
      </c>
      <c r="G6" s="165">
        <v>1</v>
      </c>
      <c r="H6" s="165">
        <v>1</v>
      </c>
      <c r="I6" s="165">
        <v>1</v>
      </c>
      <c r="J6" s="165">
        <v>1</v>
      </c>
      <c r="K6" s="165">
        <v>1</v>
      </c>
      <c r="L6" s="165">
        <v>1</v>
      </c>
      <c r="M6" s="165">
        <v>1</v>
      </c>
      <c r="N6" s="165">
        <v>1</v>
      </c>
      <c r="O6" s="165">
        <v>1</v>
      </c>
      <c r="P6" s="165">
        <v>1</v>
      </c>
      <c r="Q6" s="165">
        <v>1</v>
      </c>
      <c r="R6" s="165">
        <v>1</v>
      </c>
      <c r="S6" s="165">
        <v>1</v>
      </c>
      <c r="T6" s="165">
        <v>1</v>
      </c>
      <c r="U6" s="165">
        <v>1</v>
      </c>
      <c r="V6" s="165">
        <v>1</v>
      </c>
      <c r="W6" s="165">
        <v>1</v>
      </c>
      <c r="X6" s="165">
        <v>1</v>
      </c>
      <c r="Y6" s="165">
        <v>1</v>
      </c>
      <c r="Z6" s="165">
        <v>1</v>
      </c>
      <c r="AA6" s="165">
        <v>1</v>
      </c>
      <c r="AB6" s="165">
        <v>1</v>
      </c>
      <c r="AC6" s="165">
        <v>1</v>
      </c>
      <c r="AD6" s="165">
        <v>1</v>
      </c>
      <c r="AE6" s="165">
        <v>1</v>
      </c>
      <c r="AF6" s="165">
        <v>1</v>
      </c>
      <c r="AG6" s="48"/>
      <c r="AH6" s="165">
        <v>1</v>
      </c>
      <c r="AI6" s="48"/>
      <c r="AJ6" s="165">
        <v>1</v>
      </c>
      <c r="AK6" s="48"/>
      <c r="AL6" s="165">
        <v>1</v>
      </c>
      <c r="AM6" s="48"/>
      <c r="AN6" s="165">
        <v>1</v>
      </c>
      <c r="AO6" s="48"/>
      <c r="AP6" s="48"/>
      <c r="AQ6" s="169">
        <f>66%</f>
        <v>0.66</v>
      </c>
      <c r="AR6" s="458">
        <f t="shared" si="2"/>
        <v>1</v>
      </c>
      <c r="AS6" s="458">
        <f t="shared" si="2"/>
        <v>1</v>
      </c>
      <c r="AT6" s="458">
        <f t="shared" si="2"/>
        <v>1</v>
      </c>
      <c r="AU6" s="458">
        <f t="shared" si="2"/>
        <v>1</v>
      </c>
      <c r="AV6" s="458">
        <f t="shared" si="2"/>
        <v>1</v>
      </c>
      <c r="AW6" s="458">
        <f t="shared" si="2"/>
        <v>1</v>
      </c>
      <c r="AX6" s="165">
        <v>1</v>
      </c>
      <c r="AY6" s="165"/>
      <c r="AZ6" s="165"/>
      <c r="BA6" s="165"/>
      <c r="BB6" s="165"/>
      <c r="BC6" s="458"/>
      <c r="BD6" s="458"/>
      <c r="BE6" s="458"/>
      <c r="BF6" s="458"/>
      <c r="BG6" s="458"/>
      <c r="BH6" s="458"/>
      <c r="BI6" s="48"/>
      <c r="BJ6" s="48"/>
      <c r="BK6" s="169">
        <f>('1_Manufacturing'!BK4/'3_Use'!BK4)/(BK9/(5*48)+'0_Total'!BK20)</f>
        <v>0.3591431387331247</v>
      </c>
      <c r="BL6" s="458">
        <f t="shared" ref="BL6:BS6" si="6">$BT6</f>
        <v>1</v>
      </c>
      <c r="BM6" s="458">
        <f t="shared" si="6"/>
        <v>1</v>
      </c>
      <c r="BN6" s="458">
        <f t="shared" si="6"/>
        <v>1</v>
      </c>
      <c r="BO6" s="458">
        <f t="shared" si="6"/>
        <v>1</v>
      </c>
      <c r="BP6" s="458">
        <f t="shared" si="6"/>
        <v>1</v>
      </c>
      <c r="BQ6" s="458">
        <f t="shared" si="6"/>
        <v>1</v>
      </c>
      <c r="BR6" s="458">
        <f t="shared" si="6"/>
        <v>1</v>
      </c>
      <c r="BS6" s="458">
        <f t="shared" si="6"/>
        <v>1</v>
      </c>
      <c r="BT6" s="165">
        <v>1</v>
      </c>
      <c r="BU6" s="458">
        <f t="shared" ref="BU6:CB6" si="7">$CC6</f>
        <v>1</v>
      </c>
      <c r="BV6" s="458">
        <f t="shared" si="7"/>
        <v>1</v>
      </c>
      <c r="BW6" s="458">
        <f t="shared" si="7"/>
        <v>1</v>
      </c>
      <c r="BX6" s="458">
        <f t="shared" si="7"/>
        <v>1</v>
      </c>
      <c r="BY6" s="458">
        <f t="shared" si="7"/>
        <v>1</v>
      </c>
      <c r="BZ6" s="458">
        <f t="shared" si="7"/>
        <v>1</v>
      </c>
      <c r="CA6" s="458">
        <f t="shared" si="7"/>
        <v>1</v>
      </c>
      <c r="CB6" s="458">
        <f t="shared" si="7"/>
        <v>1</v>
      </c>
      <c r="CC6" s="165">
        <v>1</v>
      </c>
      <c r="CD6" s="165"/>
      <c r="CE6" s="165"/>
      <c r="CF6" s="165"/>
      <c r="CG6" s="165"/>
      <c r="CH6" s="48"/>
      <c r="CI6" s="48"/>
      <c r="CJ6" s="169">
        <f>('1_Manufacturing'!CJ4/'3_Use'!CJ4)/(CJ9/(5*48)+'0_Total'!CJ20)</f>
        <v>0.3591431387331247</v>
      </c>
      <c r="CK6" s="165">
        <v>1</v>
      </c>
      <c r="CL6" s="165">
        <v>1</v>
      </c>
      <c r="CM6" s="165"/>
      <c r="CN6" s="48"/>
      <c r="CO6" s="48"/>
      <c r="CP6" s="169">
        <f>66%</f>
        <v>0.66</v>
      </c>
      <c r="CQ6" s="165">
        <v>1</v>
      </c>
      <c r="CR6" s="165"/>
      <c r="CS6" s="48"/>
      <c r="CT6" s="48"/>
      <c r="CU6" s="169">
        <f>('1_Manufacturing'!CU4/'3_Use'!CU4)/(CU9/(5*48)+'0_Total'!CU20)</f>
        <v>0.3591431387331247</v>
      </c>
      <c r="CV6" s="165">
        <v>1</v>
      </c>
      <c r="CW6" s="165">
        <v>1</v>
      </c>
      <c r="CX6" s="165"/>
      <c r="CY6" s="48"/>
      <c r="CZ6" s="48"/>
      <c r="DA6" s="169">
        <f>('1_Manufacturing'!DA4/'3_Use'!DA4)/(DA9/(5*48))</f>
        <v>0.4011998710520317</v>
      </c>
      <c r="DB6" s="165">
        <v>1</v>
      </c>
      <c r="DC6" s="165">
        <v>1</v>
      </c>
      <c r="DD6" s="165"/>
      <c r="DE6" s="48"/>
      <c r="DF6" s="48"/>
      <c r="DG6" s="169"/>
      <c r="DH6" s="165">
        <v>1</v>
      </c>
      <c r="DI6" s="165">
        <v>1</v>
      </c>
      <c r="DJ6" s="165"/>
      <c r="DK6" s="48"/>
      <c r="DL6" s="48"/>
      <c r="DM6" s="48"/>
      <c r="DN6" s="48"/>
      <c r="DO6" s="48"/>
      <c r="DP6" s="48"/>
      <c r="DQ6" s="48"/>
      <c r="DR6" s="48"/>
      <c r="DS6" s="165">
        <v>1</v>
      </c>
      <c r="DT6" s="165">
        <v>1</v>
      </c>
      <c r="DU6" s="165">
        <v>1</v>
      </c>
      <c r="DV6" s="165"/>
      <c r="DW6" s="165"/>
      <c r="DX6" s="165">
        <v>1</v>
      </c>
      <c r="DY6" s="165">
        <v>1</v>
      </c>
      <c r="DZ6" s="165">
        <v>1</v>
      </c>
      <c r="EA6" s="165">
        <v>1</v>
      </c>
      <c r="EB6" s="165">
        <v>1</v>
      </c>
      <c r="EC6" s="165">
        <v>1</v>
      </c>
      <c r="ED6" s="165">
        <v>1</v>
      </c>
      <c r="EG6" s="74"/>
    </row>
    <row r="8" spans="1:154" x14ac:dyDescent="0.3">
      <c r="A8" s="21" t="s">
        <v>958</v>
      </c>
      <c r="B8" s="21" t="s">
        <v>332</v>
      </c>
      <c r="D8" s="303">
        <f>'0_Total'!D4</f>
        <v>3</v>
      </c>
      <c r="E8" s="303">
        <f>'0_Total'!E4</f>
        <v>0.5</v>
      </c>
      <c r="F8" s="303">
        <f>'0_Total'!F4</f>
        <v>1.5</v>
      </c>
      <c r="G8" s="303">
        <f>'0_Total'!G4</f>
        <v>0.83333333333333337</v>
      </c>
      <c r="H8" s="303">
        <f>'0_Total'!H4</f>
        <v>0.83333333333333337</v>
      </c>
      <c r="I8" s="303">
        <f>'0_Total'!I4</f>
        <v>0.83333333333333337</v>
      </c>
      <c r="J8" s="303">
        <f>'0_Total'!J4</f>
        <v>0.83333333333333337</v>
      </c>
      <c r="K8" s="303">
        <f>'0_Total'!K4</f>
        <v>0.83333333333333337</v>
      </c>
      <c r="L8" s="303">
        <f>'0_Total'!L4</f>
        <v>0.83333333333333337</v>
      </c>
      <c r="M8" s="303">
        <f>'0_Total'!M4</f>
        <v>0.83333333333333337</v>
      </c>
      <c r="N8" s="303">
        <f>'0_Total'!N4</f>
        <v>0.83333333333333337</v>
      </c>
      <c r="O8" s="303">
        <f>'0_Total'!O4</f>
        <v>1.5</v>
      </c>
      <c r="P8" s="303">
        <f>'0_Total'!P4</f>
        <v>0.5</v>
      </c>
      <c r="Q8" s="303">
        <f>'0_Total'!Q4</f>
        <v>0.83333333333333337</v>
      </c>
      <c r="R8" s="303">
        <f>'0_Total'!R4</f>
        <v>0.83333333333333337</v>
      </c>
      <c r="S8" s="303">
        <f>'0_Total'!S4</f>
        <v>0.83333333333333337</v>
      </c>
      <c r="T8" s="303">
        <f>'0_Total'!T4</f>
        <v>0.83333333333333337</v>
      </c>
      <c r="U8" s="303">
        <f>'0_Total'!U4</f>
        <v>0.83333333333333337</v>
      </c>
      <c r="V8" s="303">
        <f>'0_Total'!V4</f>
        <v>0.83333333333333337</v>
      </c>
      <c r="W8" s="303">
        <f>'0_Total'!W4</f>
        <v>0.83333333333333337</v>
      </c>
      <c r="X8" s="303">
        <f>'0_Total'!X4</f>
        <v>1.9666666666666668</v>
      </c>
      <c r="Y8" s="303">
        <f>'0_Total'!Y4</f>
        <v>1.9666666666666668</v>
      </c>
      <c r="Z8" s="303">
        <f>'0_Total'!Z4</f>
        <v>1.9666666666666668</v>
      </c>
      <c r="AA8" s="303">
        <f>'0_Total'!AA4</f>
        <v>1.9666666666666668</v>
      </c>
      <c r="AB8" s="303">
        <f>'0_Total'!AB4</f>
        <v>1.9666666666666668</v>
      </c>
      <c r="AC8" s="303">
        <f>'0_Total'!AC4</f>
        <v>1.9666666666666668</v>
      </c>
      <c r="AD8" s="303">
        <f>'0_Total'!AD4</f>
        <v>1.9666666666666668</v>
      </c>
      <c r="AE8" s="303">
        <f>'0_Total'!AE4</f>
        <v>1.9666666666666668</v>
      </c>
      <c r="AF8" s="303">
        <f>'0_Total'!AF4</f>
        <v>0.875</v>
      </c>
      <c r="AG8" s="303">
        <f>'0_Total'!AG4</f>
        <v>5.6</v>
      </c>
      <c r="AH8" s="303">
        <f>'0_Total'!AH4</f>
        <v>5.6</v>
      </c>
      <c r="AI8" s="303">
        <f>'0_Total'!AI4</f>
        <v>1.9</v>
      </c>
      <c r="AJ8" s="303">
        <f>'0_Total'!AJ4</f>
        <v>1.9</v>
      </c>
      <c r="AK8" s="303">
        <f>'0_Total'!AK4</f>
        <v>10</v>
      </c>
      <c r="AL8" s="303">
        <f>'0_Total'!AL4</f>
        <v>10</v>
      </c>
      <c r="AM8" s="303">
        <f>'0_Total'!AM4</f>
        <v>3.7</v>
      </c>
      <c r="AN8" s="303">
        <f>'0_Total'!AN4</f>
        <v>3.7</v>
      </c>
      <c r="AO8" s="303">
        <f>'0_Total'!AO4</f>
        <v>15</v>
      </c>
      <c r="AP8" s="303">
        <f>'0_Total'!AP4</f>
        <v>15</v>
      </c>
      <c r="AQ8" s="303">
        <f>'0_Total'!AQ4</f>
        <v>15</v>
      </c>
      <c r="AR8" s="303">
        <f>'0_Total'!AR4</f>
        <v>15</v>
      </c>
      <c r="AS8" s="303">
        <f>'0_Total'!AS4</f>
        <v>15</v>
      </c>
      <c r="AT8" s="303">
        <f>'0_Total'!AT4</f>
        <v>15</v>
      </c>
      <c r="AU8" s="303">
        <f>'0_Total'!AU4</f>
        <v>15</v>
      </c>
      <c r="AV8" s="303">
        <f>'0_Total'!AV4</f>
        <v>15</v>
      </c>
      <c r="AW8" s="303">
        <f>'0_Total'!AW4</f>
        <v>15</v>
      </c>
      <c r="AX8" s="303">
        <f>'0_Total'!AX4</f>
        <v>15</v>
      </c>
      <c r="AY8" s="303">
        <f>'0_Total'!AY4</f>
        <v>15</v>
      </c>
      <c r="AZ8" s="303">
        <f>'0_Total'!AY4</f>
        <v>15</v>
      </c>
      <c r="BA8" s="303">
        <f>'0_Total'!BA4</f>
        <v>15</v>
      </c>
      <c r="BB8" s="303">
        <f>'0_Total'!BB4</f>
        <v>15</v>
      </c>
      <c r="BC8" s="303">
        <f>'0_Total'!BC4</f>
        <v>7.0735718042434765</v>
      </c>
      <c r="BD8" s="303">
        <f>'0_Total'!BD4</f>
        <v>7.0735718042434765</v>
      </c>
      <c r="BE8" s="303">
        <f>'0_Total'!BE4</f>
        <v>7.0735718042434765</v>
      </c>
      <c r="BF8" s="303">
        <f>'0_Total'!BF4</f>
        <v>7.0735718042434765</v>
      </c>
      <c r="BG8" s="303">
        <f>'0_Total'!BG4</f>
        <v>7.0735718042434765</v>
      </c>
      <c r="BH8" s="303">
        <f>'0_Total'!BH4</f>
        <v>7.0735718042434765</v>
      </c>
      <c r="BI8" s="303">
        <f>'0_Total'!BI4</f>
        <v>7.0735718042434765</v>
      </c>
      <c r="BJ8" s="303">
        <f>'0_Total'!BJ4</f>
        <v>7.0735718042434765</v>
      </c>
      <c r="BK8" s="303">
        <f>'0_Total'!BK4</f>
        <v>7.0735718042434765</v>
      </c>
      <c r="BL8" s="303">
        <f>'0_Total'!BL4</f>
        <v>7.0735718042434765</v>
      </c>
      <c r="BM8" s="303">
        <f>'0_Total'!BM4</f>
        <v>7.0735718042434765</v>
      </c>
      <c r="BN8" s="303">
        <f>'0_Total'!BN4</f>
        <v>7.0735718042434765</v>
      </c>
      <c r="BO8" s="303">
        <f>'0_Total'!BO4</f>
        <v>7.0735718042434765</v>
      </c>
      <c r="BP8" s="303">
        <f>'0_Total'!BP4</f>
        <v>7.0735718042434765</v>
      </c>
      <c r="BQ8" s="303">
        <f>'0_Total'!BQ4</f>
        <v>7.0735718042434765</v>
      </c>
      <c r="BR8" s="303">
        <f>'0_Total'!BR4</f>
        <v>7.0735718042434765</v>
      </c>
      <c r="BS8" s="303">
        <f>'0_Total'!BS4</f>
        <v>7.0735718042434765</v>
      </c>
      <c r="BT8" s="303">
        <f>'0_Total'!BT4</f>
        <v>7.0735718042434765</v>
      </c>
      <c r="BU8" s="303">
        <f>'0_Total'!BU4</f>
        <v>7.0735718042434765</v>
      </c>
      <c r="BV8" s="303">
        <f>'0_Total'!BV4</f>
        <v>7.0735718042434765</v>
      </c>
      <c r="BW8" s="303">
        <f>'0_Total'!BW4</f>
        <v>7.0735718042434765</v>
      </c>
      <c r="BX8" s="303">
        <f>'0_Total'!BX4</f>
        <v>7.0735718042434765</v>
      </c>
      <c r="BY8" s="303">
        <f>'0_Total'!BY4</f>
        <v>7.0735718042434765</v>
      </c>
      <c r="BZ8" s="303">
        <f>'0_Total'!BZ4</f>
        <v>7.0735718042434765</v>
      </c>
      <c r="CA8" s="303">
        <f>'0_Total'!CA4</f>
        <v>7.0735718042434765</v>
      </c>
      <c r="CB8" s="303">
        <f>'0_Total'!CB4</f>
        <v>7.0735718042434765</v>
      </c>
      <c r="CC8" s="303">
        <f>'0_Total'!CC4</f>
        <v>7.0735718042434765</v>
      </c>
      <c r="CD8" s="303">
        <f>'0_Total'!CD4</f>
        <v>7.0735718042434765</v>
      </c>
      <c r="CE8" s="303">
        <f>'0_Total'!CD4</f>
        <v>7.0735718042434765</v>
      </c>
      <c r="CF8" s="303">
        <f>'0_Total'!CF4</f>
        <v>7.0735718042434765</v>
      </c>
      <c r="CG8" s="303">
        <f>'0_Total'!CG4</f>
        <v>7.0735718042434765</v>
      </c>
      <c r="CH8" s="303">
        <f>'0_Total'!CH4</f>
        <v>7.0735718042434765</v>
      </c>
      <c r="CI8" s="303">
        <f>'0_Total'!CI4</f>
        <v>7.0735718042434765</v>
      </c>
      <c r="CJ8" s="303">
        <f>'0_Total'!CJ4</f>
        <v>7.0735718042434765</v>
      </c>
      <c r="CK8" s="303">
        <f>'0_Total'!CK4</f>
        <v>7.0735718042434765</v>
      </c>
      <c r="CL8" s="303">
        <f>'0_Total'!CL4</f>
        <v>7.0735718042434765</v>
      </c>
      <c r="CM8" s="303">
        <f>'0_Total'!CM4</f>
        <v>7.0735718042434765</v>
      </c>
      <c r="CN8" s="303">
        <f>'0_Total'!CN4</f>
        <v>15</v>
      </c>
      <c r="CO8" s="303">
        <f>'0_Total'!CO4</f>
        <v>15</v>
      </c>
      <c r="CP8" s="303">
        <f>'0_Total'!CP4</f>
        <v>15</v>
      </c>
      <c r="CQ8" s="303">
        <f>'0_Total'!CQ4</f>
        <v>15</v>
      </c>
      <c r="CR8" s="303">
        <f>'0_Total'!CR4</f>
        <v>15</v>
      </c>
      <c r="CS8" s="303">
        <f>'0_Total'!CS4</f>
        <v>7.0735718042434765</v>
      </c>
      <c r="CT8" s="303">
        <f>'0_Total'!CT4</f>
        <v>7.0735718042434765</v>
      </c>
      <c r="CU8" s="303">
        <f>'0_Total'!CU4</f>
        <v>7.0735718042434765</v>
      </c>
      <c r="CV8" s="303">
        <f>'0_Total'!CV4</f>
        <v>7.0735718042434765</v>
      </c>
      <c r="CW8" s="303">
        <f>'0_Total'!CW4</f>
        <v>7.0735718042434765</v>
      </c>
      <c r="CX8" s="303">
        <f>'0_Total'!CX4</f>
        <v>7.0735718042434765</v>
      </c>
      <c r="CY8" s="303">
        <f>'0_Total'!CY4</f>
        <v>7.0735718042434765</v>
      </c>
      <c r="CZ8" s="303">
        <f>'0_Total'!CZ4</f>
        <v>7.0735718042434765</v>
      </c>
      <c r="DA8" s="303">
        <f>'0_Total'!DA4</f>
        <v>7.0735718042434765</v>
      </c>
      <c r="DB8" s="303">
        <f>'0_Total'!DB4</f>
        <v>7.0735718042434765</v>
      </c>
      <c r="DC8" s="303">
        <f>'0_Total'!DC4</f>
        <v>7.0735718042434765</v>
      </c>
      <c r="DD8" s="303">
        <f>'0_Total'!DD4</f>
        <v>7.0735718042434765</v>
      </c>
      <c r="DE8" s="303">
        <f>'0_Total'!DE4</f>
        <v>7.0735718042434765</v>
      </c>
      <c r="DF8" s="303">
        <f>'0_Total'!DF4</f>
        <v>7.0735718042434765</v>
      </c>
      <c r="DG8" s="303"/>
      <c r="DH8" s="303">
        <f>'0_Total'!DH4</f>
        <v>7.0735718042434765</v>
      </c>
      <c r="DI8" s="303">
        <f>'0_Total'!DI4</f>
        <v>7.0735718042434765</v>
      </c>
      <c r="DJ8" s="303">
        <f>'0_Total'!DJ4</f>
        <v>7.0735718042434765</v>
      </c>
      <c r="DK8" s="303">
        <f>'0_Total'!DK4</f>
        <v>6.75</v>
      </c>
      <c r="DL8" s="303">
        <f>'0_Total'!DL4</f>
        <v>11.25</v>
      </c>
      <c r="DM8" s="303">
        <f>'0_Total'!DM4</f>
        <v>9</v>
      </c>
      <c r="DN8" s="303">
        <f>'0_Total'!DN4</f>
        <v>9</v>
      </c>
      <c r="DO8" s="303">
        <f>'0_Total'!DO4</f>
        <v>9</v>
      </c>
      <c r="DP8" s="303">
        <f>'0_Total'!DP4</f>
        <v>9</v>
      </c>
      <c r="DQ8" s="303">
        <f>'0_Total'!DQ4</f>
        <v>9</v>
      </c>
      <c r="DR8" s="303">
        <f>'0_Total'!DR4</f>
        <v>9</v>
      </c>
      <c r="DS8" s="303">
        <f>'0_Total'!DS4</f>
        <v>9</v>
      </c>
      <c r="DT8" s="303">
        <f>'0_Total'!DT4</f>
        <v>9</v>
      </c>
      <c r="DU8" s="303">
        <f>'0_Total'!DU4</f>
        <v>9</v>
      </c>
      <c r="DV8" s="303">
        <f>'0_Total'!DV4</f>
        <v>9</v>
      </c>
      <c r="DW8" s="303">
        <f>'0_Total'!DW4</f>
        <v>9</v>
      </c>
      <c r="DX8" s="303">
        <f>'0_Total'!DX4</f>
        <v>40</v>
      </c>
      <c r="DY8" s="303">
        <f>'0_Total'!DY4</f>
        <v>40</v>
      </c>
      <c r="DZ8" s="303">
        <f>'0_Total'!DZ4</f>
        <v>40</v>
      </c>
      <c r="EA8" s="303">
        <f>'0_Total'!EA4</f>
        <v>40</v>
      </c>
      <c r="EB8" s="303">
        <f>'0_Total'!EB4</f>
        <v>40</v>
      </c>
      <c r="EC8" s="303">
        <f>'0_Total'!EC4</f>
        <v>40</v>
      </c>
      <c r="ED8" s="303">
        <f>'0_Total'!ED4</f>
        <v>40</v>
      </c>
    </row>
    <row r="9" spans="1:154" x14ac:dyDescent="0.3">
      <c r="A9" s="21" t="s">
        <v>1227</v>
      </c>
      <c r="B9" s="21" t="s">
        <v>333</v>
      </c>
      <c r="C9" s="21" t="s">
        <v>1206</v>
      </c>
      <c r="D9" s="279">
        <f>'0_Total'!D5</f>
        <v>2200</v>
      </c>
      <c r="E9" s="279">
        <f>'0_Total'!E5</f>
        <v>1450</v>
      </c>
      <c r="F9" s="279">
        <f>'0_Total'!F5</f>
        <v>4350</v>
      </c>
      <c r="G9" s="279">
        <f>'0_Total'!G5</f>
        <v>1450</v>
      </c>
      <c r="H9" s="279">
        <f>'0_Total'!H5</f>
        <v>4350</v>
      </c>
      <c r="I9" s="279">
        <f>'0_Total'!I5</f>
        <v>2900</v>
      </c>
      <c r="J9" s="279">
        <f>'0_Total'!J5</f>
        <v>2900</v>
      </c>
      <c r="K9" s="279">
        <f>'0_Total'!K5</f>
        <v>2900</v>
      </c>
      <c r="L9" s="279">
        <f>'0_Total'!L5</f>
        <v>2900</v>
      </c>
      <c r="M9" s="279">
        <f>'0_Total'!M5</f>
        <v>2900</v>
      </c>
      <c r="N9" s="279">
        <f>'0_Total'!N5</f>
        <v>2900</v>
      </c>
      <c r="O9" s="279">
        <f>'0_Total'!O5</f>
        <v>2900</v>
      </c>
      <c r="P9" s="279">
        <f>'0_Total'!P5</f>
        <v>2900</v>
      </c>
      <c r="Q9" s="279">
        <f>'0_Total'!Q5</f>
        <v>2900</v>
      </c>
      <c r="R9" s="279">
        <f>'0_Total'!R5</f>
        <v>2900</v>
      </c>
      <c r="S9" s="279">
        <f>'0_Total'!S5</f>
        <v>2900</v>
      </c>
      <c r="T9" s="279">
        <f>'0_Total'!T5</f>
        <v>2900</v>
      </c>
      <c r="U9" s="279">
        <f>'0_Total'!U5</f>
        <v>2900</v>
      </c>
      <c r="V9" s="279">
        <f>'0_Total'!V5</f>
        <v>2900</v>
      </c>
      <c r="W9" s="279">
        <f>'0_Total'!W5</f>
        <v>2900</v>
      </c>
      <c r="X9" s="279">
        <f>'0_Total'!X5</f>
        <v>4350</v>
      </c>
      <c r="Y9" s="279">
        <f>'0_Total'!Y5</f>
        <v>2900</v>
      </c>
      <c r="Z9" s="279">
        <f>'0_Total'!Z5</f>
        <v>2900</v>
      </c>
      <c r="AA9" s="279">
        <f>'0_Total'!AA5</f>
        <v>4350</v>
      </c>
      <c r="AB9" s="279">
        <f>'0_Total'!AB5</f>
        <v>2900</v>
      </c>
      <c r="AC9" s="279">
        <f>'0_Total'!AC5</f>
        <v>2900</v>
      </c>
      <c r="AD9" s="279">
        <f>'0_Total'!AD5</f>
        <v>2900</v>
      </c>
      <c r="AE9" s="279">
        <f>'0_Total'!AE5</f>
        <v>2900</v>
      </c>
      <c r="AF9" s="279">
        <f>'0_Total'!AF5</f>
        <v>3700</v>
      </c>
      <c r="AG9" s="279">
        <f>'0_Total'!AG5</f>
        <v>2400</v>
      </c>
      <c r="AH9" s="279">
        <f>'0_Total'!AH5</f>
        <v>2400</v>
      </c>
      <c r="AI9" s="279">
        <f>'0_Total'!AI5</f>
        <v>2900</v>
      </c>
      <c r="AJ9" s="279">
        <f>'0_Total'!AJ5</f>
        <v>2900</v>
      </c>
      <c r="AK9" s="279">
        <f>'0_Total'!AK5</f>
        <v>4900</v>
      </c>
      <c r="AL9" s="279">
        <f>'0_Total'!AL5</f>
        <v>4900</v>
      </c>
      <c r="AM9" s="279">
        <f>'0_Total'!AM5</f>
        <v>5300</v>
      </c>
      <c r="AN9" s="279">
        <f>'0_Total'!AN5</f>
        <v>5300</v>
      </c>
      <c r="AO9" s="279">
        <f>'0_Total'!AO5</f>
        <v>12100</v>
      </c>
      <c r="AP9" s="279">
        <f>'0_Total'!AP5</f>
        <v>12100</v>
      </c>
      <c r="AQ9" s="279">
        <f>'0_Total'!AQ5</f>
        <v>12100</v>
      </c>
      <c r="AR9" s="279">
        <f>'0_Total'!AR5</f>
        <v>12100</v>
      </c>
      <c r="AS9" s="279">
        <f>'0_Total'!AS5</f>
        <v>12100</v>
      </c>
      <c r="AT9" s="279">
        <f>'0_Total'!AT5</f>
        <v>12100</v>
      </c>
      <c r="AU9" s="279">
        <f>'0_Total'!AU5</f>
        <v>12100</v>
      </c>
      <c r="AV9" s="279">
        <f>'0_Total'!AV5</f>
        <v>12100</v>
      </c>
      <c r="AW9" s="279">
        <f>'0_Total'!AW5</f>
        <v>12100</v>
      </c>
      <c r="AX9" s="279">
        <f>'0_Total'!AX5</f>
        <v>12100</v>
      </c>
      <c r="AY9" s="279">
        <f>'0_Total'!AY5</f>
        <v>12100</v>
      </c>
      <c r="AZ9" s="279">
        <f>'0_Total'!AY5</f>
        <v>12100</v>
      </c>
      <c r="BA9" s="279">
        <f>'0_Total'!BA5</f>
        <v>12100</v>
      </c>
      <c r="BB9" s="279">
        <f>'0_Total'!BB5</f>
        <v>12100</v>
      </c>
      <c r="BC9" s="279">
        <f>'0_Total'!BC5</f>
        <v>48000</v>
      </c>
      <c r="BD9" s="279">
        <f>'0_Total'!BD5</f>
        <v>48000</v>
      </c>
      <c r="BE9" s="279">
        <f>'0_Total'!BE5</f>
        <v>48000</v>
      </c>
      <c r="BF9" s="279">
        <f>'0_Total'!BF5</f>
        <v>48000</v>
      </c>
      <c r="BG9" s="279">
        <f>'0_Total'!BG5</f>
        <v>48000</v>
      </c>
      <c r="BH9" s="279">
        <f>'0_Total'!BH5</f>
        <v>48000</v>
      </c>
      <c r="BI9" s="279">
        <f>'0_Total'!BI5</f>
        <v>48000</v>
      </c>
      <c r="BJ9" s="279">
        <f>'0_Total'!BJ5</f>
        <v>48000</v>
      </c>
      <c r="BK9" s="279">
        <f>'0_Total'!BK5</f>
        <v>48000</v>
      </c>
      <c r="BL9" s="279">
        <f>'0_Total'!BL5</f>
        <v>48000</v>
      </c>
      <c r="BM9" s="279">
        <f>'0_Total'!BM5</f>
        <v>48000</v>
      </c>
      <c r="BN9" s="279">
        <f>'0_Total'!BN5</f>
        <v>48000</v>
      </c>
      <c r="BO9" s="279">
        <f>'0_Total'!BO5</f>
        <v>48000</v>
      </c>
      <c r="BP9" s="279">
        <f>'0_Total'!BP5</f>
        <v>48000</v>
      </c>
      <c r="BQ9" s="279">
        <f>'0_Total'!BQ5</f>
        <v>48000</v>
      </c>
      <c r="BR9" s="279">
        <f>'0_Total'!BR5</f>
        <v>48000</v>
      </c>
      <c r="BS9" s="279">
        <f>'0_Total'!BS5</f>
        <v>48000</v>
      </c>
      <c r="BT9" s="279">
        <f>'0_Total'!BT5</f>
        <v>48000</v>
      </c>
      <c r="BU9" s="279">
        <f>'0_Total'!BU5</f>
        <v>48000</v>
      </c>
      <c r="BV9" s="279">
        <f>'0_Total'!BV5</f>
        <v>48000</v>
      </c>
      <c r="BW9" s="279">
        <f>'0_Total'!BW5</f>
        <v>48000</v>
      </c>
      <c r="BX9" s="279">
        <f>'0_Total'!BX5</f>
        <v>48000</v>
      </c>
      <c r="BY9" s="279">
        <f>'0_Total'!BY5</f>
        <v>48000</v>
      </c>
      <c r="BZ9" s="279">
        <f>'0_Total'!BZ5</f>
        <v>48000</v>
      </c>
      <c r="CA9" s="279">
        <f>'0_Total'!CA5</f>
        <v>48000</v>
      </c>
      <c r="CB9" s="279">
        <f>'0_Total'!CB5</f>
        <v>48000</v>
      </c>
      <c r="CC9" s="279">
        <f>'0_Total'!CC5</f>
        <v>48000</v>
      </c>
      <c r="CD9" s="279">
        <f>'0_Total'!CD5</f>
        <v>48000</v>
      </c>
      <c r="CE9" s="279">
        <f>'0_Total'!CD5</f>
        <v>48000</v>
      </c>
      <c r="CF9" s="279">
        <f>'0_Total'!CF5</f>
        <v>48000</v>
      </c>
      <c r="CG9" s="279">
        <f>'0_Total'!CG5</f>
        <v>48000</v>
      </c>
      <c r="CH9" s="279">
        <f>'0_Total'!CH5</f>
        <v>48000</v>
      </c>
      <c r="CI9" s="279">
        <f>'0_Total'!CI5</f>
        <v>48000</v>
      </c>
      <c r="CJ9" s="279">
        <f>'0_Total'!CJ5</f>
        <v>48000</v>
      </c>
      <c r="CK9" s="279">
        <f>'0_Total'!CK5</f>
        <v>48000</v>
      </c>
      <c r="CL9" s="279">
        <f>'0_Total'!CL5</f>
        <v>48000</v>
      </c>
      <c r="CM9" s="279">
        <f>'0_Total'!CM5</f>
        <v>48000</v>
      </c>
      <c r="CN9" s="279">
        <f>'0_Total'!CN5</f>
        <v>12100</v>
      </c>
      <c r="CO9" s="279">
        <f>'0_Total'!CO5</f>
        <v>12100</v>
      </c>
      <c r="CP9" s="279">
        <f>'0_Total'!CP5</f>
        <v>12100</v>
      </c>
      <c r="CQ9" s="279">
        <f>'0_Total'!CQ5</f>
        <v>12100</v>
      </c>
      <c r="CR9" s="279">
        <f>'0_Total'!CR5</f>
        <v>12100</v>
      </c>
      <c r="CS9" s="279">
        <f>'0_Total'!CS5</f>
        <v>48000</v>
      </c>
      <c r="CT9" s="279">
        <f>'0_Total'!CT5</f>
        <v>48000</v>
      </c>
      <c r="CU9" s="279">
        <f>'0_Total'!CU5</f>
        <v>48000</v>
      </c>
      <c r="CV9" s="279">
        <f>'0_Total'!CV5</f>
        <v>48000</v>
      </c>
      <c r="CW9" s="279">
        <f>'0_Total'!CW5</f>
        <v>48000</v>
      </c>
      <c r="CX9" s="279">
        <f>'0_Total'!CX5</f>
        <v>48000</v>
      </c>
      <c r="CY9" s="279">
        <f>'0_Total'!CY5</f>
        <v>48000</v>
      </c>
      <c r="CZ9" s="279">
        <f>'0_Total'!CZ5</f>
        <v>48000</v>
      </c>
      <c r="DA9" s="279">
        <f>'0_Total'!DA5</f>
        <v>48000</v>
      </c>
      <c r="DB9" s="279">
        <f>'0_Total'!DB5</f>
        <v>48000</v>
      </c>
      <c r="DC9" s="279">
        <f>'0_Total'!DC5</f>
        <v>48000</v>
      </c>
      <c r="DD9" s="279">
        <f>'0_Total'!DD5</f>
        <v>48000</v>
      </c>
      <c r="DE9" s="279">
        <f>'0_Total'!DE5</f>
        <v>48000</v>
      </c>
      <c r="DF9" s="279">
        <f>'0_Total'!DF5</f>
        <v>48000</v>
      </c>
      <c r="DG9" s="279"/>
      <c r="DH9" s="279">
        <f>'0_Total'!DH5</f>
        <v>48000</v>
      </c>
      <c r="DI9" s="279">
        <f>'0_Total'!DI5</f>
        <v>48000</v>
      </c>
      <c r="DJ9" s="279">
        <f>'0_Total'!DJ5</f>
        <v>48000</v>
      </c>
      <c r="DK9" s="279">
        <f>'0_Total'!DK5</f>
        <v>44000</v>
      </c>
      <c r="DL9" s="279">
        <f>'0_Total'!DL5</f>
        <v>44000</v>
      </c>
      <c r="DM9" s="279">
        <f>'0_Total'!DM5</f>
        <v>44000</v>
      </c>
      <c r="DN9" s="279">
        <f>'0_Total'!DN5</f>
        <v>44000</v>
      </c>
      <c r="DO9" s="279">
        <f>'0_Total'!DO5</f>
        <v>44000</v>
      </c>
      <c r="DP9" s="279">
        <f>'0_Total'!DP5</f>
        <v>44000</v>
      </c>
      <c r="DQ9" s="279">
        <f>'0_Total'!DQ5</f>
        <v>44000</v>
      </c>
      <c r="DR9" s="279">
        <f>'0_Total'!DR5</f>
        <v>44000</v>
      </c>
      <c r="DS9" s="279">
        <f>'0_Total'!DS5</f>
        <v>44000</v>
      </c>
      <c r="DT9" s="279">
        <f>'0_Total'!DT5</f>
        <v>44000</v>
      </c>
      <c r="DU9" s="279">
        <f>'0_Total'!DU5</f>
        <v>44000</v>
      </c>
      <c r="DV9" s="279">
        <f>'0_Total'!DV5</f>
        <v>44000</v>
      </c>
      <c r="DW9" s="279">
        <f>'0_Total'!DW5</f>
        <v>44000</v>
      </c>
      <c r="DX9" s="279">
        <f>'0_Total'!DX5</f>
        <v>66000</v>
      </c>
      <c r="DY9" s="279">
        <f>'0_Total'!DY5</f>
        <v>66000</v>
      </c>
      <c r="DZ9" s="279">
        <f>'0_Total'!DZ5</f>
        <v>66000</v>
      </c>
      <c r="EA9" s="279">
        <f>'0_Total'!EA5</f>
        <v>66000</v>
      </c>
      <c r="EB9" s="279">
        <f>'0_Total'!EB5</f>
        <v>66000</v>
      </c>
      <c r="EC9" s="279">
        <f>'0_Total'!EC5</f>
        <v>66000</v>
      </c>
      <c r="ED9" s="279">
        <f>'0_Total'!ED5</f>
        <v>66000</v>
      </c>
    </row>
    <row r="10" spans="1:154" x14ac:dyDescent="0.3">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45"/>
      <c r="DL10" s="45"/>
      <c r="DM10" s="45"/>
      <c r="DN10" s="45"/>
      <c r="DO10" s="45"/>
      <c r="DP10" s="45"/>
      <c r="DQ10" s="45"/>
      <c r="DR10" s="45"/>
      <c r="DS10" s="45"/>
      <c r="DT10" s="45"/>
      <c r="DU10" s="45"/>
      <c r="DV10" s="173"/>
      <c r="DW10" s="173"/>
      <c r="DX10" s="45"/>
      <c r="DY10" s="45"/>
      <c r="DZ10" s="45"/>
      <c r="EA10" s="45"/>
      <c r="EB10" s="45"/>
      <c r="EC10" s="45"/>
      <c r="ED10" s="45"/>
    </row>
    <row r="11" spans="1:154" x14ac:dyDescent="0.3">
      <c r="A11" s="21" t="s">
        <v>957</v>
      </c>
      <c r="B11" s="21" t="s">
        <v>415</v>
      </c>
      <c r="D11" s="23">
        <f>D9/365</f>
        <v>6.0273972602739727</v>
      </c>
      <c r="E11" s="23">
        <f>E9/365</f>
        <v>3.9726027397260273</v>
      </c>
      <c r="F11" s="23">
        <f>F9/365</f>
        <v>11.917808219178083</v>
      </c>
      <c r="G11" s="23">
        <f t="shared" ref="G11:AF11" si="8">G9/365</f>
        <v>3.9726027397260273</v>
      </c>
      <c r="H11" s="23">
        <f t="shared" si="8"/>
        <v>11.917808219178083</v>
      </c>
      <c r="I11" s="23">
        <f t="shared" ref="I11" si="9">I9/365</f>
        <v>7.9452054794520546</v>
      </c>
      <c r="J11" s="23">
        <f t="shared" si="8"/>
        <v>7.9452054794520546</v>
      </c>
      <c r="K11" s="23">
        <f t="shared" si="8"/>
        <v>7.9452054794520546</v>
      </c>
      <c r="L11" s="23">
        <f t="shared" si="8"/>
        <v>7.9452054794520546</v>
      </c>
      <c r="M11" s="23">
        <f t="shared" si="8"/>
        <v>7.9452054794520546</v>
      </c>
      <c r="N11" s="23">
        <f t="shared" si="8"/>
        <v>7.9452054794520546</v>
      </c>
      <c r="O11" s="23">
        <f t="shared" si="8"/>
        <v>7.9452054794520546</v>
      </c>
      <c r="P11" s="23">
        <f t="shared" si="8"/>
        <v>7.9452054794520546</v>
      </c>
      <c r="Q11" s="23">
        <f>Q9/365</f>
        <v>7.9452054794520546</v>
      </c>
      <c r="R11" s="23">
        <f>R9/365</f>
        <v>7.9452054794520546</v>
      </c>
      <c r="S11" s="23">
        <f t="shared" si="8"/>
        <v>7.9452054794520546</v>
      </c>
      <c r="T11" s="23">
        <f t="shared" si="8"/>
        <v>7.9452054794520546</v>
      </c>
      <c r="U11" s="23">
        <f t="shared" si="8"/>
        <v>7.9452054794520546</v>
      </c>
      <c r="V11" s="23">
        <f t="shared" si="8"/>
        <v>7.9452054794520546</v>
      </c>
      <c r="W11" s="23">
        <f>W9/365</f>
        <v>7.9452054794520546</v>
      </c>
      <c r="X11" s="23">
        <f t="shared" ref="X11:Y11" si="10">X9/365</f>
        <v>11.917808219178083</v>
      </c>
      <c r="Y11" s="23">
        <f t="shared" si="10"/>
        <v>7.9452054794520546</v>
      </c>
      <c r="Z11" s="23">
        <f t="shared" ref="Z11" si="11">Z9/365</f>
        <v>7.9452054794520546</v>
      </c>
      <c r="AA11" s="23">
        <f t="shared" ref="AA11" si="12">AA9/365</f>
        <v>11.917808219178083</v>
      </c>
      <c r="AB11" s="23">
        <f t="shared" ref="AB11:AC11" si="13">AB9/365</f>
        <v>7.9452054794520546</v>
      </c>
      <c r="AC11" s="23">
        <f t="shared" si="13"/>
        <v>7.9452054794520546</v>
      </c>
      <c r="AD11" s="23">
        <f t="shared" ref="AD11" si="14">AD9/365</f>
        <v>7.9452054794520546</v>
      </c>
      <c r="AE11" s="23">
        <f t="shared" ref="AE11" si="15">AE9/365</f>
        <v>7.9452054794520546</v>
      </c>
      <c r="AF11" s="23">
        <f t="shared" si="8"/>
        <v>10.136986301369863</v>
      </c>
      <c r="AG11" s="23">
        <f t="shared" ref="AG11:BA11" si="16">AG9/365</f>
        <v>6.5753424657534243</v>
      </c>
      <c r="AH11" s="23">
        <f t="shared" si="16"/>
        <v>6.5753424657534243</v>
      </c>
      <c r="AI11" s="23">
        <f t="shared" si="16"/>
        <v>7.9452054794520546</v>
      </c>
      <c r="AJ11" s="23">
        <f t="shared" si="16"/>
        <v>7.9452054794520546</v>
      </c>
      <c r="AK11" s="23">
        <f t="shared" si="16"/>
        <v>13.424657534246576</v>
      </c>
      <c r="AL11" s="23">
        <f t="shared" si="16"/>
        <v>13.424657534246576</v>
      </c>
      <c r="AM11" s="23">
        <f t="shared" si="16"/>
        <v>14.520547945205479</v>
      </c>
      <c r="AN11" s="23">
        <f t="shared" si="16"/>
        <v>14.520547945205479</v>
      </c>
      <c r="AO11" s="23">
        <f t="shared" si="16"/>
        <v>33.150684931506852</v>
      </c>
      <c r="AP11" s="23">
        <f t="shared" si="16"/>
        <v>33.150684931506852</v>
      </c>
      <c r="AQ11" s="23">
        <f t="shared" si="16"/>
        <v>33.150684931506852</v>
      </c>
      <c r="AR11" s="23">
        <f t="shared" si="16"/>
        <v>33.150684931506852</v>
      </c>
      <c r="AS11" s="23">
        <f t="shared" si="16"/>
        <v>33.150684931506852</v>
      </c>
      <c r="AT11" s="23">
        <f t="shared" si="16"/>
        <v>33.150684931506852</v>
      </c>
      <c r="AU11" s="23">
        <f t="shared" si="16"/>
        <v>33.150684931506852</v>
      </c>
      <c r="AV11" s="23">
        <f t="shared" si="16"/>
        <v>33.150684931506852</v>
      </c>
      <c r="AW11" s="23">
        <f t="shared" si="16"/>
        <v>33.150684931506852</v>
      </c>
      <c r="AX11" s="23">
        <f t="shared" si="16"/>
        <v>33.150684931506852</v>
      </c>
      <c r="AY11" s="23">
        <f t="shared" si="16"/>
        <v>33.150684931506852</v>
      </c>
      <c r="AZ11" s="23">
        <f t="shared" si="16"/>
        <v>33.150684931506852</v>
      </c>
      <c r="BA11" s="23">
        <f t="shared" si="16"/>
        <v>33.150684931506852</v>
      </c>
      <c r="BB11" s="23">
        <f t="shared" ref="BB11:CM11" si="17">BB9/365</f>
        <v>33.150684931506852</v>
      </c>
      <c r="BC11" s="23">
        <f t="shared" si="17"/>
        <v>131.50684931506851</v>
      </c>
      <c r="BD11" s="23">
        <f>BD9/365</f>
        <v>131.50684931506851</v>
      </c>
      <c r="BE11" s="23">
        <f>BE9/365</f>
        <v>131.50684931506851</v>
      </c>
      <c r="BF11" s="23">
        <f t="shared" si="17"/>
        <v>131.50684931506851</v>
      </c>
      <c r="BG11" s="23">
        <f>BG9/365</f>
        <v>131.50684931506851</v>
      </c>
      <c r="BH11" s="23">
        <f>BH9/365</f>
        <v>131.50684931506851</v>
      </c>
      <c r="BI11" s="23">
        <f t="shared" si="17"/>
        <v>131.50684931506851</v>
      </c>
      <c r="BJ11" s="23">
        <f t="shared" si="17"/>
        <v>131.50684931506851</v>
      </c>
      <c r="BK11" s="23">
        <f t="shared" si="17"/>
        <v>131.50684931506851</v>
      </c>
      <c r="BL11" s="23">
        <f>BL9/365</f>
        <v>131.50684931506851</v>
      </c>
      <c r="BM11" s="23">
        <f t="shared" si="17"/>
        <v>131.50684931506851</v>
      </c>
      <c r="BN11" s="23">
        <f>BN9/365</f>
        <v>131.50684931506851</v>
      </c>
      <c r="BO11" s="23">
        <f t="shared" si="17"/>
        <v>131.50684931506851</v>
      </c>
      <c r="BP11" s="23">
        <f t="shared" si="17"/>
        <v>131.50684931506851</v>
      </c>
      <c r="BQ11" s="23">
        <f t="shared" si="17"/>
        <v>131.50684931506851</v>
      </c>
      <c r="BR11" s="23">
        <f t="shared" si="17"/>
        <v>131.50684931506851</v>
      </c>
      <c r="BS11" s="23">
        <f t="shared" si="17"/>
        <v>131.50684931506851</v>
      </c>
      <c r="BT11" s="23">
        <f t="shared" si="17"/>
        <v>131.50684931506851</v>
      </c>
      <c r="BU11" s="23">
        <f>BU9/365</f>
        <v>131.50684931506851</v>
      </c>
      <c r="BV11" s="23">
        <f t="shared" ref="BV11:CC11" si="18">BV9/365</f>
        <v>131.50684931506851</v>
      </c>
      <c r="BW11" s="23">
        <f t="shared" si="18"/>
        <v>131.50684931506851</v>
      </c>
      <c r="BX11" s="23">
        <f t="shared" si="18"/>
        <v>131.50684931506851</v>
      </c>
      <c r="BY11" s="23">
        <f t="shared" si="18"/>
        <v>131.50684931506851</v>
      </c>
      <c r="BZ11" s="23">
        <f t="shared" si="18"/>
        <v>131.50684931506851</v>
      </c>
      <c r="CA11" s="23">
        <f t="shared" si="18"/>
        <v>131.50684931506851</v>
      </c>
      <c r="CB11" s="23">
        <f t="shared" si="18"/>
        <v>131.50684931506851</v>
      </c>
      <c r="CC11" s="23">
        <f t="shared" si="18"/>
        <v>131.50684931506851</v>
      </c>
      <c r="CD11" s="23">
        <f t="shared" si="17"/>
        <v>131.50684931506851</v>
      </c>
      <c r="CE11" s="23">
        <f t="shared" si="17"/>
        <v>131.50684931506851</v>
      </c>
      <c r="CF11" s="23">
        <f t="shared" si="17"/>
        <v>131.50684931506851</v>
      </c>
      <c r="CG11" s="23">
        <f t="shared" si="17"/>
        <v>131.50684931506851</v>
      </c>
      <c r="CH11" s="23">
        <f t="shared" si="17"/>
        <v>131.50684931506851</v>
      </c>
      <c r="CI11" s="23">
        <f t="shared" si="17"/>
        <v>131.50684931506851</v>
      </c>
      <c r="CJ11" s="23">
        <f t="shared" si="17"/>
        <v>131.50684931506851</v>
      </c>
      <c r="CK11" s="23">
        <f t="shared" si="17"/>
        <v>131.50684931506851</v>
      </c>
      <c r="CL11" s="23">
        <f t="shared" si="17"/>
        <v>131.50684931506851</v>
      </c>
      <c r="CM11" s="23">
        <f t="shared" si="17"/>
        <v>131.50684931506851</v>
      </c>
      <c r="CN11" s="23">
        <f t="shared" ref="CN11:CX11" si="19">CN9/365</f>
        <v>33.150684931506852</v>
      </c>
      <c r="CO11" s="23">
        <f t="shared" si="19"/>
        <v>33.150684931506852</v>
      </c>
      <c r="CP11" s="23">
        <f t="shared" si="19"/>
        <v>33.150684931506852</v>
      </c>
      <c r="CQ11" s="23">
        <f t="shared" si="19"/>
        <v>33.150684931506852</v>
      </c>
      <c r="CR11" s="23">
        <f t="shared" si="19"/>
        <v>33.150684931506852</v>
      </c>
      <c r="CS11" s="23">
        <f t="shared" si="19"/>
        <v>131.50684931506851</v>
      </c>
      <c r="CT11" s="23">
        <f t="shared" si="19"/>
        <v>131.50684931506851</v>
      </c>
      <c r="CU11" s="23">
        <f t="shared" si="19"/>
        <v>131.50684931506851</v>
      </c>
      <c r="CV11" s="23">
        <f t="shared" si="19"/>
        <v>131.50684931506851</v>
      </c>
      <c r="CW11" s="23">
        <f t="shared" si="19"/>
        <v>131.50684931506851</v>
      </c>
      <c r="CX11" s="23">
        <f t="shared" si="19"/>
        <v>131.50684931506851</v>
      </c>
      <c r="CY11" s="23">
        <f t="shared" ref="CY11:DD11" si="20">CY9/365</f>
        <v>131.50684931506851</v>
      </c>
      <c r="CZ11" s="23">
        <f t="shared" si="20"/>
        <v>131.50684931506851</v>
      </c>
      <c r="DA11" s="23">
        <f t="shared" si="20"/>
        <v>131.50684931506851</v>
      </c>
      <c r="DB11" s="23">
        <f t="shared" si="20"/>
        <v>131.50684931506851</v>
      </c>
      <c r="DC11" s="23">
        <f t="shared" si="20"/>
        <v>131.50684931506851</v>
      </c>
      <c r="DD11" s="23">
        <f t="shared" si="20"/>
        <v>131.50684931506851</v>
      </c>
      <c r="DE11" s="23">
        <f t="shared" ref="DE11:DJ11" si="21">DE9/365</f>
        <v>131.50684931506851</v>
      </c>
      <c r="DF11" s="23">
        <f t="shared" si="21"/>
        <v>131.50684931506851</v>
      </c>
      <c r="DG11" s="23"/>
      <c r="DH11" s="23">
        <f t="shared" si="21"/>
        <v>131.50684931506851</v>
      </c>
      <c r="DI11" s="23">
        <f t="shared" si="21"/>
        <v>131.50684931506851</v>
      </c>
      <c r="DJ11" s="23">
        <f t="shared" si="21"/>
        <v>131.50684931506851</v>
      </c>
      <c r="DK11" s="23">
        <f t="shared" ref="DK11:DR11" si="22">DK9/365</f>
        <v>120.54794520547945</v>
      </c>
      <c r="DL11" s="23">
        <f t="shared" si="22"/>
        <v>120.54794520547945</v>
      </c>
      <c r="DM11" s="23">
        <f t="shared" si="22"/>
        <v>120.54794520547945</v>
      </c>
      <c r="DN11" s="23">
        <f t="shared" si="22"/>
        <v>120.54794520547945</v>
      </c>
      <c r="DO11" s="23">
        <f t="shared" si="22"/>
        <v>120.54794520547945</v>
      </c>
      <c r="DP11" s="23">
        <f t="shared" si="22"/>
        <v>120.54794520547945</v>
      </c>
      <c r="DQ11" s="23">
        <f t="shared" si="22"/>
        <v>120.54794520547945</v>
      </c>
      <c r="DR11" s="23">
        <f t="shared" si="22"/>
        <v>120.54794520547945</v>
      </c>
      <c r="DS11" s="23">
        <f>DS9/365</f>
        <v>120.54794520547945</v>
      </c>
      <c r="DT11" s="23">
        <f>DT9/365</f>
        <v>120.54794520547945</v>
      </c>
      <c r="DU11" s="23">
        <f>DU9/365</f>
        <v>120.54794520547945</v>
      </c>
      <c r="DV11" s="23">
        <f>DV9/365</f>
        <v>120.54794520547945</v>
      </c>
      <c r="DW11" s="23">
        <f>DW9/365</f>
        <v>120.54794520547945</v>
      </c>
      <c r="DX11" s="23">
        <f t="shared" ref="DX11:EC11" si="23">DX9/365</f>
        <v>180.82191780821918</v>
      </c>
      <c r="DY11" s="23">
        <f t="shared" si="23"/>
        <v>180.82191780821918</v>
      </c>
      <c r="DZ11" s="23">
        <f t="shared" si="23"/>
        <v>180.82191780821918</v>
      </c>
      <c r="EA11" s="23">
        <f t="shared" si="23"/>
        <v>180.82191780821918</v>
      </c>
      <c r="EB11" s="23">
        <f t="shared" si="23"/>
        <v>180.82191780821918</v>
      </c>
      <c r="EC11" s="23">
        <f t="shared" si="23"/>
        <v>180.82191780821918</v>
      </c>
      <c r="ED11" s="23">
        <f>ED9/365</f>
        <v>180.82191780821918</v>
      </c>
    </row>
    <row r="12" spans="1:154" x14ac:dyDescent="0.3">
      <c r="A12" s="21" t="s">
        <v>1204</v>
      </c>
      <c r="B12" s="21" t="s">
        <v>414</v>
      </c>
      <c r="D12" s="45">
        <f>D8*D9</f>
        <v>6600</v>
      </c>
      <c r="E12" s="45">
        <f>E8*E9</f>
        <v>725</v>
      </c>
      <c r="F12" s="45">
        <f>F8*F9</f>
        <v>6525</v>
      </c>
      <c r="G12" s="45">
        <f t="shared" ref="G12:AF12" si="24">G8*G9</f>
        <v>1208.3333333333335</v>
      </c>
      <c r="H12" s="45">
        <f t="shared" si="24"/>
        <v>3625</v>
      </c>
      <c r="I12" s="45">
        <f t="shared" ref="I12" si="25">I8*I9</f>
        <v>2416.666666666667</v>
      </c>
      <c r="J12" s="45">
        <f t="shared" si="24"/>
        <v>2416.666666666667</v>
      </c>
      <c r="K12" s="45">
        <f t="shared" si="24"/>
        <v>2416.666666666667</v>
      </c>
      <c r="L12" s="45">
        <f t="shared" si="24"/>
        <v>2416.666666666667</v>
      </c>
      <c r="M12" s="45">
        <f t="shared" si="24"/>
        <v>2416.666666666667</v>
      </c>
      <c r="N12" s="45">
        <f t="shared" si="24"/>
        <v>2416.666666666667</v>
      </c>
      <c r="O12" s="45">
        <f t="shared" si="24"/>
        <v>4350</v>
      </c>
      <c r="P12" s="45">
        <f t="shared" si="24"/>
        <v>1450</v>
      </c>
      <c r="Q12" s="45">
        <f>Q8*Q9</f>
        <v>2416.666666666667</v>
      </c>
      <c r="R12" s="45">
        <f>R8*R9</f>
        <v>2416.666666666667</v>
      </c>
      <c r="S12" s="45">
        <f t="shared" si="24"/>
        <v>2416.666666666667</v>
      </c>
      <c r="T12" s="45">
        <f t="shared" si="24"/>
        <v>2416.666666666667</v>
      </c>
      <c r="U12" s="45">
        <f t="shared" si="24"/>
        <v>2416.666666666667</v>
      </c>
      <c r="V12" s="45">
        <f t="shared" si="24"/>
        <v>2416.666666666667</v>
      </c>
      <c r="W12" s="45">
        <f t="shared" si="24"/>
        <v>2416.666666666667</v>
      </c>
      <c r="X12" s="45">
        <f t="shared" ref="X12:Y12" si="26">X8*X9</f>
        <v>8555</v>
      </c>
      <c r="Y12" s="45">
        <f t="shared" si="26"/>
        <v>5703.3333333333339</v>
      </c>
      <c r="Z12" s="45">
        <f t="shared" si="24"/>
        <v>5703.3333333333339</v>
      </c>
      <c r="AA12" s="45">
        <f t="shared" ref="AA12" si="27">AA8*AA9</f>
        <v>8555</v>
      </c>
      <c r="AB12" s="45">
        <f t="shared" ref="AB12:AC12" si="28">AB8*AB9</f>
        <v>5703.3333333333339</v>
      </c>
      <c r="AC12" s="45">
        <f t="shared" si="28"/>
        <v>5703.3333333333339</v>
      </c>
      <c r="AD12" s="45">
        <f t="shared" ref="AD12" si="29">AD8*AD9</f>
        <v>5703.3333333333339</v>
      </c>
      <c r="AE12" s="45">
        <f t="shared" ref="AE12" si="30">AE8*AE9</f>
        <v>5703.3333333333339</v>
      </c>
      <c r="AF12" s="45">
        <f t="shared" si="24"/>
        <v>3237.5</v>
      </c>
      <c r="AG12" s="45">
        <f t="shared" ref="AG12:BT12" si="31">AG8*AG9</f>
        <v>13440</v>
      </c>
      <c r="AH12" s="45">
        <f t="shared" si="31"/>
        <v>13440</v>
      </c>
      <c r="AI12" s="45">
        <f t="shared" si="31"/>
        <v>5510</v>
      </c>
      <c r="AJ12" s="45">
        <f t="shared" si="31"/>
        <v>5510</v>
      </c>
      <c r="AK12" s="45">
        <f t="shared" si="31"/>
        <v>49000</v>
      </c>
      <c r="AL12" s="45">
        <f t="shared" si="31"/>
        <v>49000</v>
      </c>
      <c r="AM12" s="45">
        <f t="shared" si="31"/>
        <v>19610</v>
      </c>
      <c r="AN12" s="45">
        <f t="shared" si="31"/>
        <v>19610</v>
      </c>
      <c r="AO12" s="45">
        <f t="shared" si="31"/>
        <v>181500</v>
      </c>
      <c r="AP12" s="45">
        <f t="shared" si="31"/>
        <v>181500</v>
      </c>
      <c r="AQ12" s="45">
        <f t="shared" si="31"/>
        <v>181500</v>
      </c>
      <c r="AR12" s="45">
        <f t="shared" si="31"/>
        <v>181500</v>
      </c>
      <c r="AS12" s="45">
        <f t="shared" si="31"/>
        <v>181500</v>
      </c>
      <c r="AT12" s="45">
        <f t="shared" si="31"/>
        <v>181500</v>
      </c>
      <c r="AU12" s="45">
        <f t="shared" si="31"/>
        <v>181500</v>
      </c>
      <c r="AV12" s="45">
        <f t="shared" si="31"/>
        <v>181500</v>
      </c>
      <c r="AW12" s="45">
        <f t="shared" si="31"/>
        <v>181500</v>
      </c>
      <c r="AX12" s="45">
        <f t="shared" si="31"/>
        <v>181500</v>
      </c>
      <c r="AY12" s="45">
        <f t="shared" si="31"/>
        <v>181500</v>
      </c>
      <c r="AZ12" s="45">
        <f t="shared" si="31"/>
        <v>181500</v>
      </c>
      <c r="BA12" s="45">
        <f t="shared" si="31"/>
        <v>181500</v>
      </c>
      <c r="BB12" s="45">
        <f t="shared" si="31"/>
        <v>181500</v>
      </c>
      <c r="BC12" s="45">
        <f t="shared" si="31"/>
        <v>339531.4466036869</v>
      </c>
      <c r="BD12" s="45">
        <f t="shared" si="31"/>
        <v>339531.4466036869</v>
      </c>
      <c r="BE12" s="45">
        <f t="shared" si="31"/>
        <v>339531.4466036869</v>
      </c>
      <c r="BF12" s="45">
        <f t="shared" si="31"/>
        <v>339531.4466036869</v>
      </c>
      <c r="BG12" s="45">
        <f t="shared" si="31"/>
        <v>339531.4466036869</v>
      </c>
      <c r="BH12" s="45">
        <f t="shared" si="31"/>
        <v>339531.4466036869</v>
      </c>
      <c r="BI12" s="45">
        <f t="shared" si="31"/>
        <v>339531.4466036869</v>
      </c>
      <c r="BJ12" s="45">
        <f t="shared" si="31"/>
        <v>339531.4466036869</v>
      </c>
      <c r="BK12" s="45">
        <f t="shared" si="31"/>
        <v>339531.4466036869</v>
      </c>
      <c r="BL12" s="45">
        <f t="shared" si="31"/>
        <v>339531.4466036869</v>
      </c>
      <c r="BM12" s="45">
        <f t="shared" si="31"/>
        <v>339531.4466036869</v>
      </c>
      <c r="BN12" s="45">
        <f t="shared" si="31"/>
        <v>339531.4466036869</v>
      </c>
      <c r="BO12" s="45">
        <f t="shared" si="31"/>
        <v>339531.4466036869</v>
      </c>
      <c r="BP12" s="45">
        <f t="shared" si="31"/>
        <v>339531.4466036869</v>
      </c>
      <c r="BQ12" s="45">
        <f t="shared" si="31"/>
        <v>339531.4466036869</v>
      </c>
      <c r="BR12" s="45">
        <f t="shared" si="31"/>
        <v>339531.4466036869</v>
      </c>
      <c r="BS12" s="45">
        <f t="shared" si="31"/>
        <v>339531.4466036869</v>
      </c>
      <c r="BT12" s="45">
        <f t="shared" si="31"/>
        <v>339531.4466036869</v>
      </c>
      <c r="BU12" s="45">
        <f t="shared" ref="BU12:CC12" si="32">BU8*BU9</f>
        <v>339531.4466036869</v>
      </c>
      <c r="BV12" s="45">
        <f t="shared" si="32"/>
        <v>339531.4466036869</v>
      </c>
      <c r="BW12" s="45">
        <f t="shared" si="32"/>
        <v>339531.4466036869</v>
      </c>
      <c r="BX12" s="45">
        <f t="shared" si="32"/>
        <v>339531.4466036869</v>
      </c>
      <c r="BY12" s="45">
        <f t="shared" si="32"/>
        <v>339531.4466036869</v>
      </c>
      <c r="BZ12" s="45">
        <f t="shared" si="32"/>
        <v>339531.4466036869</v>
      </c>
      <c r="CA12" s="45">
        <f t="shared" si="32"/>
        <v>339531.4466036869</v>
      </c>
      <c r="CB12" s="45">
        <f t="shared" si="32"/>
        <v>339531.4466036869</v>
      </c>
      <c r="CC12" s="45">
        <f t="shared" si="32"/>
        <v>339531.4466036869</v>
      </c>
      <c r="CD12" s="45">
        <f>CD8*CD9</f>
        <v>339531.4466036869</v>
      </c>
      <c r="CE12" s="45">
        <f>CE8*CE9</f>
        <v>339531.4466036869</v>
      </c>
      <c r="CF12" s="45">
        <f>CF8*CF9</f>
        <v>339531.4466036869</v>
      </c>
      <c r="CG12" s="45">
        <f>CG8*CG9</f>
        <v>339531.4466036869</v>
      </c>
      <c r="CH12" s="45">
        <f t="shared" ref="CH12:CL12" si="33">CH8*CH9</f>
        <v>339531.4466036869</v>
      </c>
      <c r="CI12" s="45">
        <f t="shared" si="33"/>
        <v>339531.4466036869</v>
      </c>
      <c r="CJ12" s="45">
        <f t="shared" si="33"/>
        <v>339531.4466036869</v>
      </c>
      <c r="CK12" s="45">
        <f t="shared" si="33"/>
        <v>339531.4466036869</v>
      </c>
      <c r="CL12" s="45">
        <f t="shared" si="33"/>
        <v>339531.4466036869</v>
      </c>
      <c r="CM12" s="45">
        <f t="shared" ref="CM12:DF12" si="34">CM8*CM9</f>
        <v>339531.4466036869</v>
      </c>
      <c r="CN12" s="45">
        <f t="shared" si="34"/>
        <v>181500</v>
      </c>
      <c r="CO12" s="45">
        <f t="shared" si="34"/>
        <v>181500</v>
      </c>
      <c r="CP12" s="45">
        <f t="shared" si="34"/>
        <v>181500</v>
      </c>
      <c r="CQ12" s="45">
        <f t="shared" si="34"/>
        <v>181500</v>
      </c>
      <c r="CR12" s="45">
        <f t="shared" si="34"/>
        <v>181500</v>
      </c>
      <c r="CS12" s="45">
        <f t="shared" si="34"/>
        <v>339531.4466036869</v>
      </c>
      <c r="CT12" s="45">
        <f t="shared" si="34"/>
        <v>339531.4466036869</v>
      </c>
      <c r="CU12" s="45">
        <f t="shared" si="34"/>
        <v>339531.4466036869</v>
      </c>
      <c r="CV12" s="45">
        <f t="shared" si="34"/>
        <v>339531.4466036869</v>
      </c>
      <c r="CW12" s="45">
        <f t="shared" si="34"/>
        <v>339531.4466036869</v>
      </c>
      <c r="CX12" s="45">
        <f t="shared" si="34"/>
        <v>339531.4466036869</v>
      </c>
      <c r="CY12" s="45">
        <f t="shared" si="34"/>
        <v>339531.4466036869</v>
      </c>
      <c r="CZ12" s="45">
        <f t="shared" si="34"/>
        <v>339531.4466036869</v>
      </c>
      <c r="DA12" s="45">
        <f t="shared" si="34"/>
        <v>339531.4466036869</v>
      </c>
      <c r="DB12" s="45">
        <f t="shared" si="34"/>
        <v>339531.4466036869</v>
      </c>
      <c r="DC12" s="45">
        <f t="shared" si="34"/>
        <v>339531.4466036869</v>
      </c>
      <c r="DD12" s="45">
        <f t="shared" si="34"/>
        <v>339531.4466036869</v>
      </c>
      <c r="DE12" s="45">
        <f t="shared" si="34"/>
        <v>339531.4466036869</v>
      </c>
      <c r="DF12" s="45">
        <f t="shared" si="34"/>
        <v>339531.4466036869</v>
      </c>
      <c r="DG12" s="45"/>
      <c r="DH12" s="45">
        <f>DH8*DH9</f>
        <v>339531.4466036869</v>
      </c>
      <c r="DI12" s="45">
        <f>DI8*DI9</f>
        <v>339531.4466036869</v>
      </c>
      <c r="DJ12" s="45">
        <f>DJ8*DJ9</f>
        <v>339531.4466036869</v>
      </c>
      <c r="DK12" s="45">
        <f t="shared" ref="DK12:DP12" si="35">DK8*DK9</f>
        <v>297000</v>
      </c>
      <c r="DL12" s="45">
        <f t="shared" si="35"/>
        <v>495000</v>
      </c>
      <c r="DM12" s="45">
        <f>DM8*DM9</f>
        <v>396000</v>
      </c>
      <c r="DN12" s="45">
        <f t="shared" si="35"/>
        <v>396000</v>
      </c>
      <c r="DO12" s="45">
        <f t="shared" si="35"/>
        <v>396000</v>
      </c>
      <c r="DP12" s="45">
        <f t="shared" si="35"/>
        <v>396000</v>
      </c>
      <c r="DQ12" s="45">
        <f t="shared" ref="DQ12:DW12" si="36">DQ8*DQ9</f>
        <v>396000</v>
      </c>
      <c r="DR12" s="45">
        <f t="shared" si="36"/>
        <v>396000</v>
      </c>
      <c r="DS12" s="45">
        <f t="shared" si="36"/>
        <v>396000</v>
      </c>
      <c r="DT12" s="45">
        <f t="shared" si="36"/>
        <v>396000</v>
      </c>
      <c r="DU12" s="45">
        <f t="shared" si="36"/>
        <v>396000</v>
      </c>
      <c r="DV12" s="45">
        <f t="shared" si="36"/>
        <v>396000</v>
      </c>
      <c r="DW12" s="45">
        <f t="shared" si="36"/>
        <v>396000</v>
      </c>
      <c r="DX12" s="45">
        <f t="shared" ref="DX12:EC12" si="37">DX8*DX9</f>
        <v>2640000</v>
      </c>
      <c r="DY12" s="45">
        <f t="shared" si="37"/>
        <v>2640000</v>
      </c>
      <c r="DZ12" s="45">
        <f t="shared" si="37"/>
        <v>2640000</v>
      </c>
      <c r="EA12" s="45">
        <f t="shared" si="37"/>
        <v>2640000</v>
      </c>
      <c r="EB12" s="45">
        <f t="shared" si="37"/>
        <v>2640000</v>
      </c>
      <c r="EC12" s="45">
        <f t="shared" si="37"/>
        <v>2640000</v>
      </c>
      <c r="ED12" s="45">
        <f>ED8*ED9</f>
        <v>2640000</v>
      </c>
    </row>
    <row r="14" spans="1:154" x14ac:dyDescent="0.3">
      <c r="A14" s="21" t="s">
        <v>345</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t="s">
        <v>382</v>
      </c>
      <c r="AL14" s="117"/>
      <c r="AM14" s="117" t="s">
        <v>382</v>
      </c>
      <c r="AN14" s="117"/>
      <c r="AO14" s="117" t="s">
        <v>382</v>
      </c>
      <c r="AP14" s="117" t="s">
        <v>382</v>
      </c>
      <c r="AQ14" s="117" t="s">
        <v>382</v>
      </c>
      <c r="AR14" s="117"/>
      <c r="AS14" s="117"/>
      <c r="AT14" s="117"/>
      <c r="AU14" s="117"/>
      <c r="AV14" s="117"/>
      <c r="AW14" s="117"/>
      <c r="AX14" s="117"/>
      <c r="AY14" s="117"/>
      <c r="AZ14" s="117"/>
      <c r="BA14" s="117"/>
      <c r="BB14" s="117"/>
      <c r="BC14" s="48" t="str">
        <f t="shared" ref="BC14:BH14" si="38">$BI14</f>
        <v>Gasoline (Oil)</v>
      </c>
      <c r="BD14" s="48" t="str">
        <f t="shared" si="38"/>
        <v>Gasoline (Oil)</v>
      </c>
      <c r="BE14" s="48" t="str">
        <f t="shared" si="38"/>
        <v>Gasoline (Oil)</v>
      </c>
      <c r="BF14" s="48" t="str">
        <f t="shared" si="38"/>
        <v>Gasoline (Oil)</v>
      </c>
      <c r="BG14" s="48" t="str">
        <f t="shared" si="38"/>
        <v>Gasoline (Oil)</v>
      </c>
      <c r="BH14" s="48" t="str">
        <f t="shared" si="38"/>
        <v>Gasoline (Oil)</v>
      </c>
      <c r="BI14" s="117" t="s">
        <v>382</v>
      </c>
      <c r="BJ14" s="117" t="s">
        <v>382</v>
      </c>
      <c r="BK14" s="117" t="s">
        <v>382</v>
      </c>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t="s">
        <v>382</v>
      </c>
      <c r="CI14" s="117" t="s">
        <v>382</v>
      </c>
      <c r="CJ14" s="117" t="s">
        <v>382</v>
      </c>
      <c r="CK14" s="117"/>
      <c r="CL14" s="117"/>
      <c r="CM14" s="117"/>
      <c r="CN14" s="117" t="s">
        <v>382</v>
      </c>
      <c r="CO14" s="117" t="s">
        <v>382</v>
      </c>
      <c r="CP14" s="117" t="s">
        <v>382</v>
      </c>
      <c r="CQ14" s="117"/>
      <c r="CR14" s="117"/>
      <c r="CS14" s="117" t="s">
        <v>382</v>
      </c>
      <c r="CT14" s="117" t="s">
        <v>382</v>
      </c>
      <c r="CU14" s="117" t="s">
        <v>382</v>
      </c>
      <c r="CV14" s="117"/>
      <c r="CW14" s="117"/>
      <c r="CX14" s="117"/>
      <c r="CY14" s="117" t="s">
        <v>382</v>
      </c>
      <c r="CZ14" s="117" t="s">
        <v>382</v>
      </c>
      <c r="DA14" s="117" t="s">
        <v>382</v>
      </c>
      <c r="DB14" s="117"/>
      <c r="DC14" s="117"/>
      <c r="DD14" s="117"/>
      <c r="DE14" s="117" t="s">
        <v>382</v>
      </c>
      <c r="DF14" s="117" t="s">
        <v>382</v>
      </c>
      <c r="DG14" s="117"/>
      <c r="DH14" s="117"/>
      <c r="DI14" s="117"/>
      <c r="DJ14" s="117"/>
      <c r="DK14" s="48" t="str">
        <f t="shared" ref="DK14:DP14" si="39">$DQ14</f>
        <v>Diesel (Oil)</v>
      </c>
      <c r="DL14" s="48" t="str">
        <f t="shared" si="39"/>
        <v>Diesel (Oil)</v>
      </c>
      <c r="DM14" s="48" t="str">
        <f t="shared" si="39"/>
        <v>Diesel (Oil)</v>
      </c>
      <c r="DN14" s="48" t="str">
        <f t="shared" si="39"/>
        <v>Diesel (Oil)</v>
      </c>
      <c r="DO14" s="48" t="str">
        <f t="shared" si="39"/>
        <v>Diesel (Oil)</v>
      </c>
      <c r="DP14" s="48" t="str">
        <f t="shared" si="39"/>
        <v>Diesel (Oil)</v>
      </c>
      <c r="DQ14" s="117" t="s">
        <v>381</v>
      </c>
      <c r="DR14" s="117" t="s">
        <v>381</v>
      </c>
      <c r="DS14" s="117"/>
      <c r="DT14" s="117"/>
      <c r="DU14" s="117"/>
      <c r="DV14" s="117"/>
      <c r="DW14" s="117"/>
      <c r="DX14" s="117"/>
      <c r="DY14" s="117"/>
      <c r="DZ14" s="117"/>
      <c r="EA14" s="117"/>
      <c r="EB14" s="117"/>
      <c r="EC14" s="117"/>
      <c r="ED14" s="117"/>
    </row>
    <row r="15" spans="1:154" x14ac:dyDescent="0.3">
      <c r="A15" s="21" t="s">
        <v>1124</v>
      </c>
      <c r="D15" s="21" t="str">
        <f>IF('0_Total'!D14="","",'0_Total'!D14)</f>
        <v/>
      </c>
      <c r="E15" s="21" t="str">
        <f>IF('0_Total'!E14="","",'0_Total'!E14)</f>
        <v/>
      </c>
      <c r="F15" s="21" t="str">
        <f>IF('0_Total'!F14="","",'0_Total'!F14)</f>
        <v/>
      </c>
      <c r="G15" s="21" t="str">
        <f>IF('0_Total'!G14="","",'0_Total'!G14)</f>
        <v/>
      </c>
      <c r="H15" s="21" t="str">
        <f>IF('0_Total'!H14="","",'0_Total'!H14)</f>
        <v/>
      </c>
      <c r="I15" s="21" t="str">
        <f>IF('0_Total'!I14="","",'0_Total'!I14)</f>
        <v/>
      </c>
      <c r="J15" s="21" t="str">
        <f>IF('0_Total'!J14="","",'0_Total'!J14)</f>
        <v/>
      </c>
      <c r="K15" s="21" t="str">
        <f>IF('0_Total'!K14="","",'0_Total'!K14)</f>
        <v/>
      </c>
      <c r="L15" s="21" t="str">
        <f>IF('0_Total'!L14="","",'0_Total'!L14)</f>
        <v/>
      </c>
      <c r="M15" s="21" t="str">
        <f>IF('0_Total'!M14="","",'0_Total'!M14)</f>
        <v/>
      </c>
      <c r="N15" s="21" t="str">
        <f>IF('0_Total'!N14="","",'0_Total'!N14)</f>
        <v/>
      </c>
      <c r="O15" s="21" t="str">
        <f>IF('0_Total'!O14="","",'0_Total'!O14)</f>
        <v/>
      </c>
      <c r="P15" s="21" t="str">
        <f>IF('0_Total'!P14="","",'0_Total'!P14)</f>
        <v/>
      </c>
      <c r="Q15" s="21" t="str">
        <f>IF('0_Total'!Q14="","",'0_Total'!Q14)</f>
        <v/>
      </c>
      <c r="R15" s="21" t="str">
        <f>IF('0_Total'!R14="","",'0_Total'!R14)</f>
        <v/>
      </c>
      <c r="S15" s="21" t="str">
        <f>IF('0_Total'!S14="","",'0_Total'!S14)</f>
        <v/>
      </c>
      <c r="T15" s="21" t="str">
        <f>IF('0_Total'!T14="","",'0_Total'!T14)</f>
        <v/>
      </c>
      <c r="U15" s="21" t="str">
        <f>IF('0_Total'!U14="","",'0_Total'!U14)</f>
        <v/>
      </c>
      <c r="V15" s="21" t="str">
        <f>IF('0_Total'!V14="","",'0_Total'!V14)</f>
        <v/>
      </c>
      <c r="W15" s="21" t="str">
        <f>IF('0_Total'!W14="","",'0_Total'!W14)</f>
        <v/>
      </c>
      <c r="X15" s="21" t="str">
        <f>IF('0_Total'!X14="","",'0_Total'!X14)</f>
        <v/>
      </c>
      <c r="Y15" s="21" t="str">
        <f>IF('0_Total'!Y14="","",'0_Total'!Y14)</f>
        <v/>
      </c>
      <c r="Z15" s="21" t="str">
        <f>IF('0_Total'!Z14="","",'0_Total'!Z14)</f>
        <v/>
      </c>
      <c r="AA15" s="21" t="str">
        <f>IF('0_Total'!AA14="","",'0_Total'!AA14)</f>
        <v/>
      </c>
      <c r="AB15" s="21" t="str">
        <f>IF('0_Total'!AB14="","",'0_Total'!AB14)</f>
        <v/>
      </c>
      <c r="AC15" s="21" t="str">
        <f>IF('0_Total'!AC14="","",'0_Total'!AC14)</f>
        <v/>
      </c>
      <c r="AD15" s="21" t="str">
        <f>IF('0_Total'!AD14="","",'0_Total'!AD14)</f>
        <v/>
      </c>
      <c r="AE15" s="21" t="str">
        <f>IF('0_Total'!AE14="","",'0_Total'!AE14)</f>
        <v/>
      </c>
      <c r="AF15" s="21" t="str">
        <f>IF('0_Total'!AF14="","",'0_Total'!AF14)</f>
        <v/>
      </c>
      <c r="AG15" s="21" t="str">
        <f>IF('0_Total'!AG14="","",'0_Total'!AG14)</f>
        <v/>
      </c>
      <c r="AH15" s="21" t="str">
        <f>IF('0_Total'!AH14="","",'0_Total'!AH14)</f>
        <v/>
      </c>
      <c r="AI15" s="21" t="str">
        <f>IF('0_Total'!AI14="","",'0_Total'!AI14)</f>
        <v/>
      </c>
      <c r="AJ15" s="21" t="str">
        <f>IF('0_Total'!AJ14="","",'0_Total'!AJ14)</f>
        <v/>
      </c>
      <c r="AK15" s="21" t="str">
        <f>IF('0_Total'!AK14="","",'0_Total'!AK14)</f>
        <v/>
      </c>
      <c r="AL15" s="21" t="str">
        <f>IF('0_Total'!AL14="","",'0_Total'!AL14)</f>
        <v/>
      </c>
      <c r="AM15" s="21" t="str">
        <f>IF('0_Total'!AM14="","",'0_Total'!AM14)</f>
        <v/>
      </c>
      <c r="AN15" s="21" t="str">
        <f>IF('0_Total'!AN14="","",'0_Total'!AN14)</f>
        <v/>
      </c>
      <c r="AO15" s="21" t="str">
        <f>IF('0_Total'!AO14="","",'0_Total'!AO14)</f>
        <v/>
      </c>
      <c r="AP15" s="21" t="str">
        <f>IF('0_Total'!AP14="","",'0_Total'!AP14)</f>
        <v/>
      </c>
      <c r="AQ15" s="21" t="str">
        <f>IF('0_Total'!AQ14="","",'0_Total'!AQ14)</f>
        <v/>
      </c>
      <c r="AR15" s="21" t="str">
        <f>IF('0_Total'!AR14="","",'0_Total'!AR14)</f>
        <v/>
      </c>
      <c r="AS15" s="21" t="str">
        <f>IF('0_Total'!AS14="","",'0_Total'!AS14)</f>
        <v/>
      </c>
      <c r="AT15" s="21" t="str">
        <f>IF('0_Total'!AT14="","",'0_Total'!AT14)</f>
        <v/>
      </c>
      <c r="AU15" s="21" t="str">
        <f>IF('0_Total'!AU14="","",'0_Total'!AU14)</f>
        <v/>
      </c>
      <c r="AV15" s="21" t="str">
        <f>IF('0_Total'!AV14="","",'0_Total'!AV14)</f>
        <v/>
      </c>
      <c r="AW15" s="21" t="str">
        <f>IF('0_Total'!AW14="","",'0_Total'!AW14)</f>
        <v/>
      </c>
      <c r="AX15" s="21" t="str">
        <f>IF('0_Total'!AX14="","",'0_Total'!AX14)</f>
        <v/>
      </c>
      <c r="AY15" s="21" t="str">
        <f>IF('0_Total'!AY14="","",'0_Total'!AY14)</f>
        <v>Electrolysis (Natural gas)</v>
      </c>
      <c r="AZ15" s="21" t="str">
        <f>IF('0_Total'!AZ14="","",'0_Total'!AZ14)</f>
        <v>Electrolysis (Renewables)</v>
      </c>
      <c r="BA15" s="21" t="str">
        <f>IF('0_Total'!BA14="","",'0_Total'!BA14)</f>
        <v>Electroysis (Global power mix)</v>
      </c>
      <c r="BB15" s="21" t="str">
        <f>IF('0_Total'!BB14="","",'0_Total'!BB14)</f>
        <v>Natural gas</v>
      </c>
      <c r="BC15" s="21" t="str">
        <f>IF('0_Total'!BC14="","",'0_Total'!BC14)</f>
        <v/>
      </c>
      <c r="BD15" s="21" t="str">
        <f>IF('0_Total'!BD14="","",'0_Total'!BD14)</f>
        <v/>
      </c>
      <c r="BE15" s="21" t="str">
        <f>IF('0_Total'!BE14="","",'0_Total'!BE14)</f>
        <v/>
      </c>
      <c r="BF15" s="21" t="str">
        <f>IF('0_Total'!BF14="","",'0_Total'!BF14)</f>
        <v/>
      </c>
      <c r="BG15" s="21" t="str">
        <f>IF('0_Total'!BG14="","",'0_Total'!BG14)</f>
        <v/>
      </c>
      <c r="BH15" s="21" t="str">
        <f>IF('0_Total'!BH14="","",'0_Total'!BH14)</f>
        <v/>
      </c>
      <c r="BI15" s="21" t="str">
        <f>IF('0_Total'!BI14="","",'0_Total'!BI14)</f>
        <v/>
      </c>
      <c r="BJ15" s="21" t="str">
        <f>IF('0_Total'!BJ14="","",'0_Total'!BJ14)</f>
        <v/>
      </c>
      <c r="BK15" s="21" t="str">
        <f>IF('0_Total'!BK14="","",'0_Total'!BK14)</f>
        <v/>
      </c>
      <c r="BL15" s="21" t="str">
        <f>IF('0_Total'!BL14="","",'0_Total'!BL14)</f>
        <v/>
      </c>
      <c r="BM15" s="21" t="str">
        <f>IF('0_Total'!BM14="","",'0_Total'!BM14)</f>
        <v/>
      </c>
      <c r="BN15" s="21" t="str">
        <f>IF('0_Total'!BN14="","",'0_Total'!BN14)</f>
        <v/>
      </c>
      <c r="BO15" s="21" t="str">
        <f>IF('0_Total'!BO14="","",'0_Total'!BO14)</f>
        <v/>
      </c>
      <c r="BP15" s="21" t="str">
        <f>IF('0_Total'!BP14="","",'0_Total'!BP14)</f>
        <v/>
      </c>
      <c r="BQ15" s="21" t="str">
        <f>IF('0_Total'!BQ14="","",'0_Total'!BQ14)</f>
        <v/>
      </c>
      <c r="BR15" s="21" t="str">
        <f>IF('0_Total'!BR14="","",'0_Total'!BR14)</f>
        <v/>
      </c>
      <c r="BS15" s="21" t="str">
        <f>IF('0_Total'!BS14="","",'0_Total'!BS14)</f>
        <v/>
      </c>
      <c r="BT15" s="21" t="str">
        <f>IF('0_Total'!BT14="","",'0_Total'!BT14)</f>
        <v/>
      </c>
      <c r="BU15" s="21" t="str">
        <f>IF('0_Total'!BU14="","",'0_Total'!BU14)</f>
        <v/>
      </c>
      <c r="BV15" s="21" t="str">
        <f>IF('0_Total'!BV14="","",'0_Total'!BV14)</f>
        <v/>
      </c>
      <c r="BW15" s="21" t="str">
        <f>IF('0_Total'!BW14="","",'0_Total'!BW14)</f>
        <v/>
      </c>
      <c r="BX15" s="21" t="str">
        <f>IF('0_Total'!BX14="","",'0_Total'!BX14)</f>
        <v/>
      </c>
      <c r="BY15" s="21" t="str">
        <f>IF('0_Total'!BY14="","",'0_Total'!BY14)</f>
        <v/>
      </c>
      <c r="BZ15" s="21" t="str">
        <f>IF('0_Total'!BZ14="","",'0_Total'!BZ14)</f>
        <v/>
      </c>
      <c r="CA15" s="21" t="str">
        <f>IF('0_Total'!CA14="","",'0_Total'!CA14)</f>
        <v/>
      </c>
      <c r="CB15" s="21" t="str">
        <f>IF('0_Total'!CB14="","",'0_Total'!CB14)</f>
        <v/>
      </c>
      <c r="CC15" s="21" t="str">
        <f>IF('0_Total'!CC14="","",'0_Total'!CC14)</f>
        <v/>
      </c>
      <c r="CD15" s="21" t="str">
        <f>IF('0_Total'!CD14="","",'0_Total'!CD14)</f>
        <v>Electrolysis (Natural gas)</v>
      </c>
      <c r="CE15" s="21" t="str">
        <f>IF('0_Total'!CE14="","",'0_Total'!CE14)</f>
        <v>Electrolysis (Renewables)</v>
      </c>
      <c r="CF15" s="21" t="str">
        <f>IF('0_Total'!CF14="","",'0_Total'!CF14)</f>
        <v>Electroysis (Global power mix)</v>
      </c>
      <c r="CG15" s="21" t="str">
        <f>IF('0_Total'!CG14="","",'0_Total'!CG14)</f>
        <v>Natural gas</v>
      </c>
      <c r="CH15" s="21" t="str">
        <f>IF('0_Total'!CH14="","",'0_Total'!CH14)</f>
        <v/>
      </c>
      <c r="CI15" s="21" t="str">
        <f>IF('0_Total'!CI14="","",'0_Total'!CI14)</f>
        <v/>
      </c>
      <c r="CJ15" s="21" t="str">
        <f>IF('0_Total'!CJ14="","",'0_Total'!CJ14)</f>
        <v/>
      </c>
      <c r="CK15" s="21" t="str">
        <f>IF('0_Total'!CK14="","",'0_Total'!CK14)</f>
        <v/>
      </c>
      <c r="CL15" s="21" t="str">
        <f>IF('0_Total'!CL14="","",'0_Total'!CL14)</f>
        <v/>
      </c>
      <c r="CM15" s="21" t="str">
        <f>IF('0_Total'!CM14="","",'0_Total'!CM14)</f>
        <v>Natural gas</v>
      </c>
      <c r="CN15" s="21" t="str">
        <f>IF('0_Total'!CN14="","",'0_Total'!CN14)</f>
        <v/>
      </c>
      <c r="CO15" s="21" t="str">
        <f>IF('0_Total'!CO14="","",'0_Total'!CO14)</f>
        <v/>
      </c>
      <c r="CP15" s="21" t="str">
        <f>IF('0_Total'!CP14="","",'0_Total'!CP14)</f>
        <v/>
      </c>
      <c r="CQ15" s="21" t="str">
        <f>IF('0_Total'!CQ14="","",'0_Total'!CQ14)</f>
        <v/>
      </c>
      <c r="CR15" s="21" t="str">
        <f>IF('0_Total'!CR14="","",'0_Total'!CR14)</f>
        <v>Natural gas</v>
      </c>
      <c r="CS15" s="21" t="str">
        <f>IF('0_Total'!CS14="","",'0_Total'!CS14)</f>
        <v/>
      </c>
      <c r="CT15" s="21" t="str">
        <f>IF('0_Total'!CT14="","",'0_Total'!CT14)</f>
        <v/>
      </c>
      <c r="CU15" s="21" t="str">
        <f>IF('0_Total'!CU14="","",'0_Total'!CU14)</f>
        <v/>
      </c>
      <c r="CV15" s="21" t="str">
        <f>IF('0_Total'!CV14="","",'0_Total'!CV14)</f>
        <v/>
      </c>
      <c r="CW15" s="21" t="str">
        <f>IF('0_Total'!CW14="","",'0_Total'!CW14)</f>
        <v/>
      </c>
      <c r="CX15" s="21" t="str">
        <f>IF('0_Total'!CX14="","",'0_Total'!CX14)</f>
        <v>Natural gas</v>
      </c>
      <c r="CY15" s="21" t="str">
        <f>IF('0_Total'!CY14="","",'0_Total'!CY14)</f>
        <v/>
      </c>
      <c r="CZ15" s="21" t="str">
        <f>IF('0_Total'!CZ14="","",'0_Total'!CZ14)</f>
        <v/>
      </c>
      <c r="DA15" s="21" t="str">
        <f>IF('0_Total'!DA14="","",'0_Total'!DA14)</f>
        <v/>
      </c>
      <c r="DB15" s="21" t="str">
        <f>IF('0_Total'!DB14="","",'0_Total'!DB14)</f>
        <v/>
      </c>
      <c r="DC15" s="21" t="str">
        <f>IF('0_Total'!DC14="","",'0_Total'!DC14)</f>
        <v/>
      </c>
      <c r="DD15" s="21" t="str">
        <f>IF('0_Total'!DD14="","",'0_Total'!DD14)</f>
        <v>Natural gas</v>
      </c>
      <c r="DE15" s="21" t="str">
        <f>IF('0_Total'!DE14="","",'0_Total'!DE14)</f>
        <v/>
      </c>
      <c r="DF15" s="21" t="str">
        <f>IF('0_Total'!DF14="","",'0_Total'!DF14)</f>
        <v/>
      </c>
      <c r="DH15" s="21" t="str">
        <f>IF('0_Total'!DH14="","",'0_Total'!DH14)</f>
        <v/>
      </c>
      <c r="DI15" s="21" t="str">
        <f>IF('0_Total'!DI14="","",'0_Total'!DI14)</f>
        <v/>
      </c>
      <c r="DJ15" s="21" t="str">
        <f>IF('0_Total'!DJ14="","",'0_Total'!DJ14)</f>
        <v>Natural gas</v>
      </c>
      <c r="DK15" s="21" t="str">
        <f>IF('0_Total'!DK14="","",'0_Total'!DK14)</f>
        <v/>
      </c>
      <c r="DL15" s="21" t="str">
        <f>IF('0_Total'!DL14="","",'0_Total'!DL14)</f>
        <v/>
      </c>
      <c r="DM15" s="21" t="str">
        <f>IF('0_Total'!DM14="","",'0_Total'!DM14)</f>
        <v/>
      </c>
      <c r="DN15" s="21" t="str">
        <f>IF('0_Total'!DN14="","",'0_Total'!DN14)</f>
        <v/>
      </c>
      <c r="DO15" s="21" t="str">
        <f>IF('0_Total'!DO14="","",'0_Total'!DO14)</f>
        <v/>
      </c>
      <c r="DP15" s="21" t="str">
        <f>IF('0_Total'!DP14="","",'0_Total'!DP14)</f>
        <v/>
      </c>
      <c r="DQ15" s="21" t="str">
        <f>IF('0_Total'!DQ14="","",'0_Total'!DQ14)</f>
        <v/>
      </c>
      <c r="DR15" s="21" t="str">
        <f>IF('0_Total'!DR14="","",'0_Total'!DR14)</f>
        <v/>
      </c>
      <c r="DS15" s="21" t="str">
        <f>IF('0_Total'!DS14="","",'0_Total'!DS14)</f>
        <v/>
      </c>
      <c r="DT15" s="21" t="str">
        <f>IF('0_Total'!DT14="","",'0_Total'!DT14)</f>
        <v/>
      </c>
      <c r="DU15" s="21" t="str">
        <f>IF('0_Total'!DU14="","",'0_Total'!DU14)</f>
        <v/>
      </c>
      <c r="DV15" s="21" t="str">
        <f>IF('0_Total'!DV14="","",'0_Total'!DV14)</f>
        <v>Electrolysis (Renewables)</v>
      </c>
      <c r="DW15" s="21" t="str">
        <f>IF('0_Total'!DW14="","",'0_Total'!DW14)</f>
        <v>Natural gas</v>
      </c>
      <c r="DX15" s="21" t="str">
        <f>IF('0_Total'!DX14="","",'0_Total'!DX14)</f>
        <v/>
      </c>
      <c r="DY15" s="21" t="str">
        <f>IF('0_Total'!DY14="","",'0_Total'!DY14)</f>
        <v/>
      </c>
      <c r="DZ15" s="21" t="str">
        <f>IF('0_Total'!DZ14="","",'0_Total'!DZ14)</f>
        <v/>
      </c>
      <c r="EA15" s="21" t="str">
        <f>IF('0_Total'!EA14="","",'0_Total'!EA14)</f>
        <v/>
      </c>
      <c r="EB15" s="21" t="str">
        <f>IF('0_Total'!EB14="","",'0_Total'!EB14)</f>
        <v/>
      </c>
      <c r="EC15" s="21" t="str">
        <f>IF('0_Total'!EC14="","",'0_Total'!EC14)</f>
        <v/>
      </c>
      <c r="ED15" s="21" t="str">
        <f>IF('0_Total'!ED14="","",'0_Total'!ED14)</f>
        <v/>
      </c>
    </row>
    <row r="16" spans="1:154" x14ac:dyDescent="0.3">
      <c r="EG16" s="295"/>
      <c r="EI16" s="308"/>
      <c r="EJ16" s="308"/>
      <c r="EK16" s="308"/>
      <c r="EL16" s="308"/>
      <c r="EM16" s="308"/>
      <c r="EN16" s="308"/>
      <c r="EO16" s="308"/>
      <c r="EP16" s="308"/>
      <c r="EQ16" s="308"/>
      <c r="ER16" s="308"/>
      <c r="ES16" s="308"/>
      <c r="ET16" s="308"/>
      <c r="EU16" s="308"/>
      <c r="EV16" s="308"/>
      <c r="EW16" s="308"/>
      <c r="EX16" s="308"/>
    </row>
    <row r="17" spans="1:156" x14ac:dyDescent="0.3">
      <c r="A17" s="21" t="s">
        <v>953</v>
      </c>
      <c r="D17" s="278" t="str">
        <f>'0_Total'!D8</f>
        <v>World</v>
      </c>
      <c r="E17" s="278" t="str">
        <f>'0_Total'!E8</f>
        <v>100% coal</v>
      </c>
      <c r="F17" s="278" t="str">
        <f>'0_Total'!F8</f>
        <v>100% solar, wind or hydro</v>
      </c>
      <c r="G17" s="278" t="str">
        <f>'0_Total'!G8</f>
        <v>World</v>
      </c>
      <c r="H17" s="278" t="str">
        <f>'0_Total'!H8</f>
        <v>World</v>
      </c>
      <c r="I17" s="278" t="str">
        <f>'0_Total'!I8</f>
        <v>World</v>
      </c>
      <c r="J17" s="278" t="str">
        <f>'0_Total'!J8</f>
        <v>World</v>
      </c>
      <c r="K17" s="278" t="str">
        <f>'0_Total'!K8</f>
        <v>World</v>
      </c>
      <c r="L17" s="278" t="str">
        <f>'0_Total'!L8</f>
        <v>World</v>
      </c>
      <c r="M17" s="278" t="str">
        <f>'0_Total'!M8</f>
        <v>World</v>
      </c>
      <c r="N17" s="278" t="str">
        <f>'0_Total'!N8</f>
        <v>World</v>
      </c>
      <c r="O17" s="278" t="str">
        <f>'0_Total'!O8</f>
        <v>World</v>
      </c>
      <c r="P17" s="278" t="str">
        <f>'0_Total'!P8</f>
        <v>World</v>
      </c>
      <c r="Q17" s="278" t="str">
        <f>'0_Total'!Q8</f>
        <v>World</v>
      </c>
      <c r="R17" s="278" t="str">
        <f>'0_Total'!R8</f>
        <v>World</v>
      </c>
      <c r="S17" s="278" t="str">
        <f>'0_Total'!S8</f>
        <v>World</v>
      </c>
      <c r="T17" s="278" t="str">
        <f>'0_Total'!T8</f>
        <v>World</v>
      </c>
      <c r="U17" s="278" t="str">
        <f>'0_Total'!U8</f>
        <v>100% coal</v>
      </c>
      <c r="V17" s="278" t="str">
        <f>'0_Total'!V8</f>
        <v>100% solar, wind or hydro</v>
      </c>
      <c r="W17" s="278" t="str">
        <f>'0_Total'!W8</f>
        <v>World</v>
      </c>
      <c r="X17" s="278" t="str">
        <f>'0_Total'!X8</f>
        <v>100% solar, wind or hydro</v>
      </c>
      <c r="Y17" s="278" t="str">
        <f>'0_Total'!Y8</f>
        <v>100% solar, wind or hydro</v>
      </c>
      <c r="Z17" s="278" t="str">
        <f>'0_Total'!Z8</f>
        <v>World</v>
      </c>
      <c r="AA17" s="278" t="str">
        <f>'0_Total'!AA8</f>
        <v>World</v>
      </c>
      <c r="AB17" s="278" t="str">
        <f>'0_Total'!AB8</f>
        <v>World</v>
      </c>
      <c r="AC17" s="278" t="str">
        <f>'0_Total'!AC8</f>
        <v>World</v>
      </c>
      <c r="AD17" s="278" t="str">
        <f>'0_Total'!AD8</f>
        <v>World</v>
      </c>
      <c r="AE17" s="278" t="str">
        <f>'0_Total'!AE8</f>
        <v>World</v>
      </c>
      <c r="AF17" s="278" t="str">
        <f>'0_Total'!AF8</f>
        <v>United States</v>
      </c>
      <c r="AG17" s="278" t="str">
        <f>'0_Total'!AG8</f>
        <v>World</v>
      </c>
      <c r="AH17" s="278" t="str">
        <f>'0_Total'!AH8</f>
        <v>World</v>
      </c>
      <c r="AI17" s="278" t="str">
        <f>'0_Total'!AI8</f>
        <v>World</v>
      </c>
      <c r="AJ17" s="278" t="str">
        <f>'0_Total'!AJ8</f>
        <v>World</v>
      </c>
      <c r="AK17" s="278" t="str">
        <f>'0_Total'!AK8</f>
        <v>World</v>
      </c>
      <c r="AL17" s="278" t="str">
        <f>'0_Total'!AL8</f>
        <v>World</v>
      </c>
      <c r="AM17" s="278" t="str">
        <f>'0_Total'!AM8</f>
        <v>World</v>
      </c>
      <c r="AN17" s="278" t="str">
        <f>'0_Total'!AN8</f>
        <v>World</v>
      </c>
      <c r="AO17" s="278" t="str">
        <f>'0_Total'!AO8</f>
        <v>World</v>
      </c>
      <c r="AP17" s="278" t="str">
        <f>'0_Total'!AP8</f>
        <v>World</v>
      </c>
      <c r="AQ17" s="278" t="str">
        <f>'0_Total'!AQ8</f>
        <v>World</v>
      </c>
      <c r="AR17" s="278" t="str">
        <f>'0_Total'!AR8</f>
        <v>World</v>
      </c>
      <c r="AS17" s="278" t="str">
        <f>'0_Total'!AS8</f>
        <v>100% coal</v>
      </c>
      <c r="AT17" s="278" t="str">
        <f>'0_Total'!AT8</f>
        <v>100% solar, wind or hydro</v>
      </c>
      <c r="AU17" s="278" t="str">
        <f>'0_Total'!AU8</f>
        <v>World</v>
      </c>
      <c r="AV17" s="278" t="str">
        <f>'0_Total'!AV8</f>
        <v>World</v>
      </c>
      <c r="AW17" s="278" t="str">
        <f>'0_Total'!AW8</f>
        <v>World</v>
      </c>
      <c r="AX17" s="278" t="str">
        <f>'0_Total'!AX8</f>
        <v>World</v>
      </c>
      <c r="AY17" s="278" t="str">
        <f>'0_Total'!AY8</f>
        <v>World</v>
      </c>
      <c r="AZ17" s="278" t="str">
        <f>'0_Total'!AY8</f>
        <v>World</v>
      </c>
      <c r="BA17" s="278" t="str">
        <f>'0_Total'!BA8</f>
        <v>World</v>
      </c>
      <c r="BB17" s="278" t="str">
        <f>'0_Total'!BB8</f>
        <v>World</v>
      </c>
      <c r="BC17" s="278" t="str">
        <f>'0_Total'!BC8</f>
        <v>World</v>
      </c>
      <c r="BD17" s="278" t="str">
        <f>'0_Total'!BD8</f>
        <v>World</v>
      </c>
      <c r="BE17" s="278" t="str">
        <f>'0_Total'!BE8</f>
        <v>World</v>
      </c>
      <c r="BF17" s="278" t="str">
        <f>'0_Total'!BF8</f>
        <v>World</v>
      </c>
      <c r="BG17" s="278" t="str">
        <f>'0_Total'!BG8</f>
        <v>World</v>
      </c>
      <c r="BH17" s="278" t="str">
        <f>'0_Total'!BH8</f>
        <v>World</v>
      </c>
      <c r="BI17" s="278" t="str">
        <f>'0_Total'!BI8</f>
        <v>World</v>
      </c>
      <c r="BJ17" s="278" t="str">
        <f>'0_Total'!BJ8</f>
        <v>World</v>
      </c>
      <c r="BK17" s="278" t="str">
        <f>'0_Total'!BK8</f>
        <v>World</v>
      </c>
      <c r="BL17" s="278" t="str">
        <f>'0_Total'!BL8</f>
        <v>World</v>
      </c>
      <c r="BM17" s="278" t="str">
        <f>'0_Total'!BM8</f>
        <v>World</v>
      </c>
      <c r="BN17" s="278" t="str">
        <f>'0_Total'!BN8</f>
        <v>World</v>
      </c>
      <c r="BO17" s="278" t="str">
        <f>'0_Total'!BO8</f>
        <v>100% coal</v>
      </c>
      <c r="BP17" s="278" t="str">
        <f>'0_Total'!BP8</f>
        <v>100% solar, wind or hydro</v>
      </c>
      <c r="BQ17" s="278" t="str">
        <f>'0_Total'!BQ8</f>
        <v>World</v>
      </c>
      <c r="BR17" s="278" t="str">
        <f>'0_Total'!BR8</f>
        <v>World</v>
      </c>
      <c r="BS17" s="278" t="str">
        <f>'0_Total'!BS8</f>
        <v>World</v>
      </c>
      <c r="BT17" s="278" t="str">
        <f>'0_Total'!BT8</f>
        <v>World</v>
      </c>
      <c r="BU17" s="278" t="str">
        <f>'0_Total'!BU8</f>
        <v>World</v>
      </c>
      <c r="BV17" s="278" t="str">
        <f>'0_Total'!BV8</f>
        <v>World</v>
      </c>
      <c r="BW17" s="278" t="str">
        <f>'0_Total'!BW8</f>
        <v>World</v>
      </c>
      <c r="BX17" s="278" t="str">
        <f>'0_Total'!BX8</f>
        <v>100% coal</v>
      </c>
      <c r="BY17" s="278" t="str">
        <f>'0_Total'!BY8</f>
        <v>100% solar, wind or hydro</v>
      </c>
      <c r="BZ17" s="278" t="str">
        <f>'0_Total'!BZ8</f>
        <v>World</v>
      </c>
      <c r="CA17" s="278" t="str">
        <f>'0_Total'!CA8</f>
        <v>World</v>
      </c>
      <c r="CB17" s="278" t="str">
        <f>'0_Total'!CB8</f>
        <v>World</v>
      </c>
      <c r="CC17" s="278" t="str">
        <f>'0_Total'!CC8</f>
        <v>World</v>
      </c>
      <c r="CD17" s="278" t="str">
        <f>'0_Total'!CD8</f>
        <v>World</v>
      </c>
      <c r="CE17" s="278" t="str">
        <f>'0_Total'!CD8</f>
        <v>World</v>
      </c>
      <c r="CF17" s="278" t="str">
        <f>'0_Total'!CF8</f>
        <v>World</v>
      </c>
      <c r="CG17" s="278" t="str">
        <f>'0_Total'!CG8</f>
        <v>World</v>
      </c>
      <c r="CH17" s="278" t="str">
        <f>'0_Total'!CH8</f>
        <v>World</v>
      </c>
      <c r="CI17" s="278" t="str">
        <f>'0_Total'!CI8</f>
        <v>World</v>
      </c>
      <c r="CJ17" s="278" t="str">
        <f>'0_Total'!CJ8</f>
        <v>World</v>
      </c>
      <c r="CK17" s="278" t="str">
        <f>'0_Total'!CK8</f>
        <v>World</v>
      </c>
      <c r="CL17" s="278" t="str">
        <f>'0_Total'!CL8</f>
        <v>World</v>
      </c>
      <c r="CM17" s="278" t="str">
        <f>'0_Total'!CM8</f>
        <v>World</v>
      </c>
      <c r="CN17" s="278" t="str">
        <f>'0_Total'!CN8</f>
        <v>World</v>
      </c>
      <c r="CO17" s="278" t="str">
        <f>'0_Total'!CO8</f>
        <v>World</v>
      </c>
      <c r="CP17" s="278" t="str">
        <f>'0_Total'!CP8</f>
        <v>World</v>
      </c>
      <c r="CQ17" s="278" t="str">
        <f>'0_Total'!CQ8</f>
        <v>World</v>
      </c>
      <c r="CR17" s="278" t="str">
        <f>'0_Total'!CR8</f>
        <v>World</v>
      </c>
      <c r="CS17" s="278" t="str">
        <f>'0_Total'!CS8</f>
        <v>World</v>
      </c>
      <c r="CT17" s="278" t="str">
        <f>'0_Total'!CT8</f>
        <v>World</v>
      </c>
      <c r="CU17" s="278" t="str">
        <f>'0_Total'!CU8</f>
        <v>World</v>
      </c>
      <c r="CV17" s="278" t="str">
        <f>'0_Total'!CV8</f>
        <v>World</v>
      </c>
      <c r="CW17" s="278" t="str">
        <f>'0_Total'!CW8</f>
        <v>World</v>
      </c>
      <c r="CX17" s="278" t="str">
        <f>'0_Total'!CX8</f>
        <v>World</v>
      </c>
      <c r="CY17" s="278" t="str">
        <f>'0_Total'!CY8</f>
        <v>World</v>
      </c>
      <c r="CZ17" s="278" t="str">
        <f>'0_Total'!CZ8</f>
        <v>World</v>
      </c>
      <c r="DA17" s="278" t="str">
        <f>'0_Total'!DA8</f>
        <v>World</v>
      </c>
      <c r="DB17" s="278" t="str">
        <f>'0_Total'!DB8</f>
        <v>World</v>
      </c>
      <c r="DC17" s="278" t="str">
        <f>'0_Total'!DC8</f>
        <v>World</v>
      </c>
      <c r="DD17" s="278" t="str">
        <f>'0_Total'!DD8</f>
        <v>World</v>
      </c>
      <c r="DE17" s="278" t="str">
        <f>'0_Total'!DE8</f>
        <v>World</v>
      </c>
      <c r="DF17" s="278" t="str">
        <f>'0_Total'!DF8</f>
        <v>World</v>
      </c>
      <c r="DG17" s="278"/>
      <c r="DH17" s="278" t="str">
        <f>'0_Total'!DH8</f>
        <v>World</v>
      </c>
      <c r="DI17" s="278" t="str">
        <f>'0_Total'!DI8</f>
        <v>World</v>
      </c>
      <c r="DJ17" s="278" t="str">
        <f>'0_Total'!DJ8</f>
        <v>World</v>
      </c>
      <c r="DK17" s="278" t="str">
        <f>'0_Total'!DK8</f>
        <v>World</v>
      </c>
      <c r="DL17" s="278" t="str">
        <f>'0_Total'!DL8</f>
        <v>World</v>
      </c>
      <c r="DM17" s="278" t="str">
        <f>'0_Total'!DM8</f>
        <v>World</v>
      </c>
      <c r="DN17" s="278" t="str">
        <f>'0_Total'!DN8</f>
        <v>World</v>
      </c>
      <c r="DO17" s="278" t="str">
        <f>'0_Total'!DO8</f>
        <v>World</v>
      </c>
      <c r="DP17" s="278" t="str">
        <f>'0_Total'!DP8</f>
        <v>World</v>
      </c>
      <c r="DQ17" s="278" t="str">
        <f>'0_Total'!DQ8</f>
        <v>World</v>
      </c>
      <c r="DR17" s="278" t="str">
        <f>'0_Total'!DR8</f>
        <v>World</v>
      </c>
      <c r="DS17" s="278" t="str">
        <f>'0_Total'!DS8</f>
        <v>100% solar, wind or hydro</v>
      </c>
      <c r="DT17" s="278" t="str">
        <f>'0_Total'!DT8</f>
        <v>World</v>
      </c>
      <c r="DU17" s="278" t="str">
        <f>'0_Total'!DU8</f>
        <v>World</v>
      </c>
      <c r="DV17" s="278" t="str">
        <f>'0_Total'!DV8</f>
        <v>World</v>
      </c>
      <c r="DW17" s="278" t="str">
        <f>'0_Total'!DW8</f>
        <v>World</v>
      </c>
      <c r="DX17" s="278" t="str">
        <f>'0_Total'!DX8</f>
        <v>World</v>
      </c>
      <c r="DY17" s="278" t="str">
        <f>'0_Total'!DY8</f>
        <v>World</v>
      </c>
      <c r="DZ17" s="278" t="str">
        <f>'0_Total'!DZ8</f>
        <v>World</v>
      </c>
      <c r="EA17" s="278" t="str">
        <f>'0_Total'!EA8</f>
        <v>World</v>
      </c>
      <c r="EB17" s="278" t="str">
        <f>'0_Total'!EB8</f>
        <v>World</v>
      </c>
      <c r="EC17" s="278" t="str">
        <f>'0_Total'!EC8</f>
        <v>World</v>
      </c>
      <c r="ED17" s="278" t="str">
        <f>'0_Total'!ED8</f>
        <v>World</v>
      </c>
    </row>
    <row r="19" spans="1:156" x14ac:dyDescent="0.3">
      <c r="A19" s="21" t="s">
        <v>908</v>
      </c>
      <c r="B19" s="21" t="s">
        <v>118</v>
      </c>
    </row>
    <row r="20" spans="1:156" x14ac:dyDescent="0.3">
      <c r="A20" s="21" t="s">
        <v>834</v>
      </c>
      <c r="D20" s="304">
        <f>HLOOKUP(D$17,Power_Gen_Mix!$B$3:$S$9,ROW(Power_Gen_Mix!$A4)-ROW(Power_Gen_Mix!$A$3)+1,FALSE)</f>
        <v>3.8726960370381153E-3</v>
      </c>
      <c r="E20" s="304">
        <f>HLOOKUP(E$17,Power_Gen_Mix!$B$3:$S$9,ROW(Power_Gen_Mix!$A4)-ROW(Power_Gen_Mix!$A$3)+1,FALSE)</f>
        <v>0</v>
      </c>
      <c r="F20" s="304">
        <f>HLOOKUP(F$17,Power_Gen_Mix!$B$3:$S$9,ROW(Power_Gen_Mix!$A4)-ROW(Power_Gen_Mix!$A$3)+1,FALSE)</f>
        <v>0</v>
      </c>
      <c r="G20" s="304">
        <f>HLOOKUP(G$17,Power_Gen_Mix!$B$3:$S$9,ROW(Power_Gen_Mix!$A4)-ROW(Power_Gen_Mix!$A$3)+1,FALSE)</f>
        <v>3.8726960370381153E-3</v>
      </c>
      <c r="H20" s="304">
        <f>HLOOKUP(H$17,Power_Gen_Mix!$B$3:$S$9,ROW(Power_Gen_Mix!$A4)-ROW(Power_Gen_Mix!$A$3)+1,FALSE)</f>
        <v>3.8726960370381153E-3</v>
      </c>
      <c r="I20" s="304">
        <f>HLOOKUP(I$17,Power_Gen_Mix!$B$3:$S$9,ROW(Power_Gen_Mix!$A4)-ROW(Power_Gen_Mix!$A$3)+1,FALSE)</f>
        <v>3.8726960370381153E-3</v>
      </c>
      <c r="J20" s="304">
        <f>HLOOKUP(J$17,Power_Gen_Mix!$B$3:$S$9,ROW(Power_Gen_Mix!$A4)-ROW(Power_Gen_Mix!$A$3)+1,FALSE)</f>
        <v>3.8726960370381153E-3</v>
      </c>
      <c r="K20" s="304">
        <f>HLOOKUP(K$17,Power_Gen_Mix!$B$3:$S$9,ROW(Power_Gen_Mix!$A4)-ROW(Power_Gen_Mix!$A$3)+1,FALSE)</f>
        <v>3.8726960370381153E-3</v>
      </c>
      <c r="L20" s="304">
        <f>HLOOKUP(L$17,Power_Gen_Mix!$B$3:$S$9,ROW(Power_Gen_Mix!$A4)-ROW(Power_Gen_Mix!$A$3)+1,FALSE)</f>
        <v>3.8726960370381153E-3</v>
      </c>
      <c r="M20" s="304">
        <f>HLOOKUP(M$17,Power_Gen_Mix!$B$3:$S$9,ROW(Power_Gen_Mix!$A4)-ROW(Power_Gen_Mix!$A$3)+1,FALSE)</f>
        <v>3.8726960370381153E-3</v>
      </c>
      <c r="N20" s="304">
        <f>HLOOKUP(N$17,Power_Gen_Mix!$B$3:$S$9,ROW(Power_Gen_Mix!$A4)-ROW(Power_Gen_Mix!$A$3)+1,FALSE)</f>
        <v>3.8726960370381153E-3</v>
      </c>
      <c r="O20" s="304">
        <f>HLOOKUP(O$17,Power_Gen_Mix!$B$3:$S$9,ROW(Power_Gen_Mix!$A4)-ROW(Power_Gen_Mix!$A$3)+1,FALSE)</f>
        <v>3.8726960370381153E-3</v>
      </c>
      <c r="P20" s="304">
        <f>HLOOKUP(P$17,Power_Gen_Mix!$B$3:$S$9,ROW(Power_Gen_Mix!$A4)-ROW(Power_Gen_Mix!$A$3)+1,FALSE)</f>
        <v>3.8726960370381153E-3</v>
      </c>
      <c r="Q20" s="304">
        <f>HLOOKUP(Q$17,Power_Gen_Mix!$B$3:$S$9,ROW(Power_Gen_Mix!$A4)-ROW(Power_Gen_Mix!$A$3)+1,FALSE)</f>
        <v>3.8726960370381153E-3</v>
      </c>
      <c r="R20" s="304">
        <f>HLOOKUP(R$17,Power_Gen_Mix!$B$3:$S$9,ROW(Power_Gen_Mix!$A4)-ROW(Power_Gen_Mix!$A$3)+1,FALSE)</f>
        <v>3.8726960370381153E-3</v>
      </c>
      <c r="S20" s="304">
        <f>HLOOKUP(S$17,Power_Gen_Mix!$B$3:$S$9,ROW(Power_Gen_Mix!$A4)-ROW(Power_Gen_Mix!$A$3)+1,FALSE)</f>
        <v>3.8726960370381153E-3</v>
      </c>
      <c r="T20" s="304">
        <f>HLOOKUP(T$17,Power_Gen_Mix!$B$3:$S$9,ROW(Power_Gen_Mix!$A4)-ROW(Power_Gen_Mix!$A$3)+1,FALSE)</f>
        <v>3.8726960370381153E-3</v>
      </c>
      <c r="U20" s="304">
        <f>HLOOKUP(U$17,Power_Gen_Mix!$B$3:$S$9,ROW(Power_Gen_Mix!$A4)-ROW(Power_Gen_Mix!$A$3)+1,FALSE)</f>
        <v>0</v>
      </c>
      <c r="V20" s="304">
        <f>HLOOKUP(V$17,Power_Gen_Mix!$B$3:$S$9,ROW(Power_Gen_Mix!$A4)-ROW(Power_Gen_Mix!$A$3)+1,FALSE)</f>
        <v>0</v>
      </c>
      <c r="W20" s="304">
        <f>HLOOKUP(W$17,Power_Gen_Mix!$B$3:$S$9,ROW(Power_Gen_Mix!$A4)-ROW(Power_Gen_Mix!$A$3)+1,FALSE)</f>
        <v>3.8726960370381153E-3</v>
      </c>
      <c r="X20" s="304">
        <f>HLOOKUP(X$17,Power_Gen_Mix!$B$3:$S$9,ROW(Power_Gen_Mix!$A4)-ROW(Power_Gen_Mix!$A$3)+1,FALSE)</f>
        <v>0</v>
      </c>
      <c r="Y20" s="304">
        <f>HLOOKUP(Y$17,Power_Gen_Mix!$B$3:$S$9,ROW(Power_Gen_Mix!$A4)-ROW(Power_Gen_Mix!$A$3)+1,FALSE)</f>
        <v>0</v>
      </c>
      <c r="Z20" s="304">
        <f>HLOOKUP(Z$17,Power_Gen_Mix!$B$3:$S$9,ROW(Power_Gen_Mix!$A4)-ROW(Power_Gen_Mix!$A$3)+1,FALSE)</f>
        <v>3.8726960370381153E-3</v>
      </c>
      <c r="AA20" s="304">
        <f>HLOOKUP(AA$17,Power_Gen_Mix!$B$3:$S$9,ROW(Power_Gen_Mix!$A4)-ROW(Power_Gen_Mix!$A$3)+1,FALSE)</f>
        <v>3.8726960370381153E-3</v>
      </c>
      <c r="AB20" s="304">
        <f>HLOOKUP(AB$17,Power_Gen_Mix!$B$3:$S$9,ROW(Power_Gen_Mix!$A4)-ROW(Power_Gen_Mix!$A$3)+1,FALSE)</f>
        <v>3.8726960370381153E-3</v>
      </c>
      <c r="AC20" s="304">
        <f>HLOOKUP(AC$17,Power_Gen_Mix!$B$3:$S$9,ROW(Power_Gen_Mix!$A4)-ROW(Power_Gen_Mix!$A$3)+1,FALSE)</f>
        <v>3.8726960370381153E-3</v>
      </c>
      <c r="AD20" s="304">
        <f>HLOOKUP(AD$17,Power_Gen_Mix!$B$3:$S$9,ROW(Power_Gen_Mix!$A4)-ROW(Power_Gen_Mix!$A$3)+1,FALSE)</f>
        <v>3.8726960370381153E-3</v>
      </c>
      <c r="AE20" s="304">
        <f>HLOOKUP(AE$17,Power_Gen_Mix!$B$3:$S$9,ROW(Power_Gen_Mix!$A4)-ROW(Power_Gen_Mix!$A$3)+1,FALSE)</f>
        <v>3.8726960370381153E-3</v>
      </c>
      <c r="AF20" s="304">
        <f>HLOOKUP(AF$17,Power_Gen_Mix!$B$3:$S$9,ROW(Power_Gen_Mix!$A4)-ROW(Power_Gen_Mix!$A$3)+1,FALSE)</f>
        <v>8.1444657981173466E-3</v>
      </c>
      <c r="AG20" s="304">
        <f>HLOOKUP(AG$17,Power_Gen_Mix!$B$3:$S$9,ROW(Power_Gen_Mix!$A4)-ROW(Power_Gen_Mix!$A$3)+1,FALSE)</f>
        <v>3.8726960370381153E-3</v>
      </c>
      <c r="AH20" s="304">
        <f>HLOOKUP(AH$17,Power_Gen_Mix!$B$3:$S$9,ROW(Power_Gen_Mix!$A4)-ROW(Power_Gen_Mix!$A$3)+1,FALSE)</f>
        <v>3.8726960370381153E-3</v>
      </c>
      <c r="AI20" s="304">
        <f>HLOOKUP(AI$17,Power_Gen_Mix!$B$3:$S$9,ROW(Power_Gen_Mix!$A4)-ROW(Power_Gen_Mix!$A$3)+1,FALSE)</f>
        <v>3.8726960370381153E-3</v>
      </c>
      <c r="AJ20" s="304">
        <f>HLOOKUP(AJ$17,Power_Gen_Mix!$B$3:$S$9,ROW(Power_Gen_Mix!$A4)-ROW(Power_Gen_Mix!$A$3)+1,FALSE)</f>
        <v>3.8726960370381153E-3</v>
      </c>
      <c r="AK20" s="304">
        <f>HLOOKUP(AK$17,Power_Gen_Mix!$B$3:$S$9,ROW(Power_Gen_Mix!$A4)-ROW(Power_Gen_Mix!$A$3)+1,FALSE)</f>
        <v>3.8726960370381153E-3</v>
      </c>
      <c r="AL20" s="304">
        <f>HLOOKUP(AL$17,Power_Gen_Mix!$B$3:$S$9,ROW(Power_Gen_Mix!$A4)-ROW(Power_Gen_Mix!$A$3)+1,FALSE)</f>
        <v>3.8726960370381153E-3</v>
      </c>
      <c r="AM20" s="304">
        <f>HLOOKUP(AM$17,Power_Gen_Mix!$B$3:$S$9,ROW(Power_Gen_Mix!$A4)-ROW(Power_Gen_Mix!$A$3)+1,FALSE)</f>
        <v>3.8726960370381153E-3</v>
      </c>
      <c r="AN20" s="304">
        <f>HLOOKUP(AN$17,Power_Gen_Mix!$B$3:$S$9,ROW(Power_Gen_Mix!$A4)-ROW(Power_Gen_Mix!$A$3)+1,FALSE)</f>
        <v>3.8726960370381153E-3</v>
      </c>
      <c r="AO20" s="304">
        <f>HLOOKUP(AO$17,Power_Gen_Mix!$B$3:$S$9,ROW(Power_Gen_Mix!$A4)-ROW(Power_Gen_Mix!$A$3)+1,FALSE)</f>
        <v>3.8726960370381153E-3</v>
      </c>
      <c r="AP20" s="304">
        <f>HLOOKUP(AP$17,Power_Gen_Mix!$B$3:$S$9,ROW(Power_Gen_Mix!$A4)-ROW(Power_Gen_Mix!$A$3)+1,FALSE)</f>
        <v>3.8726960370381153E-3</v>
      </c>
      <c r="AQ20" s="304">
        <f>HLOOKUP(AQ$17,Power_Gen_Mix!$B$3:$S$9,ROW(Power_Gen_Mix!$A4)-ROW(Power_Gen_Mix!$A$3)+1,FALSE)</f>
        <v>3.8726960370381153E-3</v>
      </c>
      <c r="AR20" s="304">
        <f>HLOOKUP(AR$17,Power_Gen_Mix!$B$3:$S$9,ROW(Power_Gen_Mix!$A4)-ROW(Power_Gen_Mix!$A$3)+1,FALSE)</f>
        <v>3.8726960370381153E-3</v>
      </c>
      <c r="AS20" s="304">
        <f>HLOOKUP(AS$17,Power_Gen_Mix!$B$3:$S$9,ROW(Power_Gen_Mix!$A4)-ROW(Power_Gen_Mix!$A$3)+1,FALSE)</f>
        <v>0</v>
      </c>
      <c r="AT20" s="304">
        <f>HLOOKUP(AT$17,Power_Gen_Mix!$B$3:$S$9,ROW(Power_Gen_Mix!$A4)-ROW(Power_Gen_Mix!$A$3)+1,FALSE)</f>
        <v>0</v>
      </c>
      <c r="AU20" s="304">
        <f>HLOOKUP(AU$17,Power_Gen_Mix!$B$3:$S$9,ROW(Power_Gen_Mix!$A4)-ROW(Power_Gen_Mix!$A$3)+1,FALSE)</f>
        <v>3.8726960370381153E-3</v>
      </c>
      <c r="AV20" s="304">
        <f>HLOOKUP(AV$17,Power_Gen_Mix!$B$3:$S$9,ROW(Power_Gen_Mix!$A4)-ROW(Power_Gen_Mix!$A$3)+1,FALSE)</f>
        <v>3.8726960370381153E-3</v>
      </c>
      <c r="AW20" s="304">
        <f>HLOOKUP(AW$17,Power_Gen_Mix!$B$3:$S$9,ROW(Power_Gen_Mix!$A4)-ROW(Power_Gen_Mix!$A$3)+1,FALSE)</f>
        <v>3.8726960370381153E-3</v>
      </c>
      <c r="AX20" s="304">
        <f>HLOOKUP(AX$17,Power_Gen_Mix!$B$3:$S$9,ROW(Power_Gen_Mix!$A4)-ROW(Power_Gen_Mix!$A$3)+1,FALSE)</f>
        <v>3.8726960370381153E-3</v>
      </c>
      <c r="AY20" s="304">
        <f>HLOOKUP(AY$17,Power_Gen_Mix!$B$3:$S$9,ROW(Power_Gen_Mix!$A4)-ROW(Power_Gen_Mix!$A$3)+1,FALSE)</f>
        <v>3.8726960370381153E-3</v>
      </c>
      <c r="AZ20" s="304">
        <f>HLOOKUP(AZ$17,Power_Gen_Mix!$B$3:$S$9,ROW(Power_Gen_Mix!$A4)-ROW(Power_Gen_Mix!$A$3)+1,FALSE)</f>
        <v>3.8726960370381153E-3</v>
      </c>
      <c r="BA20" s="304">
        <f>HLOOKUP(BA$17,Power_Gen_Mix!$B$3:$S$9,ROW(Power_Gen_Mix!$A4)-ROW(Power_Gen_Mix!$A$3)+1,FALSE)</f>
        <v>3.8726960370381153E-3</v>
      </c>
      <c r="BB20" s="304">
        <f>HLOOKUP(BB$17,Power_Gen_Mix!$B$3:$S$9,ROW(Power_Gen_Mix!$A4)-ROW(Power_Gen_Mix!$A$3)+1,FALSE)</f>
        <v>3.8726960370381153E-3</v>
      </c>
      <c r="BC20" s="304">
        <f>HLOOKUP(BC$17,Power_Gen_Mix!$B$3:$S$9,ROW(Power_Gen_Mix!$A4)-ROW(Power_Gen_Mix!$A$3)+1,FALSE)</f>
        <v>3.8726960370381153E-3</v>
      </c>
      <c r="BD20" s="304">
        <f>HLOOKUP(BD$17,Power_Gen_Mix!$B$3:$S$9,ROW(Power_Gen_Mix!$A4)-ROW(Power_Gen_Mix!$A$3)+1,FALSE)</f>
        <v>3.8726960370381153E-3</v>
      </c>
      <c r="BE20" s="304">
        <f>HLOOKUP(BE$17,Power_Gen_Mix!$B$3:$S$9,ROW(Power_Gen_Mix!$A4)-ROW(Power_Gen_Mix!$A$3)+1,FALSE)</f>
        <v>3.8726960370381153E-3</v>
      </c>
      <c r="BF20" s="304">
        <f>HLOOKUP(BF$17,Power_Gen_Mix!$B$3:$S$9,ROW(Power_Gen_Mix!$A4)-ROW(Power_Gen_Mix!$A$3)+1,FALSE)</f>
        <v>3.8726960370381153E-3</v>
      </c>
      <c r="BG20" s="304">
        <f>HLOOKUP(BG$17,Power_Gen_Mix!$B$3:$S$9,ROW(Power_Gen_Mix!$A4)-ROW(Power_Gen_Mix!$A$3)+1,FALSE)</f>
        <v>3.8726960370381153E-3</v>
      </c>
      <c r="BH20" s="304">
        <f>HLOOKUP(BH$17,Power_Gen_Mix!$B$3:$S$9,ROW(Power_Gen_Mix!$A4)-ROW(Power_Gen_Mix!$A$3)+1,FALSE)</f>
        <v>3.8726960370381153E-3</v>
      </c>
      <c r="BI20" s="304">
        <f>HLOOKUP(BI$17,Power_Gen_Mix!$B$3:$S$9,ROW(Power_Gen_Mix!$A4)-ROW(Power_Gen_Mix!$A$3)+1,FALSE)</f>
        <v>3.8726960370381153E-3</v>
      </c>
      <c r="BJ20" s="304">
        <f>HLOOKUP(BJ$17,Power_Gen_Mix!$B$3:$S$9,ROW(Power_Gen_Mix!$A4)-ROW(Power_Gen_Mix!$A$3)+1,FALSE)</f>
        <v>3.8726960370381153E-3</v>
      </c>
      <c r="BK20" s="304">
        <f>HLOOKUP(BK$17,Power_Gen_Mix!$B$3:$S$9,ROW(Power_Gen_Mix!$A4)-ROW(Power_Gen_Mix!$A$3)+1,FALSE)</f>
        <v>3.8726960370381153E-3</v>
      </c>
      <c r="BL20" s="304">
        <f>HLOOKUP(BL$17,Power_Gen_Mix!$B$3:$S$9,ROW(Power_Gen_Mix!$A4)-ROW(Power_Gen_Mix!$A$3)+1,FALSE)</f>
        <v>3.8726960370381153E-3</v>
      </c>
      <c r="BM20" s="304">
        <f>HLOOKUP(BM$17,Power_Gen_Mix!$B$3:$S$9,ROW(Power_Gen_Mix!$A4)-ROW(Power_Gen_Mix!$A$3)+1,FALSE)</f>
        <v>3.8726960370381153E-3</v>
      </c>
      <c r="BN20" s="304">
        <f>HLOOKUP(BN$17,Power_Gen_Mix!$B$3:$S$9,ROW(Power_Gen_Mix!$A4)-ROW(Power_Gen_Mix!$A$3)+1,FALSE)</f>
        <v>3.8726960370381153E-3</v>
      </c>
      <c r="BO20" s="304">
        <f>HLOOKUP(BO$17,Power_Gen_Mix!$B$3:$S$9,ROW(Power_Gen_Mix!$A4)-ROW(Power_Gen_Mix!$A$3)+1,FALSE)</f>
        <v>0</v>
      </c>
      <c r="BP20" s="304">
        <f>HLOOKUP(BP$17,Power_Gen_Mix!$B$3:$S$9,ROW(Power_Gen_Mix!$A4)-ROW(Power_Gen_Mix!$A$3)+1,FALSE)</f>
        <v>0</v>
      </c>
      <c r="BQ20" s="304">
        <f>HLOOKUP(BQ$17,Power_Gen_Mix!$B$3:$S$9,ROW(Power_Gen_Mix!$A4)-ROW(Power_Gen_Mix!$A$3)+1,FALSE)</f>
        <v>3.8726960370381153E-3</v>
      </c>
      <c r="BR20" s="304">
        <f>HLOOKUP(BR$17,Power_Gen_Mix!$B$3:$S$9,ROW(Power_Gen_Mix!$A4)-ROW(Power_Gen_Mix!$A$3)+1,FALSE)</f>
        <v>3.8726960370381153E-3</v>
      </c>
      <c r="BS20" s="304">
        <f>HLOOKUP(BS$17,Power_Gen_Mix!$B$3:$S$9,ROW(Power_Gen_Mix!$A4)-ROW(Power_Gen_Mix!$A$3)+1,FALSE)</f>
        <v>3.8726960370381153E-3</v>
      </c>
      <c r="BT20" s="304">
        <f>HLOOKUP(BT$17,Power_Gen_Mix!$B$3:$S$9,ROW(Power_Gen_Mix!$A4)-ROW(Power_Gen_Mix!$A$3)+1,FALSE)</f>
        <v>3.8726960370381153E-3</v>
      </c>
      <c r="BU20" s="304">
        <f>HLOOKUP(BU$17,Power_Gen_Mix!$B$3:$S$9,ROW(Power_Gen_Mix!$A4)-ROW(Power_Gen_Mix!$A$3)+1,FALSE)</f>
        <v>3.8726960370381153E-3</v>
      </c>
      <c r="BV20" s="304">
        <f>HLOOKUP(BV$17,Power_Gen_Mix!$B$3:$S$9,ROW(Power_Gen_Mix!$A4)-ROW(Power_Gen_Mix!$A$3)+1,FALSE)</f>
        <v>3.8726960370381153E-3</v>
      </c>
      <c r="BW20" s="304">
        <f>HLOOKUP(BW$17,Power_Gen_Mix!$B$3:$S$9,ROW(Power_Gen_Mix!$A4)-ROW(Power_Gen_Mix!$A$3)+1,FALSE)</f>
        <v>3.8726960370381153E-3</v>
      </c>
      <c r="BX20" s="304">
        <f>HLOOKUP(BX$17,Power_Gen_Mix!$B$3:$S$9,ROW(Power_Gen_Mix!$A4)-ROW(Power_Gen_Mix!$A$3)+1,FALSE)</f>
        <v>0</v>
      </c>
      <c r="BY20" s="304">
        <f>HLOOKUP(BY$17,Power_Gen_Mix!$B$3:$S$9,ROW(Power_Gen_Mix!$A4)-ROW(Power_Gen_Mix!$A$3)+1,FALSE)</f>
        <v>0</v>
      </c>
      <c r="BZ20" s="304">
        <f>HLOOKUP(BZ$17,Power_Gen_Mix!$B$3:$S$9,ROW(Power_Gen_Mix!$A4)-ROW(Power_Gen_Mix!$A$3)+1,FALSE)</f>
        <v>3.8726960370381153E-3</v>
      </c>
      <c r="CA20" s="304">
        <f>HLOOKUP(CA$17,Power_Gen_Mix!$B$3:$S$9,ROW(Power_Gen_Mix!$A4)-ROW(Power_Gen_Mix!$A$3)+1,FALSE)</f>
        <v>3.8726960370381153E-3</v>
      </c>
      <c r="CB20" s="304">
        <f>HLOOKUP(CB$17,Power_Gen_Mix!$B$3:$S$9,ROW(Power_Gen_Mix!$A4)-ROW(Power_Gen_Mix!$A$3)+1,FALSE)</f>
        <v>3.8726960370381153E-3</v>
      </c>
      <c r="CC20" s="304">
        <f>HLOOKUP(CC$17,Power_Gen_Mix!$B$3:$S$9,ROW(Power_Gen_Mix!$A4)-ROW(Power_Gen_Mix!$A$3)+1,FALSE)</f>
        <v>3.8726960370381153E-3</v>
      </c>
      <c r="CD20" s="304">
        <f>HLOOKUP(CD$17,Power_Gen_Mix!$B$3:$S$9,ROW(Power_Gen_Mix!$A4)-ROW(Power_Gen_Mix!$A$3)+1,FALSE)</f>
        <v>3.8726960370381153E-3</v>
      </c>
      <c r="CE20" s="304">
        <f>HLOOKUP(CE$17,Power_Gen_Mix!$B$3:$S$9,ROW(Power_Gen_Mix!$A4)-ROW(Power_Gen_Mix!$A$3)+1,FALSE)</f>
        <v>3.8726960370381153E-3</v>
      </c>
      <c r="CF20" s="304">
        <f>HLOOKUP(CF$17,Power_Gen_Mix!$B$3:$S$9,ROW(Power_Gen_Mix!$A4)-ROW(Power_Gen_Mix!$A$3)+1,FALSE)</f>
        <v>3.8726960370381153E-3</v>
      </c>
      <c r="CG20" s="304">
        <f>HLOOKUP(CG$17,Power_Gen_Mix!$B$3:$S$9,ROW(Power_Gen_Mix!$A4)-ROW(Power_Gen_Mix!$A$3)+1,FALSE)</f>
        <v>3.8726960370381153E-3</v>
      </c>
      <c r="CH20" s="304">
        <f>HLOOKUP(CH$17,Power_Gen_Mix!$B$3:$S$9,ROW(Power_Gen_Mix!$A4)-ROW(Power_Gen_Mix!$A$3)+1,FALSE)</f>
        <v>3.8726960370381153E-3</v>
      </c>
      <c r="CI20" s="304">
        <f>HLOOKUP(CI$17,Power_Gen_Mix!$B$3:$S$9,ROW(Power_Gen_Mix!$A4)-ROW(Power_Gen_Mix!$A$3)+1,FALSE)</f>
        <v>3.8726960370381153E-3</v>
      </c>
      <c r="CJ20" s="304">
        <f>HLOOKUP(CJ$17,Power_Gen_Mix!$B$3:$S$9,ROW(Power_Gen_Mix!$A4)-ROW(Power_Gen_Mix!$A$3)+1,FALSE)</f>
        <v>3.8726960370381153E-3</v>
      </c>
      <c r="CK20" s="304">
        <f>HLOOKUP(CK$17,Power_Gen_Mix!$B$3:$S$9,ROW(Power_Gen_Mix!$A4)-ROW(Power_Gen_Mix!$A$3)+1,FALSE)</f>
        <v>3.8726960370381153E-3</v>
      </c>
      <c r="CL20" s="304">
        <f>HLOOKUP(CL$17,Power_Gen_Mix!$B$3:$S$9,ROW(Power_Gen_Mix!$A4)-ROW(Power_Gen_Mix!$A$3)+1,FALSE)</f>
        <v>3.8726960370381153E-3</v>
      </c>
      <c r="CM20" s="304">
        <f>HLOOKUP(CM$17,Power_Gen_Mix!$B$3:$S$9,ROW(Power_Gen_Mix!$A4)-ROW(Power_Gen_Mix!$A$3)+1,FALSE)</f>
        <v>3.8726960370381153E-3</v>
      </c>
      <c r="CN20" s="304">
        <f>HLOOKUP(CN$17,Power_Gen_Mix!$B$3:$S$9,ROW(Power_Gen_Mix!$A4)-ROW(Power_Gen_Mix!$A$3)+1,FALSE)</f>
        <v>3.8726960370381153E-3</v>
      </c>
      <c r="CO20" s="304">
        <f>HLOOKUP(CO$17,Power_Gen_Mix!$B$3:$S$9,ROW(Power_Gen_Mix!$A4)-ROW(Power_Gen_Mix!$A$3)+1,FALSE)</f>
        <v>3.8726960370381153E-3</v>
      </c>
      <c r="CP20" s="304">
        <f>HLOOKUP(CP$17,Power_Gen_Mix!$B$3:$S$9,ROW(Power_Gen_Mix!$A4)-ROW(Power_Gen_Mix!$A$3)+1,FALSE)</f>
        <v>3.8726960370381153E-3</v>
      </c>
      <c r="CQ20" s="304">
        <f>HLOOKUP(CQ$17,Power_Gen_Mix!$B$3:$S$9,ROW(Power_Gen_Mix!$A4)-ROW(Power_Gen_Mix!$A$3)+1,FALSE)</f>
        <v>3.8726960370381153E-3</v>
      </c>
      <c r="CR20" s="304">
        <f>HLOOKUP(CR$17,Power_Gen_Mix!$B$3:$S$9,ROW(Power_Gen_Mix!$A4)-ROW(Power_Gen_Mix!$A$3)+1,FALSE)</f>
        <v>3.8726960370381153E-3</v>
      </c>
      <c r="CS20" s="304">
        <f>HLOOKUP(CS$17,Power_Gen_Mix!$B$3:$S$9,ROW(Power_Gen_Mix!$A4)-ROW(Power_Gen_Mix!$A$3)+1,FALSE)</f>
        <v>3.8726960370381153E-3</v>
      </c>
      <c r="CT20" s="304">
        <f>HLOOKUP(CT$17,Power_Gen_Mix!$B$3:$S$9,ROW(Power_Gen_Mix!$A4)-ROW(Power_Gen_Mix!$A$3)+1,FALSE)</f>
        <v>3.8726960370381153E-3</v>
      </c>
      <c r="CU20" s="304">
        <f>HLOOKUP(CU$17,Power_Gen_Mix!$B$3:$S$9,ROW(Power_Gen_Mix!$A4)-ROW(Power_Gen_Mix!$A$3)+1,FALSE)</f>
        <v>3.8726960370381153E-3</v>
      </c>
      <c r="CV20" s="304">
        <f>HLOOKUP(CV$17,Power_Gen_Mix!$B$3:$S$9,ROW(Power_Gen_Mix!$A4)-ROW(Power_Gen_Mix!$A$3)+1,FALSE)</f>
        <v>3.8726960370381153E-3</v>
      </c>
      <c r="CW20" s="304">
        <f>HLOOKUP(CW$17,Power_Gen_Mix!$B$3:$S$9,ROW(Power_Gen_Mix!$A4)-ROW(Power_Gen_Mix!$A$3)+1,FALSE)</f>
        <v>3.8726960370381153E-3</v>
      </c>
      <c r="CX20" s="304">
        <f>HLOOKUP(CX$17,Power_Gen_Mix!$B$3:$S$9,ROW(Power_Gen_Mix!$A4)-ROW(Power_Gen_Mix!$A$3)+1,FALSE)</f>
        <v>3.8726960370381153E-3</v>
      </c>
      <c r="CY20" s="304">
        <f>HLOOKUP(CY$17,Power_Gen_Mix!$B$3:$S$9,ROW(Power_Gen_Mix!$A4)-ROW(Power_Gen_Mix!$A$3)+1,FALSE)</f>
        <v>3.8726960370381153E-3</v>
      </c>
      <c r="CZ20" s="304">
        <f>HLOOKUP(CZ$17,Power_Gen_Mix!$B$3:$S$9,ROW(Power_Gen_Mix!$A4)-ROW(Power_Gen_Mix!$A$3)+1,FALSE)</f>
        <v>3.8726960370381153E-3</v>
      </c>
      <c r="DA20" s="304">
        <f>HLOOKUP(DA$17,Power_Gen_Mix!$B$3:$S$9,ROW(Power_Gen_Mix!$A4)-ROW(Power_Gen_Mix!$A$3)+1,FALSE)</f>
        <v>3.8726960370381153E-3</v>
      </c>
      <c r="DB20" s="304">
        <f>HLOOKUP(DB$17,Power_Gen_Mix!$B$3:$S$9,ROW(Power_Gen_Mix!$A4)-ROW(Power_Gen_Mix!$A$3)+1,FALSE)</f>
        <v>3.8726960370381153E-3</v>
      </c>
      <c r="DC20" s="304">
        <f>HLOOKUP(DC$17,Power_Gen_Mix!$B$3:$S$9,ROW(Power_Gen_Mix!$A4)-ROW(Power_Gen_Mix!$A$3)+1,FALSE)</f>
        <v>3.8726960370381153E-3</v>
      </c>
      <c r="DD20" s="304">
        <f>HLOOKUP(DD$17,Power_Gen_Mix!$B$3:$S$9,ROW(Power_Gen_Mix!$A4)-ROW(Power_Gen_Mix!$A$3)+1,FALSE)</f>
        <v>3.8726960370381153E-3</v>
      </c>
      <c r="DE20" s="304">
        <f>HLOOKUP(DE$17,Power_Gen_Mix!$B$3:$S$9,ROW(Power_Gen_Mix!$A4)-ROW(Power_Gen_Mix!$A$3)+1,FALSE)</f>
        <v>3.8726960370381153E-3</v>
      </c>
      <c r="DF20" s="304">
        <f>HLOOKUP(DF$17,Power_Gen_Mix!$B$3:$S$9,ROW(Power_Gen_Mix!$A4)-ROW(Power_Gen_Mix!$A$3)+1,FALSE)</f>
        <v>3.8726960370381153E-3</v>
      </c>
      <c r="DG20" s="304"/>
      <c r="DH20" s="304">
        <f>HLOOKUP(DH$17,Power_Gen_Mix!$B$3:$S$9,ROW(Power_Gen_Mix!$A4)-ROW(Power_Gen_Mix!$A$3)+1,FALSE)</f>
        <v>3.8726960370381153E-3</v>
      </c>
      <c r="DI20" s="304">
        <f>HLOOKUP(DI$17,Power_Gen_Mix!$B$3:$S$9,ROW(Power_Gen_Mix!$A4)-ROW(Power_Gen_Mix!$A$3)+1,FALSE)</f>
        <v>3.8726960370381153E-3</v>
      </c>
      <c r="DJ20" s="304">
        <f>HLOOKUP(DJ$17,Power_Gen_Mix!$B$3:$S$9,ROW(Power_Gen_Mix!$A4)-ROW(Power_Gen_Mix!$A$3)+1,FALSE)</f>
        <v>3.8726960370381153E-3</v>
      </c>
      <c r="DK20" s="304">
        <f>HLOOKUP(DK$17,Power_Gen_Mix!$B$3:$S$9,ROW(Power_Gen_Mix!$A4)-ROW(Power_Gen_Mix!$A$3)+1,FALSE)</f>
        <v>3.8726960370381153E-3</v>
      </c>
      <c r="DL20" s="304">
        <f>HLOOKUP(DL$17,Power_Gen_Mix!$B$3:$S$9,ROW(Power_Gen_Mix!$A4)-ROW(Power_Gen_Mix!$A$3)+1,FALSE)</f>
        <v>3.8726960370381153E-3</v>
      </c>
      <c r="DM20" s="304">
        <f>HLOOKUP(DM$17,Power_Gen_Mix!$B$3:$S$9,ROW(Power_Gen_Mix!$A4)-ROW(Power_Gen_Mix!$A$3)+1,FALSE)</f>
        <v>3.8726960370381153E-3</v>
      </c>
      <c r="DN20" s="304">
        <f>HLOOKUP(DN$17,Power_Gen_Mix!$B$3:$S$9,ROW(Power_Gen_Mix!$A4)-ROW(Power_Gen_Mix!$A$3)+1,FALSE)</f>
        <v>3.8726960370381153E-3</v>
      </c>
      <c r="DO20" s="304">
        <f>HLOOKUP(DO$17,Power_Gen_Mix!$B$3:$S$9,ROW(Power_Gen_Mix!$A4)-ROW(Power_Gen_Mix!$A$3)+1,FALSE)</f>
        <v>3.8726960370381153E-3</v>
      </c>
      <c r="DP20" s="304">
        <f>HLOOKUP(DP$17,Power_Gen_Mix!$B$3:$S$9,ROW(Power_Gen_Mix!$A4)-ROW(Power_Gen_Mix!$A$3)+1,FALSE)</f>
        <v>3.8726960370381153E-3</v>
      </c>
      <c r="DQ20" s="304">
        <f>HLOOKUP(DQ$17,Power_Gen_Mix!$B$3:$S$9,ROW(Power_Gen_Mix!$A4)-ROW(Power_Gen_Mix!$A$3)+1,FALSE)</f>
        <v>3.8726960370381153E-3</v>
      </c>
      <c r="DR20" s="304">
        <f>HLOOKUP(DR$17,Power_Gen_Mix!$B$3:$S$9,ROW(Power_Gen_Mix!$A4)-ROW(Power_Gen_Mix!$A$3)+1,FALSE)</f>
        <v>3.8726960370381153E-3</v>
      </c>
      <c r="DS20" s="304">
        <f>HLOOKUP(DS$17,Power_Gen_Mix!$B$3:$S$9,ROW(Power_Gen_Mix!$A4)-ROW(Power_Gen_Mix!$A$3)+1,FALSE)</f>
        <v>0</v>
      </c>
      <c r="DT20" s="304">
        <f>HLOOKUP(DT$17,Power_Gen_Mix!$B$3:$S$9,ROW(Power_Gen_Mix!$A4)-ROW(Power_Gen_Mix!$A$3)+1,FALSE)</f>
        <v>3.8726960370381153E-3</v>
      </c>
      <c r="DU20" s="304">
        <f>HLOOKUP(DU$17,Power_Gen_Mix!$B$3:$S$9,ROW(Power_Gen_Mix!$A4)-ROW(Power_Gen_Mix!$A$3)+1,FALSE)</f>
        <v>3.8726960370381153E-3</v>
      </c>
      <c r="DV20" s="304">
        <f>HLOOKUP(DV$17,Power_Gen_Mix!$B$3:$S$9,ROW(Power_Gen_Mix!$A4)-ROW(Power_Gen_Mix!$A$3)+1,FALSE)</f>
        <v>3.8726960370381153E-3</v>
      </c>
      <c r="DW20" s="304">
        <f>HLOOKUP(DW$17,Power_Gen_Mix!$B$3:$S$9,ROW(Power_Gen_Mix!$A4)-ROW(Power_Gen_Mix!$A$3)+1,FALSE)</f>
        <v>3.8726960370381153E-3</v>
      </c>
      <c r="DX20" s="304">
        <f>HLOOKUP(DX$17,Power_Gen_Mix!$B$3:$S$9,ROW(Power_Gen_Mix!$A4)-ROW(Power_Gen_Mix!$A$3)+1,FALSE)</f>
        <v>3.8726960370381153E-3</v>
      </c>
      <c r="DY20" s="304">
        <f>HLOOKUP(DY$17,Power_Gen_Mix!$B$3:$S$9,ROW(Power_Gen_Mix!$A4)-ROW(Power_Gen_Mix!$A$3)+1,FALSE)</f>
        <v>3.8726960370381153E-3</v>
      </c>
      <c r="DZ20" s="304">
        <f>HLOOKUP(DZ$17,Power_Gen_Mix!$B$3:$S$9,ROW(Power_Gen_Mix!$A4)-ROW(Power_Gen_Mix!$A$3)+1,FALSE)</f>
        <v>3.8726960370381153E-3</v>
      </c>
      <c r="EA20" s="304">
        <f>HLOOKUP(EA$17,Power_Gen_Mix!$B$3:$S$9,ROW(Power_Gen_Mix!$A4)-ROW(Power_Gen_Mix!$A$3)+1,FALSE)</f>
        <v>3.8726960370381153E-3</v>
      </c>
      <c r="EB20" s="304">
        <f>HLOOKUP(EB$17,Power_Gen_Mix!$B$3:$S$9,ROW(Power_Gen_Mix!$A4)-ROW(Power_Gen_Mix!$A$3)+1,FALSE)</f>
        <v>3.8726960370381153E-3</v>
      </c>
      <c r="EC20" s="304">
        <f>HLOOKUP(EC$17,Power_Gen_Mix!$B$3:$S$9,ROW(Power_Gen_Mix!$A4)-ROW(Power_Gen_Mix!$A$3)+1,FALSE)</f>
        <v>3.8726960370381153E-3</v>
      </c>
      <c r="ED20" s="304">
        <f>HLOOKUP(ED$17,Power_Gen_Mix!$B$3:$S$9,ROW(Power_Gen_Mix!$A4)-ROW(Power_Gen_Mix!$A$3)+1,FALSE)</f>
        <v>3.8726960370381153E-3</v>
      </c>
    </row>
    <row r="21" spans="1:156" x14ac:dyDescent="0.3">
      <c r="A21" s="21" t="s">
        <v>835</v>
      </c>
      <c r="D21" s="304">
        <f>HLOOKUP(D$17,Power_Gen_Mix!$B$3:$S$9,ROW(Power_Gen_Mix!$A5)-ROW(Power_Gen_Mix!$A$3)+1,FALSE)</f>
        <v>5.3897446350056777E-2</v>
      </c>
      <c r="E21" s="304">
        <f>HLOOKUP(E$17,Power_Gen_Mix!$B$3:$S$9,ROW(Power_Gen_Mix!$A5)-ROW(Power_Gen_Mix!$A$3)+1,FALSE)</f>
        <v>0</v>
      </c>
      <c r="F21" s="304">
        <f>HLOOKUP(F$17,Power_Gen_Mix!$B$3:$S$9,ROW(Power_Gen_Mix!$A5)-ROW(Power_Gen_Mix!$A$3)+1,FALSE)</f>
        <v>0</v>
      </c>
      <c r="G21" s="304">
        <f>HLOOKUP(G$17,Power_Gen_Mix!$B$3:$S$9,ROW(Power_Gen_Mix!$A5)-ROW(Power_Gen_Mix!$A$3)+1,FALSE)</f>
        <v>5.3897446350056777E-2</v>
      </c>
      <c r="H21" s="304">
        <f>HLOOKUP(H$17,Power_Gen_Mix!$B$3:$S$9,ROW(Power_Gen_Mix!$A5)-ROW(Power_Gen_Mix!$A$3)+1,FALSE)</f>
        <v>5.3897446350056777E-2</v>
      </c>
      <c r="I21" s="304">
        <f>HLOOKUP(I$17,Power_Gen_Mix!$B$3:$S$9,ROW(Power_Gen_Mix!$A5)-ROW(Power_Gen_Mix!$A$3)+1,FALSE)</f>
        <v>5.3897446350056777E-2</v>
      </c>
      <c r="J21" s="304">
        <f>HLOOKUP(J$17,Power_Gen_Mix!$B$3:$S$9,ROW(Power_Gen_Mix!$A5)-ROW(Power_Gen_Mix!$A$3)+1,FALSE)</f>
        <v>5.3897446350056777E-2</v>
      </c>
      <c r="K21" s="304">
        <f>HLOOKUP(K$17,Power_Gen_Mix!$B$3:$S$9,ROW(Power_Gen_Mix!$A5)-ROW(Power_Gen_Mix!$A$3)+1,FALSE)</f>
        <v>5.3897446350056777E-2</v>
      </c>
      <c r="L21" s="304">
        <f>HLOOKUP(L$17,Power_Gen_Mix!$B$3:$S$9,ROW(Power_Gen_Mix!$A5)-ROW(Power_Gen_Mix!$A$3)+1,FALSE)</f>
        <v>5.3897446350056777E-2</v>
      </c>
      <c r="M21" s="304">
        <f>HLOOKUP(M$17,Power_Gen_Mix!$B$3:$S$9,ROW(Power_Gen_Mix!$A5)-ROW(Power_Gen_Mix!$A$3)+1,FALSE)</f>
        <v>5.3897446350056777E-2</v>
      </c>
      <c r="N21" s="304">
        <f>HLOOKUP(N$17,Power_Gen_Mix!$B$3:$S$9,ROW(Power_Gen_Mix!$A5)-ROW(Power_Gen_Mix!$A$3)+1,FALSE)</f>
        <v>5.3897446350056777E-2</v>
      </c>
      <c r="O21" s="304">
        <f>HLOOKUP(O$17,Power_Gen_Mix!$B$3:$S$9,ROW(Power_Gen_Mix!$A5)-ROW(Power_Gen_Mix!$A$3)+1,FALSE)</f>
        <v>5.3897446350056777E-2</v>
      </c>
      <c r="P21" s="304">
        <f>HLOOKUP(P$17,Power_Gen_Mix!$B$3:$S$9,ROW(Power_Gen_Mix!$A5)-ROW(Power_Gen_Mix!$A$3)+1,FALSE)</f>
        <v>5.3897446350056777E-2</v>
      </c>
      <c r="Q21" s="304">
        <f>HLOOKUP(Q$17,Power_Gen_Mix!$B$3:$S$9,ROW(Power_Gen_Mix!$A5)-ROW(Power_Gen_Mix!$A$3)+1,FALSE)</f>
        <v>5.3897446350056777E-2</v>
      </c>
      <c r="R21" s="304">
        <f>HLOOKUP(R$17,Power_Gen_Mix!$B$3:$S$9,ROW(Power_Gen_Mix!$A5)-ROW(Power_Gen_Mix!$A$3)+1,FALSE)</f>
        <v>5.3897446350056777E-2</v>
      </c>
      <c r="S21" s="304">
        <f>HLOOKUP(S$17,Power_Gen_Mix!$B$3:$S$9,ROW(Power_Gen_Mix!$A5)-ROW(Power_Gen_Mix!$A$3)+1,FALSE)</f>
        <v>5.3897446350056777E-2</v>
      </c>
      <c r="T21" s="304">
        <f>HLOOKUP(T$17,Power_Gen_Mix!$B$3:$S$9,ROW(Power_Gen_Mix!$A5)-ROW(Power_Gen_Mix!$A$3)+1,FALSE)</f>
        <v>5.3897446350056777E-2</v>
      </c>
      <c r="U21" s="304">
        <f>HLOOKUP(U$17,Power_Gen_Mix!$B$3:$S$9,ROW(Power_Gen_Mix!$A5)-ROW(Power_Gen_Mix!$A$3)+1,FALSE)</f>
        <v>0</v>
      </c>
      <c r="V21" s="304">
        <f>HLOOKUP(V$17,Power_Gen_Mix!$B$3:$S$9,ROW(Power_Gen_Mix!$A5)-ROW(Power_Gen_Mix!$A$3)+1,FALSE)</f>
        <v>0</v>
      </c>
      <c r="W21" s="304">
        <f>HLOOKUP(W$17,Power_Gen_Mix!$B$3:$S$9,ROW(Power_Gen_Mix!$A5)-ROW(Power_Gen_Mix!$A$3)+1,FALSE)</f>
        <v>5.3897446350056777E-2</v>
      </c>
      <c r="X21" s="304">
        <f>HLOOKUP(X$17,Power_Gen_Mix!$B$3:$S$9,ROW(Power_Gen_Mix!$A5)-ROW(Power_Gen_Mix!$A$3)+1,FALSE)</f>
        <v>0</v>
      </c>
      <c r="Y21" s="304">
        <f>HLOOKUP(Y$17,Power_Gen_Mix!$B$3:$S$9,ROW(Power_Gen_Mix!$A5)-ROW(Power_Gen_Mix!$A$3)+1,FALSE)</f>
        <v>0</v>
      </c>
      <c r="Z21" s="304">
        <f>HLOOKUP(Z$17,Power_Gen_Mix!$B$3:$S$9,ROW(Power_Gen_Mix!$A5)-ROW(Power_Gen_Mix!$A$3)+1,FALSE)</f>
        <v>5.3897446350056777E-2</v>
      </c>
      <c r="AA21" s="304">
        <f>HLOOKUP(AA$17,Power_Gen_Mix!$B$3:$S$9,ROW(Power_Gen_Mix!$A5)-ROW(Power_Gen_Mix!$A$3)+1,FALSE)</f>
        <v>5.3897446350056777E-2</v>
      </c>
      <c r="AB21" s="304">
        <f>HLOOKUP(AB$17,Power_Gen_Mix!$B$3:$S$9,ROW(Power_Gen_Mix!$A5)-ROW(Power_Gen_Mix!$A$3)+1,FALSE)</f>
        <v>5.3897446350056777E-2</v>
      </c>
      <c r="AC21" s="304">
        <f>HLOOKUP(AC$17,Power_Gen_Mix!$B$3:$S$9,ROW(Power_Gen_Mix!$A5)-ROW(Power_Gen_Mix!$A$3)+1,FALSE)</f>
        <v>5.3897446350056777E-2</v>
      </c>
      <c r="AD21" s="304">
        <f>HLOOKUP(AD$17,Power_Gen_Mix!$B$3:$S$9,ROW(Power_Gen_Mix!$A5)-ROW(Power_Gen_Mix!$A$3)+1,FALSE)</f>
        <v>5.3897446350056777E-2</v>
      </c>
      <c r="AE21" s="304">
        <f>HLOOKUP(AE$17,Power_Gen_Mix!$B$3:$S$9,ROW(Power_Gen_Mix!$A5)-ROW(Power_Gen_Mix!$A$3)+1,FALSE)</f>
        <v>5.3897446350056777E-2</v>
      </c>
      <c r="AF21" s="304">
        <f>HLOOKUP(AF$17,Power_Gen_Mix!$B$3:$S$9,ROW(Power_Gen_Mix!$A5)-ROW(Power_Gen_Mix!$A$3)+1,FALSE)</f>
        <v>0.33227845876780715</v>
      </c>
      <c r="AG21" s="304">
        <f>HLOOKUP(AG$17,Power_Gen_Mix!$B$3:$S$9,ROW(Power_Gen_Mix!$A5)-ROW(Power_Gen_Mix!$A$3)+1,FALSE)</f>
        <v>5.3897446350056777E-2</v>
      </c>
      <c r="AH21" s="304">
        <f>HLOOKUP(AH$17,Power_Gen_Mix!$B$3:$S$9,ROW(Power_Gen_Mix!$A5)-ROW(Power_Gen_Mix!$A$3)+1,FALSE)</f>
        <v>5.3897446350056777E-2</v>
      </c>
      <c r="AI21" s="304">
        <f>HLOOKUP(AI$17,Power_Gen_Mix!$B$3:$S$9,ROW(Power_Gen_Mix!$A5)-ROW(Power_Gen_Mix!$A$3)+1,FALSE)</f>
        <v>5.3897446350056777E-2</v>
      </c>
      <c r="AJ21" s="304">
        <f>HLOOKUP(AJ$17,Power_Gen_Mix!$B$3:$S$9,ROW(Power_Gen_Mix!$A5)-ROW(Power_Gen_Mix!$A$3)+1,FALSE)</f>
        <v>5.3897446350056777E-2</v>
      </c>
      <c r="AK21" s="304">
        <f>HLOOKUP(AK$17,Power_Gen_Mix!$B$3:$S$9,ROW(Power_Gen_Mix!$A5)-ROW(Power_Gen_Mix!$A$3)+1,FALSE)</f>
        <v>5.3897446350056777E-2</v>
      </c>
      <c r="AL21" s="304">
        <f>HLOOKUP(AL$17,Power_Gen_Mix!$B$3:$S$9,ROW(Power_Gen_Mix!$A5)-ROW(Power_Gen_Mix!$A$3)+1,FALSE)</f>
        <v>5.3897446350056777E-2</v>
      </c>
      <c r="AM21" s="304">
        <f>HLOOKUP(AM$17,Power_Gen_Mix!$B$3:$S$9,ROW(Power_Gen_Mix!$A5)-ROW(Power_Gen_Mix!$A$3)+1,FALSE)</f>
        <v>5.3897446350056777E-2</v>
      </c>
      <c r="AN21" s="304">
        <f>HLOOKUP(AN$17,Power_Gen_Mix!$B$3:$S$9,ROW(Power_Gen_Mix!$A5)-ROW(Power_Gen_Mix!$A$3)+1,FALSE)</f>
        <v>5.3897446350056777E-2</v>
      </c>
      <c r="AO21" s="304">
        <f>HLOOKUP(AO$17,Power_Gen_Mix!$B$3:$S$9,ROW(Power_Gen_Mix!$A5)-ROW(Power_Gen_Mix!$A$3)+1,FALSE)</f>
        <v>5.3897446350056777E-2</v>
      </c>
      <c r="AP21" s="304">
        <f>HLOOKUP(AP$17,Power_Gen_Mix!$B$3:$S$9,ROW(Power_Gen_Mix!$A5)-ROW(Power_Gen_Mix!$A$3)+1,FALSE)</f>
        <v>5.3897446350056777E-2</v>
      </c>
      <c r="AQ21" s="304">
        <f>HLOOKUP(AQ$17,Power_Gen_Mix!$B$3:$S$9,ROW(Power_Gen_Mix!$A5)-ROW(Power_Gen_Mix!$A$3)+1,FALSE)</f>
        <v>5.3897446350056777E-2</v>
      </c>
      <c r="AR21" s="304">
        <f>HLOOKUP(AR$17,Power_Gen_Mix!$B$3:$S$9,ROW(Power_Gen_Mix!$A5)-ROW(Power_Gen_Mix!$A$3)+1,FALSE)</f>
        <v>5.3897446350056777E-2</v>
      </c>
      <c r="AS21" s="304">
        <f>HLOOKUP(AS$17,Power_Gen_Mix!$B$3:$S$9,ROW(Power_Gen_Mix!$A5)-ROW(Power_Gen_Mix!$A$3)+1,FALSE)</f>
        <v>0</v>
      </c>
      <c r="AT21" s="304">
        <f>HLOOKUP(AT$17,Power_Gen_Mix!$B$3:$S$9,ROW(Power_Gen_Mix!$A5)-ROW(Power_Gen_Mix!$A$3)+1,FALSE)</f>
        <v>0</v>
      </c>
      <c r="AU21" s="304">
        <f>HLOOKUP(AU$17,Power_Gen_Mix!$B$3:$S$9,ROW(Power_Gen_Mix!$A5)-ROW(Power_Gen_Mix!$A$3)+1,FALSE)</f>
        <v>5.3897446350056777E-2</v>
      </c>
      <c r="AV21" s="304">
        <f>HLOOKUP(AV$17,Power_Gen_Mix!$B$3:$S$9,ROW(Power_Gen_Mix!$A5)-ROW(Power_Gen_Mix!$A$3)+1,FALSE)</f>
        <v>5.3897446350056777E-2</v>
      </c>
      <c r="AW21" s="304">
        <f>HLOOKUP(AW$17,Power_Gen_Mix!$B$3:$S$9,ROW(Power_Gen_Mix!$A5)-ROW(Power_Gen_Mix!$A$3)+1,FALSE)</f>
        <v>5.3897446350056777E-2</v>
      </c>
      <c r="AX21" s="304">
        <f>HLOOKUP(AX$17,Power_Gen_Mix!$B$3:$S$9,ROW(Power_Gen_Mix!$A5)-ROW(Power_Gen_Mix!$A$3)+1,FALSE)</f>
        <v>5.3897446350056777E-2</v>
      </c>
      <c r="AY21" s="304">
        <f>HLOOKUP(AY$17,Power_Gen_Mix!$B$3:$S$9,ROW(Power_Gen_Mix!$A5)-ROW(Power_Gen_Mix!$A$3)+1,FALSE)</f>
        <v>5.3897446350056777E-2</v>
      </c>
      <c r="AZ21" s="304">
        <f>HLOOKUP(AZ$17,Power_Gen_Mix!$B$3:$S$9,ROW(Power_Gen_Mix!$A5)-ROW(Power_Gen_Mix!$A$3)+1,FALSE)</f>
        <v>5.3897446350056777E-2</v>
      </c>
      <c r="BA21" s="304">
        <f>HLOOKUP(BA$17,Power_Gen_Mix!$B$3:$S$9,ROW(Power_Gen_Mix!$A5)-ROW(Power_Gen_Mix!$A$3)+1,FALSE)</f>
        <v>5.3897446350056777E-2</v>
      </c>
      <c r="BB21" s="304">
        <f>HLOOKUP(BB$17,Power_Gen_Mix!$B$3:$S$9,ROW(Power_Gen_Mix!$A5)-ROW(Power_Gen_Mix!$A$3)+1,FALSE)</f>
        <v>5.3897446350056777E-2</v>
      </c>
      <c r="BC21" s="304">
        <f>HLOOKUP(BC$17,Power_Gen_Mix!$B$3:$S$9,ROW(Power_Gen_Mix!$A5)-ROW(Power_Gen_Mix!$A$3)+1,FALSE)</f>
        <v>5.3897446350056777E-2</v>
      </c>
      <c r="BD21" s="304">
        <f>HLOOKUP(BD$17,Power_Gen_Mix!$B$3:$S$9,ROW(Power_Gen_Mix!$A5)-ROW(Power_Gen_Mix!$A$3)+1,FALSE)</f>
        <v>5.3897446350056777E-2</v>
      </c>
      <c r="BE21" s="304">
        <f>HLOOKUP(BE$17,Power_Gen_Mix!$B$3:$S$9,ROW(Power_Gen_Mix!$A5)-ROW(Power_Gen_Mix!$A$3)+1,FALSE)</f>
        <v>5.3897446350056777E-2</v>
      </c>
      <c r="BF21" s="304">
        <f>HLOOKUP(BF$17,Power_Gen_Mix!$B$3:$S$9,ROW(Power_Gen_Mix!$A5)-ROW(Power_Gen_Mix!$A$3)+1,FALSE)</f>
        <v>5.3897446350056777E-2</v>
      </c>
      <c r="BG21" s="304">
        <f>HLOOKUP(BG$17,Power_Gen_Mix!$B$3:$S$9,ROW(Power_Gen_Mix!$A5)-ROW(Power_Gen_Mix!$A$3)+1,FALSE)</f>
        <v>5.3897446350056777E-2</v>
      </c>
      <c r="BH21" s="304">
        <f>HLOOKUP(BH$17,Power_Gen_Mix!$B$3:$S$9,ROW(Power_Gen_Mix!$A5)-ROW(Power_Gen_Mix!$A$3)+1,FALSE)</f>
        <v>5.3897446350056777E-2</v>
      </c>
      <c r="BI21" s="304">
        <f>HLOOKUP(BI$17,Power_Gen_Mix!$B$3:$S$9,ROW(Power_Gen_Mix!$A5)-ROW(Power_Gen_Mix!$A$3)+1,FALSE)</f>
        <v>5.3897446350056777E-2</v>
      </c>
      <c r="BJ21" s="304">
        <f>HLOOKUP(BJ$17,Power_Gen_Mix!$B$3:$S$9,ROW(Power_Gen_Mix!$A5)-ROW(Power_Gen_Mix!$A$3)+1,FALSE)</f>
        <v>5.3897446350056777E-2</v>
      </c>
      <c r="BK21" s="304">
        <f>HLOOKUP(BK$17,Power_Gen_Mix!$B$3:$S$9,ROW(Power_Gen_Mix!$A5)-ROW(Power_Gen_Mix!$A$3)+1,FALSE)</f>
        <v>5.3897446350056777E-2</v>
      </c>
      <c r="BL21" s="304">
        <f>HLOOKUP(BL$17,Power_Gen_Mix!$B$3:$S$9,ROW(Power_Gen_Mix!$A5)-ROW(Power_Gen_Mix!$A$3)+1,FALSE)</f>
        <v>5.3897446350056777E-2</v>
      </c>
      <c r="BM21" s="304">
        <f>HLOOKUP(BM$17,Power_Gen_Mix!$B$3:$S$9,ROW(Power_Gen_Mix!$A5)-ROW(Power_Gen_Mix!$A$3)+1,FALSE)</f>
        <v>5.3897446350056777E-2</v>
      </c>
      <c r="BN21" s="304">
        <f>HLOOKUP(BN$17,Power_Gen_Mix!$B$3:$S$9,ROW(Power_Gen_Mix!$A5)-ROW(Power_Gen_Mix!$A$3)+1,FALSE)</f>
        <v>5.3897446350056777E-2</v>
      </c>
      <c r="BO21" s="304">
        <f>HLOOKUP(BO$17,Power_Gen_Mix!$B$3:$S$9,ROW(Power_Gen_Mix!$A5)-ROW(Power_Gen_Mix!$A$3)+1,FALSE)</f>
        <v>0</v>
      </c>
      <c r="BP21" s="304">
        <f>HLOOKUP(BP$17,Power_Gen_Mix!$B$3:$S$9,ROW(Power_Gen_Mix!$A5)-ROW(Power_Gen_Mix!$A$3)+1,FALSE)</f>
        <v>0</v>
      </c>
      <c r="BQ21" s="304">
        <f>HLOOKUP(BQ$17,Power_Gen_Mix!$B$3:$S$9,ROW(Power_Gen_Mix!$A5)-ROW(Power_Gen_Mix!$A$3)+1,FALSE)</f>
        <v>5.3897446350056777E-2</v>
      </c>
      <c r="BR21" s="304">
        <f>HLOOKUP(BR$17,Power_Gen_Mix!$B$3:$S$9,ROW(Power_Gen_Mix!$A5)-ROW(Power_Gen_Mix!$A$3)+1,FALSE)</f>
        <v>5.3897446350056777E-2</v>
      </c>
      <c r="BS21" s="304">
        <f>HLOOKUP(BS$17,Power_Gen_Mix!$B$3:$S$9,ROW(Power_Gen_Mix!$A5)-ROW(Power_Gen_Mix!$A$3)+1,FALSE)</f>
        <v>5.3897446350056777E-2</v>
      </c>
      <c r="BT21" s="304">
        <f>HLOOKUP(BT$17,Power_Gen_Mix!$B$3:$S$9,ROW(Power_Gen_Mix!$A5)-ROW(Power_Gen_Mix!$A$3)+1,FALSE)</f>
        <v>5.3897446350056777E-2</v>
      </c>
      <c r="BU21" s="304">
        <f>HLOOKUP(BU$17,Power_Gen_Mix!$B$3:$S$9,ROW(Power_Gen_Mix!$A5)-ROW(Power_Gen_Mix!$A$3)+1,FALSE)</f>
        <v>5.3897446350056777E-2</v>
      </c>
      <c r="BV21" s="304">
        <f>HLOOKUP(BV$17,Power_Gen_Mix!$B$3:$S$9,ROW(Power_Gen_Mix!$A5)-ROW(Power_Gen_Mix!$A$3)+1,FALSE)</f>
        <v>5.3897446350056777E-2</v>
      </c>
      <c r="BW21" s="304">
        <f>HLOOKUP(BW$17,Power_Gen_Mix!$B$3:$S$9,ROW(Power_Gen_Mix!$A5)-ROW(Power_Gen_Mix!$A$3)+1,FALSE)</f>
        <v>5.3897446350056777E-2</v>
      </c>
      <c r="BX21" s="304">
        <f>HLOOKUP(BX$17,Power_Gen_Mix!$B$3:$S$9,ROW(Power_Gen_Mix!$A5)-ROW(Power_Gen_Mix!$A$3)+1,FALSE)</f>
        <v>0</v>
      </c>
      <c r="BY21" s="304">
        <f>HLOOKUP(BY$17,Power_Gen_Mix!$B$3:$S$9,ROW(Power_Gen_Mix!$A5)-ROW(Power_Gen_Mix!$A$3)+1,FALSE)</f>
        <v>0</v>
      </c>
      <c r="BZ21" s="304">
        <f>HLOOKUP(BZ$17,Power_Gen_Mix!$B$3:$S$9,ROW(Power_Gen_Mix!$A5)-ROW(Power_Gen_Mix!$A$3)+1,FALSE)</f>
        <v>5.3897446350056777E-2</v>
      </c>
      <c r="CA21" s="304">
        <f>HLOOKUP(CA$17,Power_Gen_Mix!$B$3:$S$9,ROW(Power_Gen_Mix!$A5)-ROW(Power_Gen_Mix!$A$3)+1,FALSE)</f>
        <v>5.3897446350056777E-2</v>
      </c>
      <c r="CB21" s="304">
        <f>HLOOKUP(CB$17,Power_Gen_Mix!$B$3:$S$9,ROW(Power_Gen_Mix!$A5)-ROW(Power_Gen_Mix!$A$3)+1,FALSE)</f>
        <v>5.3897446350056777E-2</v>
      </c>
      <c r="CC21" s="304">
        <f>HLOOKUP(CC$17,Power_Gen_Mix!$B$3:$S$9,ROW(Power_Gen_Mix!$A5)-ROW(Power_Gen_Mix!$A$3)+1,FALSE)</f>
        <v>5.3897446350056777E-2</v>
      </c>
      <c r="CD21" s="304">
        <f>HLOOKUP(CD$17,Power_Gen_Mix!$B$3:$S$9,ROW(Power_Gen_Mix!$A5)-ROW(Power_Gen_Mix!$A$3)+1,FALSE)</f>
        <v>5.3897446350056777E-2</v>
      </c>
      <c r="CE21" s="304">
        <f>HLOOKUP(CE$17,Power_Gen_Mix!$B$3:$S$9,ROW(Power_Gen_Mix!$A5)-ROW(Power_Gen_Mix!$A$3)+1,FALSE)</f>
        <v>5.3897446350056777E-2</v>
      </c>
      <c r="CF21" s="304">
        <f>HLOOKUP(CF$17,Power_Gen_Mix!$B$3:$S$9,ROW(Power_Gen_Mix!$A5)-ROW(Power_Gen_Mix!$A$3)+1,FALSE)</f>
        <v>5.3897446350056777E-2</v>
      </c>
      <c r="CG21" s="304">
        <f>HLOOKUP(CG$17,Power_Gen_Mix!$B$3:$S$9,ROW(Power_Gen_Mix!$A5)-ROW(Power_Gen_Mix!$A$3)+1,FALSE)</f>
        <v>5.3897446350056777E-2</v>
      </c>
      <c r="CH21" s="304">
        <f>HLOOKUP(CH$17,Power_Gen_Mix!$B$3:$S$9,ROW(Power_Gen_Mix!$A5)-ROW(Power_Gen_Mix!$A$3)+1,FALSE)</f>
        <v>5.3897446350056777E-2</v>
      </c>
      <c r="CI21" s="304">
        <f>HLOOKUP(CI$17,Power_Gen_Mix!$B$3:$S$9,ROW(Power_Gen_Mix!$A5)-ROW(Power_Gen_Mix!$A$3)+1,FALSE)</f>
        <v>5.3897446350056777E-2</v>
      </c>
      <c r="CJ21" s="304">
        <f>HLOOKUP(CJ$17,Power_Gen_Mix!$B$3:$S$9,ROW(Power_Gen_Mix!$A5)-ROW(Power_Gen_Mix!$A$3)+1,FALSE)</f>
        <v>5.3897446350056777E-2</v>
      </c>
      <c r="CK21" s="304">
        <f>HLOOKUP(CK$17,Power_Gen_Mix!$B$3:$S$9,ROW(Power_Gen_Mix!$A5)-ROW(Power_Gen_Mix!$A$3)+1,FALSE)</f>
        <v>5.3897446350056777E-2</v>
      </c>
      <c r="CL21" s="304">
        <f>HLOOKUP(CL$17,Power_Gen_Mix!$B$3:$S$9,ROW(Power_Gen_Mix!$A5)-ROW(Power_Gen_Mix!$A$3)+1,FALSE)</f>
        <v>5.3897446350056777E-2</v>
      </c>
      <c r="CM21" s="304">
        <f>HLOOKUP(CM$17,Power_Gen_Mix!$B$3:$S$9,ROW(Power_Gen_Mix!$A5)-ROW(Power_Gen_Mix!$A$3)+1,FALSE)</f>
        <v>5.3897446350056777E-2</v>
      </c>
      <c r="CN21" s="304">
        <f>HLOOKUP(CN$17,Power_Gen_Mix!$B$3:$S$9,ROW(Power_Gen_Mix!$A5)-ROW(Power_Gen_Mix!$A$3)+1,FALSE)</f>
        <v>5.3897446350056777E-2</v>
      </c>
      <c r="CO21" s="304">
        <f>HLOOKUP(CO$17,Power_Gen_Mix!$B$3:$S$9,ROW(Power_Gen_Mix!$A5)-ROW(Power_Gen_Mix!$A$3)+1,FALSE)</f>
        <v>5.3897446350056777E-2</v>
      </c>
      <c r="CP21" s="304">
        <f>HLOOKUP(CP$17,Power_Gen_Mix!$B$3:$S$9,ROW(Power_Gen_Mix!$A5)-ROW(Power_Gen_Mix!$A$3)+1,FALSE)</f>
        <v>5.3897446350056777E-2</v>
      </c>
      <c r="CQ21" s="304">
        <f>HLOOKUP(CQ$17,Power_Gen_Mix!$B$3:$S$9,ROW(Power_Gen_Mix!$A5)-ROW(Power_Gen_Mix!$A$3)+1,FALSE)</f>
        <v>5.3897446350056777E-2</v>
      </c>
      <c r="CR21" s="304">
        <f>HLOOKUP(CR$17,Power_Gen_Mix!$B$3:$S$9,ROW(Power_Gen_Mix!$A5)-ROW(Power_Gen_Mix!$A$3)+1,FALSE)</f>
        <v>5.3897446350056777E-2</v>
      </c>
      <c r="CS21" s="304">
        <f>HLOOKUP(CS$17,Power_Gen_Mix!$B$3:$S$9,ROW(Power_Gen_Mix!$A5)-ROW(Power_Gen_Mix!$A$3)+1,FALSE)</f>
        <v>5.3897446350056777E-2</v>
      </c>
      <c r="CT21" s="304">
        <f>HLOOKUP(CT$17,Power_Gen_Mix!$B$3:$S$9,ROW(Power_Gen_Mix!$A5)-ROW(Power_Gen_Mix!$A$3)+1,FALSE)</f>
        <v>5.3897446350056777E-2</v>
      </c>
      <c r="CU21" s="304">
        <f>HLOOKUP(CU$17,Power_Gen_Mix!$B$3:$S$9,ROW(Power_Gen_Mix!$A5)-ROW(Power_Gen_Mix!$A$3)+1,FALSE)</f>
        <v>5.3897446350056777E-2</v>
      </c>
      <c r="CV21" s="304">
        <f>HLOOKUP(CV$17,Power_Gen_Mix!$B$3:$S$9,ROW(Power_Gen_Mix!$A5)-ROW(Power_Gen_Mix!$A$3)+1,FALSE)</f>
        <v>5.3897446350056777E-2</v>
      </c>
      <c r="CW21" s="304">
        <f>HLOOKUP(CW$17,Power_Gen_Mix!$B$3:$S$9,ROW(Power_Gen_Mix!$A5)-ROW(Power_Gen_Mix!$A$3)+1,FALSE)</f>
        <v>5.3897446350056777E-2</v>
      </c>
      <c r="CX21" s="304">
        <f>HLOOKUP(CX$17,Power_Gen_Mix!$B$3:$S$9,ROW(Power_Gen_Mix!$A5)-ROW(Power_Gen_Mix!$A$3)+1,FALSE)</f>
        <v>5.3897446350056777E-2</v>
      </c>
      <c r="CY21" s="304">
        <f>HLOOKUP(CY$17,Power_Gen_Mix!$B$3:$S$9,ROW(Power_Gen_Mix!$A5)-ROW(Power_Gen_Mix!$A$3)+1,FALSE)</f>
        <v>5.3897446350056777E-2</v>
      </c>
      <c r="CZ21" s="304">
        <f>HLOOKUP(CZ$17,Power_Gen_Mix!$B$3:$S$9,ROW(Power_Gen_Mix!$A5)-ROW(Power_Gen_Mix!$A$3)+1,FALSE)</f>
        <v>5.3897446350056777E-2</v>
      </c>
      <c r="DA21" s="304">
        <f>HLOOKUP(DA$17,Power_Gen_Mix!$B$3:$S$9,ROW(Power_Gen_Mix!$A5)-ROW(Power_Gen_Mix!$A$3)+1,FALSE)</f>
        <v>5.3897446350056777E-2</v>
      </c>
      <c r="DB21" s="304">
        <f>HLOOKUP(DB$17,Power_Gen_Mix!$B$3:$S$9,ROW(Power_Gen_Mix!$A5)-ROW(Power_Gen_Mix!$A$3)+1,FALSE)</f>
        <v>5.3897446350056777E-2</v>
      </c>
      <c r="DC21" s="304">
        <f>HLOOKUP(DC$17,Power_Gen_Mix!$B$3:$S$9,ROW(Power_Gen_Mix!$A5)-ROW(Power_Gen_Mix!$A$3)+1,FALSE)</f>
        <v>5.3897446350056777E-2</v>
      </c>
      <c r="DD21" s="304">
        <f>HLOOKUP(DD$17,Power_Gen_Mix!$B$3:$S$9,ROW(Power_Gen_Mix!$A5)-ROW(Power_Gen_Mix!$A$3)+1,FALSE)</f>
        <v>5.3897446350056777E-2</v>
      </c>
      <c r="DE21" s="304">
        <f>HLOOKUP(DE$17,Power_Gen_Mix!$B$3:$S$9,ROW(Power_Gen_Mix!$A5)-ROW(Power_Gen_Mix!$A$3)+1,FALSE)</f>
        <v>5.3897446350056777E-2</v>
      </c>
      <c r="DF21" s="304">
        <f>HLOOKUP(DF$17,Power_Gen_Mix!$B$3:$S$9,ROW(Power_Gen_Mix!$A5)-ROW(Power_Gen_Mix!$A$3)+1,FALSE)</f>
        <v>5.3897446350056777E-2</v>
      </c>
      <c r="DG21" s="304"/>
      <c r="DH21" s="304">
        <f>HLOOKUP(DH$17,Power_Gen_Mix!$B$3:$S$9,ROW(Power_Gen_Mix!$A5)-ROW(Power_Gen_Mix!$A$3)+1,FALSE)</f>
        <v>5.3897446350056777E-2</v>
      </c>
      <c r="DI21" s="304">
        <f>HLOOKUP(DI$17,Power_Gen_Mix!$B$3:$S$9,ROW(Power_Gen_Mix!$A5)-ROW(Power_Gen_Mix!$A$3)+1,FALSE)</f>
        <v>5.3897446350056777E-2</v>
      </c>
      <c r="DJ21" s="304">
        <f>HLOOKUP(DJ$17,Power_Gen_Mix!$B$3:$S$9,ROW(Power_Gen_Mix!$A5)-ROW(Power_Gen_Mix!$A$3)+1,FALSE)</f>
        <v>5.3897446350056777E-2</v>
      </c>
      <c r="DK21" s="304">
        <f>HLOOKUP(DK$17,Power_Gen_Mix!$B$3:$S$9,ROW(Power_Gen_Mix!$A5)-ROW(Power_Gen_Mix!$A$3)+1,FALSE)</f>
        <v>5.3897446350056777E-2</v>
      </c>
      <c r="DL21" s="304">
        <f>HLOOKUP(DL$17,Power_Gen_Mix!$B$3:$S$9,ROW(Power_Gen_Mix!$A5)-ROW(Power_Gen_Mix!$A$3)+1,FALSE)</f>
        <v>5.3897446350056777E-2</v>
      </c>
      <c r="DM21" s="304">
        <f>HLOOKUP(DM$17,Power_Gen_Mix!$B$3:$S$9,ROW(Power_Gen_Mix!$A5)-ROW(Power_Gen_Mix!$A$3)+1,FALSE)</f>
        <v>5.3897446350056777E-2</v>
      </c>
      <c r="DN21" s="304">
        <f>HLOOKUP(DN$17,Power_Gen_Mix!$B$3:$S$9,ROW(Power_Gen_Mix!$A5)-ROW(Power_Gen_Mix!$A$3)+1,FALSE)</f>
        <v>5.3897446350056777E-2</v>
      </c>
      <c r="DO21" s="304">
        <f>HLOOKUP(DO$17,Power_Gen_Mix!$B$3:$S$9,ROW(Power_Gen_Mix!$A5)-ROW(Power_Gen_Mix!$A$3)+1,FALSE)</f>
        <v>5.3897446350056777E-2</v>
      </c>
      <c r="DP21" s="304">
        <f>HLOOKUP(DP$17,Power_Gen_Mix!$B$3:$S$9,ROW(Power_Gen_Mix!$A5)-ROW(Power_Gen_Mix!$A$3)+1,FALSE)</f>
        <v>5.3897446350056777E-2</v>
      </c>
      <c r="DQ21" s="304">
        <f>HLOOKUP(DQ$17,Power_Gen_Mix!$B$3:$S$9,ROW(Power_Gen_Mix!$A5)-ROW(Power_Gen_Mix!$A$3)+1,FALSE)</f>
        <v>5.3897446350056777E-2</v>
      </c>
      <c r="DR21" s="304">
        <f>HLOOKUP(DR$17,Power_Gen_Mix!$B$3:$S$9,ROW(Power_Gen_Mix!$A5)-ROW(Power_Gen_Mix!$A$3)+1,FALSE)</f>
        <v>5.3897446350056777E-2</v>
      </c>
      <c r="DS21" s="304">
        <f>HLOOKUP(DS$17,Power_Gen_Mix!$B$3:$S$9,ROW(Power_Gen_Mix!$A5)-ROW(Power_Gen_Mix!$A$3)+1,FALSE)</f>
        <v>0</v>
      </c>
      <c r="DT21" s="304">
        <f>HLOOKUP(DT$17,Power_Gen_Mix!$B$3:$S$9,ROW(Power_Gen_Mix!$A5)-ROW(Power_Gen_Mix!$A$3)+1,FALSE)</f>
        <v>5.3897446350056777E-2</v>
      </c>
      <c r="DU21" s="304">
        <f>HLOOKUP(DU$17,Power_Gen_Mix!$B$3:$S$9,ROW(Power_Gen_Mix!$A5)-ROW(Power_Gen_Mix!$A$3)+1,FALSE)</f>
        <v>5.3897446350056777E-2</v>
      </c>
      <c r="DV21" s="304">
        <f>HLOOKUP(DV$17,Power_Gen_Mix!$B$3:$S$9,ROW(Power_Gen_Mix!$A5)-ROW(Power_Gen_Mix!$A$3)+1,FALSE)</f>
        <v>5.3897446350056777E-2</v>
      </c>
      <c r="DW21" s="304">
        <f>HLOOKUP(DW$17,Power_Gen_Mix!$B$3:$S$9,ROW(Power_Gen_Mix!$A5)-ROW(Power_Gen_Mix!$A$3)+1,FALSE)</f>
        <v>5.3897446350056777E-2</v>
      </c>
      <c r="DX21" s="304">
        <f>HLOOKUP(DX$17,Power_Gen_Mix!$B$3:$S$9,ROW(Power_Gen_Mix!$A5)-ROW(Power_Gen_Mix!$A$3)+1,FALSE)</f>
        <v>5.3897446350056777E-2</v>
      </c>
      <c r="DY21" s="304">
        <f>HLOOKUP(DY$17,Power_Gen_Mix!$B$3:$S$9,ROW(Power_Gen_Mix!$A5)-ROW(Power_Gen_Mix!$A$3)+1,FALSE)</f>
        <v>5.3897446350056777E-2</v>
      </c>
      <c r="DZ21" s="304">
        <f>HLOOKUP(DZ$17,Power_Gen_Mix!$B$3:$S$9,ROW(Power_Gen_Mix!$A5)-ROW(Power_Gen_Mix!$A$3)+1,FALSE)</f>
        <v>5.3897446350056777E-2</v>
      </c>
      <c r="EA21" s="304">
        <f>HLOOKUP(EA$17,Power_Gen_Mix!$B$3:$S$9,ROW(Power_Gen_Mix!$A5)-ROW(Power_Gen_Mix!$A$3)+1,FALSE)</f>
        <v>5.3897446350056777E-2</v>
      </c>
      <c r="EB21" s="304">
        <f>HLOOKUP(EB$17,Power_Gen_Mix!$B$3:$S$9,ROW(Power_Gen_Mix!$A5)-ROW(Power_Gen_Mix!$A$3)+1,FALSE)</f>
        <v>5.3897446350056777E-2</v>
      </c>
      <c r="EC21" s="304">
        <f>HLOOKUP(EC$17,Power_Gen_Mix!$B$3:$S$9,ROW(Power_Gen_Mix!$A5)-ROW(Power_Gen_Mix!$A$3)+1,FALSE)</f>
        <v>5.3897446350056777E-2</v>
      </c>
      <c r="ED21" s="304">
        <f>HLOOKUP(ED$17,Power_Gen_Mix!$B$3:$S$9,ROW(Power_Gen_Mix!$A5)-ROW(Power_Gen_Mix!$A$3)+1,FALSE)</f>
        <v>5.3897446350056777E-2</v>
      </c>
    </row>
    <row r="22" spans="1:156" x14ac:dyDescent="0.3">
      <c r="A22" s="21" t="s">
        <v>836</v>
      </c>
      <c r="D22" s="304">
        <f>HLOOKUP(D$17,Power_Gen_Mix!$B$3:$S$9,ROW(Power_Gen_Mix!$A6)-ROW(Power_Gen_Mix!$A$3)+1,FALSE)</f>
        <v>7.9914393034970735E-2</v>
      </c>
      <c r="E22" s="304">
        <f>HLOOKUP(E$17,Power_Gen_Mix!$B$3:$S$9,ROW(Power_Gen_Mix!$A6)-ROW(Power_Gen_Mix!$A$3)+1,FALSE)</f>
        <v>1</v>
      </c>
      <c r="F22" s="304">
        <f>HLOOKUP(F$17,Power_Gen_Mix!$B$3:$S$9,ROW(Power_Gen_Mix!$A6)-ROW(Power_Gen_Mix!$A$3)+1,FALSE)</f>
        <v>0</v>
      </c>
      <c r="G22" s="304">
        <f>HLOOKUP(G$17,Power_Gen_Mix!$B$3:$S$9,ROW(Power_Gen_Mix!$A6)-ROW(Power_Gen_Mix!$A$3)+1,FALSE)</f>
        <v>7.9914393034970735E-2</v>
      </c>
      <c r="H22" s="304">
        <f>HLOOKUP(H$17,Power_Gen_Mix!$B$3:$S$9,ROW(Power_Gen_Mix!$A6)-ROW(Power_Gen_Mix!$A$3)+1,FALSE)</f>
        <v>7.9914393034970735E-2</v>
      </c>
      <c r="I22" s="304">
        <f>HLOOKUP(I$17,Power_Gen_Mix!$B$3:$S$9,ROW(Power_Gen_Mix!$A6)-ROW(Power_Gen_Mix!$A$3)+1,FALSE)</f>
        <v>7.9914393034970735E-2</v>
      </c>
      <c r="J22" s="304">
        <f>HLOOKUP(J$17,Power_Gen_Mix!$B$3:$S$9,ROW(Power_Gen_Mix!$A6)-ROW(Power_Gen_Mix!$A$3)+1,FALSE)</f>
        <v>7.9914393034970735E-2</v>
      </c>
      <c r="K22" s="304">
        <f>HLOOKUP(K$17,Power_Gen_Mix!$B$3:$S$9,ROW(Power_Gen_Mix!$A6)-ROW(Power_Gen_Mix!$A$3)+1,FALSE)</f>
        <v>7.9914393034970735E-2</v>
      </c>
      <c r="L22" s="304">
        <f>HLOOKUP(L$17,Power_Gen_Mix!$B$3:$S$9,ROW(Power_Gen_Mix!$A6)-ROW(Power_Gen_Mix!$A$3)+1,FALSE)</f>
        <v>7.9914393034970735E-2</v>
      </c>
      <c r="M22" s="304">
        <f>HLOOKUP(M$17,Power_Gen_Mix!$B$3:$S$9,ROW(Power_Gen_Mix!$A6)-ROW(Power_Gen_Mix!$A$3)+1,FALSE)</f>
        <v>7.9914393034970735E-2</v>
      </c>
      <c r="N22" s="304">
        <f>HLOOKUP(N$17,Power_Gen_Mix!$B$3:$S$9,ROW(Power_Gen_Mix!$A6)-ROW(Power_Gen_Mix!$A$3)+1,FALSE)</f>
        <v>7.9914393034970735E-2</v>
      </c>
      <c r="O22" s="304">
        <f>HLOOKUP(O$17,Power_Gen_Mix!$B$3:$S$9,ROW(Power_Gen_Mix!$A6)-ROW(Power_Gen_Mix!$A$3)+1,FALSE)</f>
        <v>7.9914393034970735E-2</v>
      </c>
      <c r="P22" s="304">
        <f>HLOOKUP(P$17,Power_Gen_Mix!$B$3:$S$9,ROW(Power_Gen_Mix!$A6)-ROW(Power_Gen_Mix!$A$3)+1,FALSE)</f>
        <v>7.9914393034970735E-2</v>
      </c>
      <c r="Q22" s="304">
        <f>HLOOKUP(Q$17,Power_Gen_Mix!$B$3:$S$9,ROW(Power_Gen_Mix!$A6)-ROW(Power_Gen_Mix!$A$3)+1,FALSE)</f>
        <v>7.9914393034970735E-2</v>
      </c>
      <c r="R22" s="304">
        <f>HLOOKUP(R$17,Power_Gen_Mix!$B$3:$S$9,ROW(Power_Gen_Mix!$A6)-ROW(Power_Gen_Mix!$A$3)+1,FALSE)</f>
        <v>7.9914393034970735E-2</v>
      </c>
      <c r="S22" s="304">
        <f>HLOOKUP(S$17,Power_Gen_Mix!$B$3:$S$9,ROW(Power_Gen_Mix!$A6)-ROW(Power_Gen_Mix!$A$3)+1,FALSE)</f>
        <v>7.9914393034970735E-2</v>
      </c>
      <c r="T22" s="304">
        <f>HLOOKUP(T$17,Power_Gen_Mix!$B$3:$S$9,ROW(Power_Gen_Mix!$A6)-ROW(Power_Gen_Mix!$A$3)+1,FALSE)</f>
        <v>7.9914393034970735E-2</v>
      </c>
      <c r="U22" s="304">
        <f>HLOOKUP(U$17,Power_Gen_Mix!$B$3:$S$9,ROW(Power_Gen_Mix!$A6)-ROW(Power_Gen_Mix!$A$3)+1,FALSE)</f>
        <v>1</v>
      </c>
      <c r="V22" s="304">
        <f>HLOOKUP(V$17,Power_Gen_Mix!$B$3:$S$9,ROW(Power_Gen_Mix!$A6)-ROW(Power_Gen_Mix!$A$3)+1,FALSE)</f>
        <v>0</v>
      </c>
      <c r="W22" s="304">
        <f>HLOOKUP(W$17,Power_Gen_Mix!$B$3:$S$9,ROW(Power_Gen_Mix!$A6)-ROW(Power_Gen_Mix!$A$3)+1,FALSE)</f>
        <v>7.9914393034970735E-2</v>
      </c>
      <c r="X22" s="304">
        <f>HLOOKUP(X$17,Power_Gen_Mix!$B$3:$S$9,ROW(Power_Gen_Mix!$A6)-ROW(Power_Gen_Mix!$A$3)+1,FALSE)</f>
        <v>0</v>
      </c>
      <c r="Y22" s="304">
        <f>HLOOKUP(Y$17,Power_Gen_Mix!$B$3:$S$9,ROW(Power_Gen_Mix!$A6)-ROW(Power_Gen_Mix!$A$3)+1,FALSE)</f>
        <v>0</v>
      </c>
      <c r="Z22" s="304">
        <f>HLOOKUP(Z$17,Power_Gen_Mix!$B$3:$S$9,ROW(Power_Gen_Mix!$A6)-ROW(Power_Gen_Mix!$A$3)+1,FALSE)</f>
        <v>7.9914393034970735E-2</v>
      </c>
      <c r="AA22" s="304">
        <f>HLOOKUP(AA$17,Power_Gen_Mix!$B$3:$S$9,ROW(Power_Gen_Mix!$A6)-ROW(Power_Gen_Mix!$A$3)+1,FALSE)</f>
        <v>7.9914393034970735E-2</v>
      </c>
      <c r="AB22" s="304">
        <f>HLOOKUP(AB$17,Power_Gen_Mix!$B$3:$S$9,ROW(Power_Gen_Mix!$A6)-ROW(Power_Gen_Mix!$A$3)+1,FALSE)</f>
        <v>7.9914393034970735E-2</v>
      </c>
      <c r="AC22" s="304">
        <f>HLOOKUP(AC$17,Power_Gen_Mix!$B$3:$S$9,ROW(Power_Gen_Mix!$A6)-ROW(Power_Gen_Mix!$A$3)+1,FALSE)</f>
        <v>7.9914393034970735E-2</v>
      </c>
      <c r="AD22" s="304">
        <f>HLOOKUP(AD$17,Power_Gen_Mix!$B$3:$S$9,ROW(Power_Gen_Mix!$A6)-ROW(Power_Gen_Mix!$A$3)+1,FALSE)</f>
        <v>7.9914393034970735E-2</v>
      </c>
      <c r="AE22" s="304">
        <f>HLOOKUP(AE$17,Power_Gen_Mix!$B$3:$S$9,ROW(Power_Gen_Mix!$A6)-ROW(Power_Gen_Mix!$A$3)+1,FALSE)</f>
        <v>7.9914393034970735E-2</v>
      </c>
      <c r="AF22" s="304">
        <f>HLOOKUP(AF$17,Power_Gen_Mix!$B$3:$S$9,ROW(Power_Gen_Mix!$A6)-ROW(Power_Gen_Mix!$A$3)+1,FALSE)</f>
        <v>0.3172669985467943</v>
      </c>
      <c r="AG22" s="304">
        <f>HLOOKUP(AG$17,Power_Gen_Mix!$B$3:$S$9,ROW(Power_Gen_Mix!$A6)-ROW(Power_Gen_Mix!$A$3)+1,FALSE)</f>
        <v>7.9914393034970735E-2</v>
      </c>
      <c r="AH22" s="304">
        <f>HLOOKUP(AH$17,Power_Gen_Mix!$B$3:$S$9,ROW(Power_Gen_Mix!$A6)-ROW(Power_Gen_Mix!$A$3)+1,FALSE)</f>
        <v>7.9914393034970735E-2</v>
      </c>
      <c r="AI22" s="304">
        <f>HLOOKUP(AI$17,Power_Gen_Mix!$B$3:$S$9,ROW(Power_Gen_Mix!$A6)-ROW(Power_Gen_Mix!$A$3)+1,FALSE)</f>
        <v>7.9914393034970735E-2</v>
      </c>
      <c r="AJ22" s="304">
        <f>HLOOKUP(AJ$17,Power_Gen_Mix!$B$3:$S$9,ROW(Power_Gen_Mix!$A6)-ROW(Power_Gen_Mix!$A$3)+1,FALSE)</f>
        <v>7.9914393034970735E-2</v>
      </c>
      <c r="AK22" s="304">
        <f>HLOOKUP(AK$17,Power_Gen_Mix!$B$3:$S$9,ROW(Power_Gen_Mix!$A6)-ROW(Power_Gen_Mix!$A$3)+1,FALSE)</f>
        <v>7.9914393034970735E-2</v>
      </c>
      <c r="AL22" s="304">
        <f>HLOOKUP(AL$17,Power_Gen_Mix!$B$3:$S$9,ROW(Power_Gen_Mix!$A6)-ROW(Power_Gen_Mix!$A$3)+1,FALSE)</f>
        <v>7.9914393034970735E-2</v>
      </c>
      <c r="AM22" s="304">
        <f>HLOOKUP(AM$17,Power_Gen_Mix!$B$3:$S$9,ROW(Power_Gen_Mix!$A6)-ROW(Power_Gen_Mix!$A$3)+1,FALSE)</f>
        <v>7.9914393034970735E-2</v>
      </c>
      <c r="AN22" s="304">
        <f>HLOOKUP(AN$17,Power_Gen_Mix!$B$3:$S$9,ROW(Power_Gen_Mix!$A6)-ROW(Power_Gen_Mix!$A$3)+1,FALSE)</f>
        <v>7.9914393034970735E-2</v>
      </c>
      <c r="AO22" s="304">
        <f>HLOOKUP(AO$17,Power_Gen_Mix!$B$3:$S$9,ROW(Power_Gen_Mix!$A6)-ROW(Power_Gen_Mix!$A$3)+1,FALSE)</f>
        <v>7.9914393034970735E-2</v>
      </c>
      <c r="AP22" s="304">
        <f>HLOOKUP(AP$17,Power_Gen_Mix!$B$3:$S$9,ROW(Power_Gen_Mix!$A6)-ROW(Power_Gen_Mix!$A$3)+1,FALSE)</f>
        <v>7.9914393034970735E-2</v>
      </c>
      <c r="AQ22" s="304">
        <f>HLOOKUP(AQ$17,Power_Gen_Mix!$B$3:$S$9,ROW(Power_Gen_Mix!$A6)-ROW(Power_Gen_Mix!$A$3)+1,FALSE)</f>
        <v>7.9914393034970735E-2</v>
      </c>
      <c r="AR22" s="304">
        <f>HLOOKUP(AR$17,Power_Gen_Mix!$B$3:$S$9,ROW(Power_Gen_Mix!$A6)-ROW(Power_Gen_Mix!$A$3)+1,FALSE)</f>
        <v>7.9914393034970735E-2</v>
      </c>
      <c r="AS22" s="304">
        <f>HLOOKUP(AS$17,Power_Gen_Mix!$B$3:$S$9,ROW(Power_Gen_Mix!$A6)-ROW(Power_Gen_Mix!$A$3)+1,FALSE)</f>
        <v>1</v>
      </c>
      <c r="AT22" s="304">
        <f>HLOOKUP(AT$17,Power_Gen_Mix!$B$3:$S$9,ROW(Power_Gen_Mix!$A6)-ROW(Power_Gen_Mix!$A$3)+1,FALSE)</f>
        <v>0</v>
      </c>
      <c r="AU22" s="304">
        <f>HLOOKUP(AU$17,Power_Gen_Mix!$B$3:$S$9,ROW(Power_Gen_Mix!$A6)-ROW(Power_Gen_Mix!$A$3)+1,FALSE)</f>
        <v>7.9914393034970735E-2</v>
      </c>
      <c r="AV22" s="304">
        <f>HLOOKUP(AV$17,Power_Gen_Mix!$B$3:$S$9,ROW(Power_Gen_Mix!$A6)-ROW(Power_Gen_Mix!$A$3)+1,FALSE)</f>
        <v>7.9914393034970735E-2</v>
      </c>
      <c r="AW22" s="304">
        <f>HLOOKUP(AW$17,Power_Gen_Mix!$B$3:$S$9,ROW(Power_Gen_Mix!$A6)-ROW(Power_Gen_Mix!$A$3)+1,FALSE)</f>
        <v>7.9914393034970735E-2</v>
      </c>
      <c r="AX22" s="304">
        <f>HLOOKUP(AX$17,Power_Gen_Mix!$B$3:$S$9,ROW(Power_Gen_Mix!$A6)-ROW(Power_Gen_Mix!$A$3)+1,FALSE)</f>
        <v>7.9914393034970735E-2</v>
      </c>
      <c r="AY22" s="304">
        <f>HLOOKUP(AY$17,Power_Gen_Mix!$B$3:$S$9,ROW(Power_Gen_Mix!$A6)-ROW(Power_Gen_Mix!$A$3)+1,FALSE)</f>
        <v>7.9914393034970735E-2</v>
      </c>
      <c r="AZ22" s="304">
        <f>HLOOKUP(AZ$17,Power_Gen_Mix!$B$3:$S$9,ROW(Power_Gen_Mix!$A6)-ROW(Power_Gen_Mix!$A$3)+1,FALSE)</f>
        <v>7.9914393034970735E-2</v>
      </c>
      <c r="BA22" s="304">
        <f>HLOOKUP(BA$17,Power_Gen_Mix!$B$3:$S$9,ROW(Power_Gen_Mix!$A6)-ROW(Power_Gen_Mix!$A$3)+1,FALSE)</f>
        <v>7.9914393034970735E-2</v>
      </c>
      <c r="BB22" s="304">
        <f>HLOOKUP(BB$17,Power_Gen_Mix!$B$3:$S$9,ROW(Power_Gen_Mix!$A6)-ROW(Power_Gen_Mix!$A$3)+1,FALSE)</f>
        <v>7.9914393034970735E-2</v>
      </c>
      <c r="BC22" s="304">
        <f>HLOOKUP(BC$17,Power_Gen_Mix!$B$3:$S$9,ROW(Power_Gen_Mix!$A6)-ROW(Power_Gen_Mix!$A$3)+1,FALSE)</f>
        <v>7.9914393034970735E-2</v>
      </c>
      <c r="BD22" s="304">
        <f>HLOOKUP(BD$17,Power_Gen_Mix!$B$3:$S$9,ROW(Power_Gen_Mix!$A6)-ROW(Power_Gen_Mix!$A$3)+1,FALSE)</f>
        <v>7.9914393034970735E-2</v>
      </c>
      <c r="BE22" s="304">
        <f>HLOOKUP(BE$17,Power_Gen_Mix!$B$3:$S$9,ROW(Power_Gen_Mix!$A6)-ROW(Power_Gen_Mix!$A$3)+1,FALSE)</f>
        <v>7.9914393034970735E-2</v>
      </c>
      <c r="BF22" s="304">
        <f>HLOOKUP(BF$17,Power_Gen_Mix!$B$3:$S$9,ROW(Power_Gen_Mix!$A6)-ROW(Power_Gen_Mix!$A$3)+1,FALSE)</f>
        <v>7.9914393034970735E-2</v>
      </c>
      <c r="BG22" s="304">
        <f>HLOOKUP(BG$17,Power_Gen_Mix!$B$3:$S$9,ROW(Power_Gen_Mix!$A6)-ROW(Power_Gen_Mix!$A$3)+1,FALSE)</f>
        <v>7.9914393034970735E-2</v>
      </c>
      <c r="BH22" s="304">
        <f>HLOOKUP(BH$17,Power_Gen_Mix!$B$3:$S$9,ROW(Power_Gen_Mix!$A6)-ROW(Power_Gen_Mix!$A$3)+1,FALSE)</f>
        <v>7.9914393034970735E-2</v>
      </c>
      <c r="BI22" s="304">
        <f>HLOOKUP(BI$17,Power_Gen_Mix!$B$3:$S$9,ROW(Power_Gen_Mix!$A6)-ROW(Power_Gen_Mix!$A$3)+1,FALSE)</f>
        <v>7.9914393034970735E-2</v>
      </c>
      <c r="BJ22" s="304">
        <f>HLOOKUP(BJ$17,Power_Gen_Mix!$B$3:$S$9,ROW(Power_Gen_Mix!$A6)-ROW(Power_Gen_Mix!$A$3)+1,FALSE)</f>
        <v>7.9914393034970735E-2</v>
      </c>
      <c r="BK22" s="304">
        <f>HLOOKUP(BK$17,Power_Gen_Mix!$B$3:$S$9,ROW(Power_Gen_Mix!$A6)-ROW(Power_Gen_Mix!$A$3)+1,FALSE)</f>
        <v>7.9914393034970735E-2</v>
      </c>
      <c r="BL22" s="304">
        <f>HLOOKUP(BL$17,Power_Gen_Mix!$B$3:$S$9,ROW(Power_Gen_Mix!$A6)-ROW(Power_Gen_Mix!$A$3)+1,FALSE)</f>
        <v>7.9914393034970735E-2</v>
      </c>
      <c r="BM22" s="304">
        <f>HLOOKUP(BM$17,Power_Gen_Mix!$B$3:$S$9,ROW(Power_Gen_Mix!$A6)-ROW(Power_Gen_Mix!$A$3)+1,FALSE)</f>
        <v>7.9914393034970735E-2</v>
      </c>
      <c r="BN22" s="304">
        <f>HLOOKUP(BN$17,Power_Gen_Mix!$B$3:$S$9,ROW(Power_Gen_Mix!$A6)-ROW(Power_Gen_Mix!$A$3)+1,FALSE)</f>
        <v>7.9914393034970735E-2</v>
      </c>
      <c r="BO22" s="304">
        <f>HLOOKUP(BO$17,Power_Gen_Mix!$B$3:$S$9,ROW(Power_Gen_Mix!$A6)-ROW(Power_Gen_Mix!$A$3)+1,FALSE)</f>
        <v>1</v>
      </c>
      <c r="BP22" s="304">
        <f>HLOOKUP(BP$17,Power_Gen_Mix!$B$3:$S$9,ROW(Power_Gen_Mix!$A6)-ROW(Power_Gen_Mix!$A$3)+1,FALSE)</f>
        <v>0</v>
      </c>
      <c r="BQ22" s="304">
        <f>HLOOKUP(BQ$17,Power_Gen_Mix!$B$3:$S$9,ROW(Power_Gen_Mix!$A6)-ROW(Power_Gen_Mix!$A$3)+1,FALSE)</f>
        <v>7.9914393034970735E-2</v>
      </c>
      <c r="BR22" s="304">
        <f>HLOOKUP(BR$17,Power_Gen_Mix!$B$3:$S$9,ROW(Power_Gen_Mix!$A6)-ROW(Power_Gen_Mix!$A$3)+1,FALSE)</f>
        <v>7.9914393034970735E-2</v>
      </c>
      <c r="BS22" s="304">
        <f>HLOOKUP(BS$17,Power_Gen_Mix!$B$3:$S$9,ROW(Power_Gen_Mix!$A6)-ROW(Power_Gen_Mix!$A$3)+1,FALSE)</f>
        <v>7.9914393034970735E-2</v>
      </c>
      <c r="BT22" s="304">
        <f>HLOOKUP(BT$17,Power_Gen_Mix!$B$3:$S$9,ROW(Power_Gen_Mix!$A6)-ROW(Power_Gen_Mix!$A$3)+1,FALSE)</f>
        <v>7.9914393034970735E-2</v>
      </c>
      <c r="BU22" s="304">
        <f>HLOOKUP(BU$17,Power_Gen_Mix!$B$3:$S$9,ROW(Power_Gen_Mix!$A6)-ROW(Power_Gen_Mix!$A$3)+1,FALSE)</f>
        <v>7.9914393034970735E-2</v>
      </c>
      <c r="BV22" s="304">
        <f>HLOOKUP(BV$17,Power_Gen_Mix!$B$3:$S$9,ROW(Power_Gen_Mix!$A6)-ROW(Power_Gen_Mix!$A$3)+1,FALSE)</f>
        <v>7.9914393034970735E-2</v>
      </c>
      <c r="BW22" s="304">
        <f>HLOOKUP(BW$17,Power_Gen_Mix!$B$3:$S$9,ROW(Power_Gen_Mix!$A6)-ROW(Power_Gen_Mix!$A$3)+1,FALSE)</f>
        <v>7.9914393034970735E-2</v>
      </c>
      <c r="BX22" s="304">
        <f>HLOOKUP(BX$17,Power_Gen_Mix!$B$3:$S$9,ROW(Power_Gen_Mix!$A6)-ROW(Power_Gen_Mix!$A$3)+1,FALSE)</f>
        <v>1</v>
      </c>
      <c r="BY22" s="304">
        <f>HLOOKUP(BY$17,Power_Gen_Mix!$B$3:$S$9,ROW(Power_Gen_Mix!$A6)-ROW(Power_Gen_Mix!$A$3)+1,FALSE)</f>
        <v>0</v>
      </c>
      <c r="BZ22" s="304">
        <f>HLOOKUP(BZ$17,Power_Gen_Mix!$B$3:$S$9,ROW(Power_Gen_Mix!$A6)-ROW(Power_Gen_Mix!$A$3)+1,FALSE)</f>
        <v>7.9914393034970735E-2</v>
      </c>
      <c r="CA22" s="304">
        <f>HLOOKUP(CA$17,Power_Gen_Mix!$B$3:$S$9,ROW(Power_Gen_Mix!$A6)-ROW(Power_Gen_Mix!$A$3)+1,FALSE)</f>
        <v>7.9914393034970735E-2</v>
      </c>
      <c r="CB22" s="304">
        <f>HLOOKUP(CB$17,Power_Gen_Mix!$B$3:$S$9,ROW(Power_Gen_Mix!$A6)-ROW(Power_Gen_Mix!$A$3)+1,FALSE)</f>
        <v>7.9914393034970735E-2</v>
      </c>
      <c r="CC22" s="304">
        <f>HLOOKUP(CC$17,Power_Gen_Mix!$B$3:$S$9,ROW(Power_Gen_Mix!$A6)-ROW(Power_Gen_Mix!$A$3)+1,FALSE)</f>
        <v>7.9914393034970735E-2</v>
      </c>
      <c r="CD22" s="304">
        <f>HLOOKUP(CD$17,Power_Gen_Mix!$B$3:$S$9,ROW(Power_Gen_Mix!$A6)-ROW(Power_Gen_Mix!$A$3)+1,FALSE)</f>
        <v>7.9914393034970735E-2</v>
      </c>
      <c r="CE22" s="304">
        <f>HLOOKUP(CE$17,Power_Gen_Mix!$B$3:$S$9,ROW(Power_Gen_Mix!$A6)-ROW(Power_Gen_Mix!$A$3)+1,FALSE)</f>
        <v>7.9914393034970735E-2</v>
      </c>
      <c r="CF22" s="304">
        <f>HLOOKUP(CF$17,Power_Gen_Mix!$B$3:$S$9,ROW(Power_Gen_Mix!$A6)-ROW(Power_Gen_Mix!$A$3)+1,FALSE)</f>
        <v>7.9914393034970735E-2</v>
      </c>
      <c r="CG22" s="304">
        <f>HLOOKUP(CG$17,Power_Gen_Mix!$B$3:$S$9,ROW(Power_Gen_Mix!$A6)-ROW(Power_Gen_Mix!$A$3)+1,FALSE)</f>
        <v>7.9914393034970735E-2</v>
      </c>
      <c r="CH22" s="304">
        <f>HLOOKUP(CH$17,Power_Gen_Mix!$B$3:$S$9,ROW(Power_Gen_Mix!$A6)-ROW(Power_Gen_Mix!$A$3)+1,FALSE)</f>
        <v>7.9914393034970735E-2</v>
      </c>
      <c r="CI22" s="304">
        <f>HLOOKUP(CI$17,Power_Gen_Mix!$B$3:$S$9,ROW(Power_Gen_Mix!$A6)-ROW(Power_Gen_Mix!$A$3)+1,FALSE)</f>
        <v>7.9914393034970735E-2</v>
      </c>
      <c r="CJ22" s="304">
        <f>HLOOKUP(CJ$17,Power_Gen_Mix!$B$3:$S$9,ROW(Power_Gen_Mix!$A6)-ROW(Power_Gen_Mix!$A$3)+1,FALSE)</f>
        <v>7.9914393034970735E-2</v>
      </c>
      <c r="CK22" s="304">
        <f>HLOOKUP(CK$17,Power_Gen_Mix!$B$3:$S$9,ROW(Power_Gen_Mix!$A6)-ROW(Power_Gen_Mix!$A$3)+1,FALSE)</f>
        <v>7.9914393034970735E-2</v>
      </c>
      <c r="CL22" s="304">
        <f>HLOOKUP(CL$17,Power_Gen_Mix!$B$3:$S$9,ROW(Power_Gen_Mix!$A6)-ROW(Power_Gen_Mix!$A$3)+1,FALSE)</f>
        <v>7.9914393034970735E-2</v>
      </c>
      <c r="CM22" s="304">
        <f>HLOOKUP(CM$17,Power_Gen_Mix!$B$3:$S$9,ROW(Power_Gen_Mix!$A6)-ROW(Power_Gen_Mix!$A$3)+1,FALSE)</f>
        <v>7.9914393034970735E-2</v>
      </c>
      <c r="CN22" s="304">
        <f>HLOOKUP(CN$17,Power_Gen_Mix!$B$3:$S$9,ROW(Power_Gen_Mix!$A6)-ROW(Power_Gen_Mix!$A$3)+1,FALSE)</f>
        <v>7.9914393034970735E-2</v>
      </c>
      <c r="CO22" s="304">
        <f>HLOOKUP(CO$17,Power_Gen_Mix!$B$3:$S$9,ROW(Power_Gen_Mix!$A6)-ROW(Power_Gen_Mix!$A$3)+1,FALSE)</f>
        <v>7.9914393034970735E-2</v>
      </c>
      <c r="CP22" s="304">
        <f>HLOOKUP(CP$17,Power_Gen_Mix!$B$3:$S$9,ROW(Power_Gen_Mix!$A6)-ROW(Power_Gen_Mix!$A$3)+1,FALSE)</f>
        <v>7.9914393034970735E-2</v>
      </c>
      <c r="CQ22" s="304">
        <f>HLOOKUP(CQ$17,Power_Gen_Mix!$B$3:$S$9,ROW(Power_Gen_Mix!$A6)-ROW(Power_Gen_Mix!$A$3)+1,FALSE)</f>
        <v>7.9914393034970735E-2</v>
      </c>
      <c r="CR22" s="304">
        <f>HLOOKUP(CR$17,Power_Gen_Mix!$B$3:$S$9,ROW(Power_Gen_Mix!$A6)-ROW(Power_Gen_Mix!$A$3)+1,FALSE)</f>
        <v>7.9914393034970735E-2</v>
      </c>
      <c r="CS22" s="304">
        <f>HLOOKUP(CS$17,Power_Gen_Mix!$B$3:$S$9,ROW(Power_Gen_Mix!$A6)-ROW(Power_Gen_Mix!$A$3)+1,FALSE)</f>
        <v>7.9914393034970735E-2</v>
      </c>
      <c r="CT22" s="304">
        <f>HLOOKUP(CT$17,Power_Gen_Mix!$B$3:$S$9,ROW(Power_Gen_Mix!$A6)-ROW(Power_Gen_Mix!$A$3)+1,FALSE)</f>
        <v>7.9914393034970735E-2</v>
      </c>
      <c r="CU22" s="304">
        <f>HLOOKUP(CU$17,Power_Gen_Mix!$B$3:$S$9,ROW(Power_Gen_Mix!$A6)-ROW(Power_Gen_Mix!$A$3)+1,FALSE)</f>
        <v>7.9914393034970735E-2</v>
      </c>
      <c r="CV22" s="304">
        <f>HLOOKUP(CV$17,Power_Gen_Mix!$B$3:$S$9,ROW(Power_Gen_Mix!$A6)-ROW(Power_Gen_Mix!$A$3)+1,FALSE)</f>
        <v>7.9914393034970735E-2</v>
      </c>
      <c r="CW22" s="304">
        <f>HLOOKUP(CW$17,Power_Gen_Mix!$B$3:$S$9,ROW(Power_Gen_Mix!$A6)-ROW(Power_Gen_Mix!$A$3)+1,FALSE)</f>
        <v>7.9914393034970735E-2</v>
      </c>
      <c r="CX22" s="304">
        <f>HLOOKUP(CX$17,Power_Gen_Mix!$B$3:$S$9,ROW(Power_Gen_Mix!$A6)-ROW(Power_Gen_Mix!$A$3)+1,FALSE)</f>
        <v>7.9914393034970735E-2</v>
      </c>
      <c r="CY22" s="304">
        <f>HLOOKUP(CY$17,Power_Gen_Mix!$B$3:$S$9,ROW(Power_Gen_Mix!$A6)-ROW(Power_Gen_Mix!$A$3)+1,FALSE)</f>
        <v>7.9914393034970735E-2</v>
      </c>
      <c r="CZ22" s="304">
        <f>HLOOKUP(CZ$17,Power_Gen_Mix!$B$3:$S$9,ROW(Power_Gen_Mix!$A6)-ROW(Power_Gen_Mix!$A$3)+1,FALSE)</f>
        <v>7.9914393034970735E-2</v>
      </c>
      <c r="DA22" s="304">
        <f>HLOOKUP(DA$17,Power_Gen_Mix!$B$3:$S$9,ROW(Power_Gen_Mix!$A6)-ROW(Power_Gen_Mix!$A$3)+1,FALSE)</f>
        <v>7.9914393034970735E-2</v>
      </c>
      <c r="DB22" s="304">
        <f>HLOOKUP(DB$17,Power_Gen_Mix!$B$3:$S$9,ROW(Power_Gen_Mix!$A6)-ROW(Power_Gen_Mix!$A$3)+1,FALSE)</f>
        <v>7.9914393034970735E-2</v>
      </c>
      <c r="DC22" s="304">
        <f>HLOOKUP(DC$17,Power_Gen_Mix!$B$3:$S$9,ROW(Power_Gen_Mix!$A6)-ROW(Power_Gen_Mix!$A$3)+1,FALSE)</f>
        <v>7.9914393034970735E-2</v>
      </c>
      <c r="DD22" s="304">
        <f>HLOOKUP(DD$17,Power_Gen_Mix!$B$3:$S$9,ROW(Power_Gen_Mix!$A6)-ROW(Power_Gen_Mix!$A$3)+1,FALSE)</f>
        <v>7.9914393034970735E-2</v>
      </c>
      <c r="DE22" s="304">
        <f>HLOOKUP(DE$17,Power_Gen_Mix!$B$3:$S$9,ROW(Power_Gen_Mix!$A6)-ROW(Power_Gen_Mix!$A$3)+1,FALSE)</f>
        <v>7.9914393034970735E-2</v>
      </c>
      <c r="DF22" s="304">
        <f>HLOOKUP(DF$17,Power_Gen_Mix!$B$3:$S$9,ROW(Power_Gen_Mix!$A6)-ROW(Power_Gen_Mix!$A$3)+1,FALSE)</f>
        <v>7.9914393034970735E-2</v>
      </c>
      <c r="DG22" s="304"/>
      <c r="DH22" s="304">
        <f>HLOOKUP(DH$17,Power_Gen_Mix!$B$3:$S$9,ROW(Power_Gen_Mix!$A6)-ROW(Power_Gen_Mix!$A$3)+1,FALSE)</f>
        <v>7.9914393034970735E-2</v>
      </c>
      <c r="DI22" s="304">
        <f>HLOOKUP(DI$17,Power_Gen_Mix!$B$3:$S$9,ROW(Power_Gen_Mix!$A6)-ROW(Power_Gen_Mix!$A$3)+1,FALSE)</f>
        <v>7.9914393034970735E-2</v>
      </c>
      <c r="DJ22" s="304">
        <f>HLOOKUP(DJ$17,Power_Gen_Mix!$B$3:$S$9,ROW(Power_Gen_Mix!$A6)-ROW(Power_Gen_Mix!$A$3)+1,FALSE)</f>
        <v>7.9914393034970735E-2</v>
      </c>
      <c r="DK22" s="304">
        <f>HLOOKUP(DK$17,Power_Gen_Mix!$B$3:$S$9,ROW(Power_Gen_Mix!$A6)-ROW(Power_Gen_Mix!$A$3)+1,FALSE)</f>
        <v>7.9914393034970735E-2</v>
      </c>
      <c r="DL22" s="304">
        <f>HLOOKUP(DL$17,Power_Gen_Mix!$B$3:$S$9,ROW(Power_Gen_Mix!$A6)-ROW(Power_Gen_Mix!$A$3)+1,FALSE)</f>
        <v>7.9914393034970735E-2</v>
      </c>
      <c r="DM22" s="304">
        <f>HLOOKUP(DM$17,Power_Gen_Mix!$B$3:$S$9,ROW(Power_Gen_Mix!$A6)-ROW(Power_Gen_Mix!$A$3)+1,FALSE)</f>
        <v>7.9914393034970735E-2</v>
      </c>
      <c r="DN22" s="304">
        <f>HLOOKUP(DN$17,Power_Gen_Mix!$B$3:$S$9,ROW(Power_Gen_Mix!$A6)-ROW(Power_Gen_Mix!$A$3)+1,FALSE)</f>
        <v>7.9914393034970735E-2</v>
      </c>
      <c r="DO22" s="304">
        <f>HLOOKUP(DO$17,Power_Gen_Mix!$B$3:$S$9,ROW(Power_Gen_Mix!$A6)-ROW(Power_Gen_Mix!$A$3)+1,FALSE)</f>
        <v>7.9914393034970735E-2</v>
      </c>
      <c r="DP22" s="304">
        <f>HLOOKUP(DP$17,Power_Gen_Mix!$B$3:$S$9,ROW(Power_Gen_Mix!$A6)-ROW(Power_Gen_Mix!$A$3)+1,FALSE)</f>
        <v>7.9914393034970735E-2</v>
      </c>
      <c r="DQ22" s="304">
        <f>HLOOKUP(DQ$17,Power_Gen_Mix!$B$3:$S$9,ROW(Power_Gen_Mix!$A6)-ROW(Power_Gen_Mix!$A$3)+1,FALSE)</f>
        <v>7.9914393034970735E-2</v>
      </c>
      <c r="DR22" s="304">
        <f>HLOOKUP(DR$17,Power_Gen_Mix!$B$3:$S$9,ROW(Power_Gen_Mix!$A6)-ROW(Power_Gen_Mix!$A$3)+1,FALSE)</f>
        <v>7.9914393034970735E-2</v>
      </c>
      <c r="DS22" s="304">
        <f>HLOOKUP(DS$17,Power_Gen_Mix!$B$3:$S$9,ROW(Power_Gen_Mix!$A6)-ROW(Power_Gen_Mix!$A$3)+1,FALSE)</f>
        <v>0</v>
      </c>
      <c r="DT22" s="304">
        <f>HLOOKUP(DT$17,Power_Gen_Mix!$B$3:$S$9,ROW(Power_Gen_Mix!$A6)-ROW(Power_Gen_Mix!$A$3)+1,FALSE)</f>
        <v>7.9914393034970735E-2</v>
      </c>
      <c r="DU22" s="304">
        <f>HLOOKUP(DU$17,Power_Gen_Mix!$B$3:$S$9,ROW(Power_Gen_Mix!$A6)-ROW(Power_Gen_Mix!$A$3)+1,FALSE)</f>
        <v>7.9914393034970735E-2</v>
      </c>
      <c r="DV22" s="304">
        <f>HLOOKUP(DV$17,Power_Gen_Mix!$B$3:$S$9,ROW(Power_Gen_Mix!$A6)-ROW(Power_Gen_Mix!$A$3)+1,FALSE)</f>
        <v>7.9914393034970735E-2</v>
      </c>
      <c r="DW22" s="304">
        <f>HLOOKUP(DW$17,Power_Gen_Mix!$B$3:$S$9,ROW(Power_Gen_Mix!$A6)-ROW(Power_Gen_Mix!$A$3)+1,FALSE)</f>
        <v>7.9914393034970735E-2</v>
      </c>
      <c r="DX22" s="304">
        <f>HLOOKUP(DX$17,Power_Gen_Mix!$B$3:$S$9,ROW(Power_Gen_Mix!$A6)-ROW(Power_Gen_Mix!$A$3)+1,FALSE)</f>
        <v>7.9914393034970735E-2</v>
      </c>
      <c r="DY22" s="304">
        <f>HLOOKUP(DY$17,Power_Gen_Mix!$B$3:$S$9,ROW(Power_Gen_Mix!$A6)-ROW(Power_Gen_Mix!$A$3)+1,FALSE)</f>
        <v>7.9914393034970735E-2</v>
      </c>
      <c r="DZ22" s="304">
        <f>HLOOKUP(DZ$17,Power_Gen_Mix!$B$3:$S$9,ROW(Power_Gen_Mix!$A6)-ROW(Power_Gen_Mix!$A$3)+1,FALSE)</f>
        <v>7.9914393034970735E-2</v>
      </c>
      <c r="EA22" s="304">
        <f>HLOOKUP(EA$17,Power_Gen_Mix!$B$3:$S$9,ROW(Power_Gen_Mix!$A6)-ROW(Power_Gen_Mix!$A$3)+1,FALSE)</f>
        <v>7.9914393034970735E-2</v>
      </c>
      <c r="EB22" s="304">
        <f>HLOOKUP(EB$17,Power_Gen_Mix!$B$3:$S$9,ROW(Power_Gen_Mix!$A6)-ROW(Power_Gen_Mix!$A$3)+1,FALSE)</f>
        <v>7.9914393034970735E-2</v>
      </c>
      <c r="EC22" s="304">
        <f>HLOOKUP(EC$17,Power_Gen_Mix!$B$3:$S$9,ROW(Power_Gen_Mix!$A6)-ROW(Power_Gen_Mix!$A$3)+1,FALSE)</f>
        <v>7.9914393034970735E-2</v>
      </c>
      <c r="ED22" s="304">
        <f>HLOOKUP(ED$17,Power_Gen_Mix!$B$3:$S$9,ROW(Power_Gen_Mix!$A6)-ROW(Power_Gen_Mix!$A$3)+1,FALSE)</f>
        <v>7.9914393034970735E-2</v>
      </c>
    </row>
    <row r="23" spans="1:156" x14ac:dyDescent="0.3">
      <c r="A23" s="21" t="s">
        <v>906</v>
      </c>
      <c r="D23" s="304">
        <f>HLOOKUP(D$17,Power_Gen_Mix!$B$3:$S$9,ROW(Power_Gen_Mix!$A7)-ROW(Power_Gen_Mix!$A$3)+1,FALSE)</f>
        <v>0.33909384736336373</v>
      </c>
      <c r="E23" s="304">
        <f>HLOOKUP(E$17,Power_Gen_Mix!$B$3:$S$9,ROW(Power_Gen_Mix!$A7)-ROW(Power_Gen_Mix!$A$3)+1,FALSE)</f>
        <v>0</v>
      </c>
      <c r="F23" s="304">
        <f>HLOOKUP(F$17,Power_Gen_Mix!$B$3:$S$9,ROW(Power_Gen_Mix!$A7)-ROW(Power_Gen_Mix!$A$3)+1,FALSE)</f>
        <v>0</v>
      </c>
      <c r="G23" s="304">
        <f>HLOOKUP(G$17,Power_Gen_Mix!$B$3:$S$9,ROW(Power_Gen_Mix!$A7)-ROW(Power_Gen_Mix!$A$3)+1,FALSE)</f>
        <v>0.33909384736336373</v>
      </c>
      <c r="H23" s="304">
        <f>HLOOKUP(H$17,Power_Gen_Mix!$B$3:$S$9,ROW(Power_Gen_Mix!$A7)-ROW(Power_Gen_Mix!$A$3)+1,FALSE)</f>
        <v>0.33909384736336373</v>
      </c>
      <c r="I23" s="304">
        <f>HLOOKUP(I$17,Power_Gen_Mix!$B$3:$S$9,ROW(Power_Gen_Mix!$A7)-ROW(Power_Gen_Mix!$A$3)+1,FALSE)</f>
        <v>0.33909384736336373</v>
      </c>
      <c r="J23" s="304">
        <f>HLOOKUP(J$17,Power_Gen_Mix!$B$3:$S$9,ROW(Power_Gen_Mix!$A7)-ROW(Power_Gen_Mix!$A$3)+1,FALSE)</f>
        <v>0.33909384736336373</v>
      </c>
      <c r="K23" s="304">
        <f>HLOOKUP(K$17,Power_Gen_Mix!$B$3:$S$9,ROW(Power_Gen_Mix!$A7)-ROW(Power_Gen_Mix!$A$3)+1,FALSE)</f>
        <v>0.33909384736336373</v>
      </c>
      <c r="L23" s="304">
        <f>HLOOKUP(L$17,Power_Gen_Mix!$B$3:$S$9,ROW(Power_Gen_Mix!$A7)-ROW(Power_Gen_Mix!$A$3)+1,FALSE)</f>
        <v>0.33909384736336373</v>
      </c>
      <c r="M23" s="304">
        <f>HLOOKUP(M$17,Power_Gen_Mix!$B$3:$S$9,ROW(Power_Gen_Mix!$A7)-ROW(Power_Gen_Mix!$A$3)+1,FALSE)</f>
        <v>0.33909384736336373</v>
      </c>
      <c r="N23" s="304">
        <f>HLOOKUP(N$17,Power_Gen_Mix!$B$3:$S$9,ROW(Power_Gen_Mix!$A7)-ROW(Power_Gen_Mix!$A$3)+1,FALSE)</f>
        <v>0.33909384736336373</v>
      </c>
      <c r="O23" s="304">
        <f>HLOOKUP(O$17,Power_Gen_Mix!$B$3:$S$9,ROW(Power_Gen_Mix!$A7)-ROW(Power_Gen_Mix!$A$3)+1,FALSE)</f>
        <v>0.33909384736336373</v>
      </c>
      <c r="P23" s="304">
        <f>HLOOKUP(P$17,Power_Gen_Mix!$B$3:$S$9,ROW(Power_Gen_Mix!$A7)-ROW(Power_Gen_Mix!$A$3)+1,FALSE)</f>
        <v>0.33909384736336373</v>
      </c>
      <c r="Q23" s="304">
        <f>HLOOKUP(Q$17,Power_Gen_Mix!$B$3:$S$9,ROW(Power_Gen_Mix!$A7)-ROW(Power_Gen_Mix!$A$3)+1,FALSE)</f>
        <v>0.33909384736336373</v>
      </c>
      <c r="R23" s="304">
        <f>HLOOKUP(R$17,Power_Gen_Mix!$B$3:$S$9,ROW(Power_Gen_Mix!$A7)-ROW(Power_Gen_Mix!$A$3)+1,FALSE)</f>
        <v>0.33909384736336373</v>
      </c>
      <c r="S23" s="304">
        <f>HLOOKUP(S$17,Power_Gen_Mix!$B$3:$S$9,ROW(Power_Gen_Mix!$A7)-ROW(Power_Gen_Mix!$A$3)+1,FALSE)</f>
        <v>0.33909384736336373</v>
      </c>
      <c r="T23" s="304">
        <f>HLOOKUP(T$17,Power_Gen_Mix!$B$3:$S$9,ROW(Power_Gen_Mix!$A7)-ROW(Power_Gen_Mix!$A$3)+1,FALSE)</f>
        <v>0.33909384736336373</v>
      </c>
      <c r="U23" s="304">
        <f>HLOOKUP(U$17,Power_Gen_Mix!$B$3:$S$9,ROW(Power_Gen_Mix!$A7)-ROW(Power_Gen_Mix!$A$3)+1,FALSE)</f>
        <v>0</v>
      </c>
      <c r="V23" s="304">
        <f>HLOOKUP(V$17,Power_Gen_Mix!$B$3:$S$9,ROW(Power_Gen_Mix!$A7)-ROW(Power_Gen_Mix!$A$3)+1,FALSE)</f>
        <v>0</v>
      </c>
      <c r="W23" s="304">
        <f>HLOOKUP(W$17,Power_Gen_Mix!$B$3:$S$9,ROW(Power_Gen_Mix!$A7)-ROW(Power_Gen_Mix!$A$3)+1,FALSE)</f>
        <v>0.33909384736336373</v>
      </c>
      <c r="X23" s="304">
        <f>HLOOKUP(X$17,Power_Gen_Mix!$B$3:$S$9,ROW(Power_Gen_Mix!$A7)-ROW(Power_Gen_Mix!$A$3)+1,FALSE)</f>
        <v>0</v>
      </c>
      <c r="Y23" s="304">
        <f>HLOOKUP(Y$17,Power_Gen_Mix!$B$3:$S$9,ROW(Power_Gen_Mix!$A7)-ROW(Power_Gen_Mix!$A$3)+1,FALSE)</f>
        <v>0</v>
      </c>
      <c r="Z23" s="304">
        <f>HLOOKUP(Z$17,Power_Gen_Mix!$B$3:$S$9,ROW(Power_Gen_Mix!$A7)-ROW(Power_Gen_Mix!$A$3)+1,FALSE)</f>
        <v>0.33909384736336373</v>
      </c>
      <c r="AA23" s="304">
        <f>HLOOKUP(AA$17,Power_Gen_Mix!$B$3:$S$9,ROW(Power_Gen_Mix!$A7)-ROW(Power_Gen_Mix!$A$3)+1,FALSE)</f>
        <v>0.33909384736336373</v>
      </c>
      <c r="AB23" s="304">
        <f>HLOOKUP(AB$17,Power_Gen_Mix!$B$3:$S$9,ROW(Power_Gen_Mix!$A7)-ROW(Power_Gen_Mix!$A$3)+1,FALSE)</f>
        <v>0.33909384736336373</v>
      </c>
      <c r="AC23" s="304">
        <f>HLOOKUP(AC$17,Power_Gen_Mix!$B$3:$S$9,ROW(Power_Gen_Mix!$A7)-ROW(Power_Gen_Mix!$A$3)+1,FALSE)</f>
        <v>0.33909384736336373</v>
      </c>
      <c r="AD23" s="304">
        <f>HLOOKUP(AD$17,Power_Gen_Mix!$B$3:$S$9,ROW(Power_Gen_Mix!$A7)-ROW(Power_Gen_Mix!$A$3)+1,FALSE)</f>
        <v>0.33909384736336373</v>
      </c>
      <c r="AE23" s="304">
        <f>HLOOKUP(AE$17,Power_Gen_Mix!$B$3:$S$9,ROW(Power_Gen_Mix!$A7)-ROW(Power_Gen_Mix!$A$3)+1,FALSE)</f>
        <v>0.33909384736336373</v>
      </c>
      <c r="AF23" s="304">
        <f>HLOOKUP(AF$17,Power_Gen_Mix!$B$3:$S$9,ROW(Power_Gen_Mix!$A7)-ROW(Power_Gen_Mix!$A$3)+1,FALSE)</f>
        <v>0.1968032286378528</v>
      </c>
      <c r="AG23" s="304">
        <f>HLOOKUP(AG$17,Power_Gen_Mix!$B$3:$S$9,ROW(Power_Gen_Mix!$A7)-ROW(Power_Gen_Mix!$A$3)+1,FALSE)</f>
        <v>0.33909384736336373</v>
      </c>
      <c r="AH23" s="304">
        <f>HLOOKUP(AH$17,Power_Gen_Mix!$B$3:$S$9,ROW(Power_Gen_Mix!$A7)-ROW(Power_Gen_Mix!$A$3)+1,FALSE)</f>
        <v>0.33909384736336373</v>
      </c>
      <c r="AI23" s="304">
        <f>HLOOKUP(AI$17,Power_Gen_Mix!$B$3:$S$9,ROW(Power_Gen_Mix!$A7)-ROW(Power_Gen_Mix!$A$3)+1,FALSE)</f>
        <v>0.33909384736336373</v>
      </c>
      <c r="AJ23" s="304">
        <f>HLOOKUP(AJ$17,Power_Gen_Mix!$B$3:$S$9,ROW(Power_Gen_Mix!$A7)-ROW(Power_Gen_Mix!$A$3)+1,FALSE)</f>
        <v>0.33909384736336373</v>
      </c>
      <c r="AK23" s="304">
        <f>HLOOKUP(AK$17,Power_Gen_Mix!$B$3:$S$9,ROW(Power_Gen_Mix!$A7)-ROW(Power_Gen_Mix!$A$3)+1,FALSE)</f>
        <v>0.33909384736336373</v>
      </c>
      <c r="AL23" s="304">
        <f>HLOOKUP(AL$17,Power_Gen_Mix!$B$3:$S$9,ROW(Power_Gen_Mix!$A7)-ROW(Power_Gen_Mix!$A$3)+1,FALSE)</f>
        <v>0.33909384736336373</v>
      </c>
      <c r="AM23" s="304">
        <f>HLOOKUP(AM$17,Power_Gen_Mix!$B$3:$S$9,ROW(Power_Gen_Mix!$A7)-ROW(Power_Gen_Mix!$A$3)+1,FALSE)</f>
        <v>0.33909384736336373</v>
      </c>
      <c r="AN23" s="304">
        <f>HLOOKUP(AN$17,Power_Gen_Mix!$B$3:$S$9,ROW(Power_Gen_Mix!$A7)-ROW(Power_Gen_Mix!$A$3)+1,FALSE)</f>
        <v>0.33909384736336373</v>
      </c>
      <c r="AO23" s="304">
        <f>HLOOKUP(AO$17,Power_Gen_Mix!$B$3:$S$9,ROW(Power_Gen_Mix!$A7)-ROW(Power_Gen_Mix!$A$3)+1,FALSE)</f>
        <v>0.33909384736336373</v>
      </c>
      <c r="AP23" s="304">
        <f>HLOOKUP(AP$17,Power_Gen_Mix!$B$3:$S$9,ROW(Power_Gen_Mix!$A7)-ROW(Power_Gen_Mix!$A$3)+1,FALSE)</f>
        <v>0.33909384736336373</v>
      </c>
      <c r="AQ23" s="304">
        <f>HLOOKUP(AQ$17,Power_Gen_Mix!$B$3:$S$9,ROW(Power_Gen_Mix!$A7)-ROW(Power_Gen_Mix!$A$3)+1,FALSE)</f>
        <v>0.33909384736336373</v>
      </c>
      <c r="AR23" s="304">
        <f>HLOOKUP(AR$17,Power_Gen_Mix!$B$3:$S$9,ROW(Power_Gen_Mix!$A7)-ROW(Power_Gen_Mix!$A$3)+1,FALSE)</f>
        <v>0.33909384736336373</v>
      </c>
      <c r="AS23" s="304">
        <f>HLOOKUP(AS$17,Power_Gen_Mix!$B$3:$S$9,ROW(Power_Gen_Mix!$A7)-ROW(Power_Gen_Mix!$A$3)+1,FALSE)</f>
        <v>0</v>
      </c>
      <c r="AT23" s="304">
        <f>HLOOKUP(AT$17,Power_Gen_Mix!$B$3:$S$9,ROW(Power_Gen_Mix!$A7)-ROW(Power_Gen_Mix!$A$3)+1,FALSE)</f>
        <v>0</v>
      </c>
      <c r="AU23" s="304">
        <f>HLOOKUP(AU$17,Power_Gen_Mix!$B$3:$S$9,ROW(Power_Gen_Mix!$A7)-ROW(Power_Gen_Mix!$A$3)+1,FALSE)</f>
        <v>0.33909384736336373</v>
      </c>
      <c r="AV23" s="304">
        <f>HLOOKUP(AV$17,Power_Gen_Mix!$B$3:$S$9,ROW(Power_Gen_Mix!$A7)-ROW(Power_Gen_Mix!$A$3)+1,FALSE)</f>
        <v>0.33909384736336373</v>
      </c>
      <c r="AW23" s="304">
        <f>HLOOKUP(AW$17,Power_Gen_Mix!$B$3:$S$9,ROW(Power_Gen_Mix!$A7)-ROW(Power_Gen_Mix!$A$3)+1,FALSE)</f>
        <v>0.33909384736336373</v>
      </c>
      <c r="AX23" s="304">
        <f>HLOOKUP(AX$17,Power_Gen_Mix!$B$3:$S$9,ROW(Power_Gen_Mix!$A7)-ROW(Power_Gen_Mix!$A$3)+1,FALSE)</f>
        <v>0.33909384736336373</v>
      </c>
      <c r="AY23" s="304">
        <f>HLOOKUP(AY$17,Power_Gen_Mix!$B$3:$S$9,ROW(Power_Gen_Mix!$A7)-ROW(Power_Gen_Mix!$A$3)+1,FALSE)</f>
        <v>0.33909384736336373</v>
      </c>
      <c r="AZ23" s="304">
        <f>HLOOKUP(AZ$17,Power_Gen_Mix!$B$3:$S$9,ROW(Power_Gen_Mix!$A7)-ROW(Power_Gen_Mix!$A$3)+1,FALSE)</f>
        <v>0.33909384736336373</v>
      </c>
      <c r="BA23" s="304">
        <f>HLOOKUP(BA$17,Power_Gen_Mix!$B$3:$S$9,ROW(Power_Gen_Mix!$A7)-ROW(Power_Gen_Mix!$A$3)+1,FALSE)</f>
        <v>0.33909384736336373</v>
      </c>
      <c r="BB23" s="304">
        <f>HLOOKUP(BB$17,Power_Gen_Mix!$B$3:$S$9,ROW(Power_Gen_Mix!$A7)-ROW(Power_Gen_Mix!$A$3)+1,FALSE)</f>
        <v>0.33909384736336373</v>
      </c>
      <c r="BC23" s="304">
        <f>HLOOKUP(BC$17,Power_Gen_Mix!$B$3:$S$9,ROW(Power_Gen_Mix!$A7)-ROW(Power_Gen_Mix!$A$3)+1,FALSE)</f>
        <v>0.33909384736336373</v>
      </c>
      <c r="BD23" s="304">
        <f>HLOOKUP(BD$17,Power_Gen_Mix!$B$3:$S$9,ROW(Power_Gen_Mix!$A7)-ROW(Power_Gen_Mix!$A$3)+1,FALSE)</f>
        <v>0.33909384736336373</v>
      </c>
      <c r="BE23" s="304">
        <f>HLOOKUP(BE$17,Power_Gen_Mix!$B$3:$S$9,ROW(Power_Gen_Mix!$A7)-ROW(Power_Gen_Mix!$A$3)+1,FALSE)</f>
        <v>0.33909384736336373</v>
      </c>
      <c r="BF23" s="304">
        <f>HLOOKUP(BF$17,Power_Gen_Mix!$B$3:$S$9,ROW(Power_Gen_Mix!$A7)-ROW(Power_Gen_Mix!$A$3)+1,FALSE)</f>
        <v>0.33909384736336373</v>
      </c>
      <c r="BG23" s="304">
        <f>HLOOKUP(BG$17,Power_Gen_Mix!$B$3:$S$9,ROW(Power_Gen_Mix!$A7)-ROW(Power_Gen_Mix!$A$3)+1,FALSE)</f>
        <v>0.33909384736336373</v>
      </c>
      <c r="BH23" s="304">
        <f>HLOOKUP(BH$17,Power_Gen_Mix!$B$3:$S$9,ROW(Power_Gen_Mix!$A7)-ROW(Power_Gen_Mix!$A$3)+1,FALSE)</f>
        <v>0.33909384736336373</v>
      </c>
      <c r="BI23" s="304">
        <f>HLOOKUP(BI$17,Power_Gen_Mix!$B$3:$S$9,ROW(Power_Gen_Mix!$A7)-ROW(Power_Gen_Mix!$A$3)+1,FALSE)</f>
        <v>0.33909384736336373</v>
      </c>
      <c r="BJ23" s="304">
        <f>HLOOKUP(BJ$17,Power_Gen_Mix!$B$3:$S$9,ROW(Power_Gen_Mix!$A7)-ROW(Power_Gen_Mix!$A$3)+1,FALSE)</f>
        <v>0.33909384736336373</v>
      </c>
      <c r="BK23" s="304">
        <f>HLOOKUP(BK$17,Power_Gen_Mix!$B$3:$S$9,ROW(Power_Gen_Mix!$A7)-ROW(Power_Gen_Mix!$A$3)+1,FALSE)</f>
        <v>0.33909384736336373</v>
      </c>
      <c r="BL23" s="304">
        <f>HLOOKUP(BL$17,Power_Gen_Mix!$B$3:$S$9,ROW(Power_Gen_Mix!$A7)-ROW(Power_Gen_Mix!$A$3)+1,FALSE)</f>
        <v>0.33909384736336373</v>
      </c>
      <c r="BM23" s="304">
        <f>HLOOKUP(BM$17,Power_Gen_Mix!$B$3:$S$9,ROW(Power_Gen_Mix!$A7)-ROW(Power_Gen_Mix!$A$3)+1,FALSE)</f>
        <v>0.33909384736336373</v>
      </c>
      <c r="BN23" s="304">
        <f>HLOOKUP(BN$17,Power_Gen_Mix!$B$3:$S$9,ROW(Power_Gen_Mix!$A7)-ROW(Power_Gen_Mix!$A$3)+1,FALSE)</f>
        <v>0.33909384736336373</v>
      </c>
      <c r="BO23" s="304">
        <f>HLOOKUP(BO$17,Power_Gen_Mix!$B$3:$S$9,ROW(Power_Gen_Mix!$A7)-ROW(Power_Gen_Mix!$A$3)+1,FALSE)</f>
        <v>0</v>
      </c>
      <c r="BP23" s="304">
        <f>HLOOKUP(BP$17,Power_Gen_Mix!$B$3:$S$9,ROW(Power_Gen_Mix!$A7)-ROW(Power_Gen_Mix!$A$3)+1,FALSE)</f>
        <v>0</v>
      </c>
      <c r="BQ23" s="304">
        <f>HLOOKUP(BQ$17,Power_Gen_Mix!$B$3:$S$9,ROW(Power_Gen_Mix!$A7)-ROW(Power_Gen_Mix!$A$3)+1,FALSE)</f>
        <v>0.33909384736336373</v>
      </c>
      <c r="BR23" s="304">
        <f>HLOOKUP(BR$17,Power_Gen_Mix!$B$3:$S$9,ROW(Power_Gen_Mix!$A7)-ROW(Power_Gen_Mix!$A$3)+1,FALSE)</f>
        <v>0.33909384736336373</v>
      </c>
      <c r="BS23" s="304">
        <f>HLOOKUP(BS$17,Power_Gen_Mix!$B$3:$S$9,ROW(Power_Gen_Mix!$A7)-ROW(Power_Gen_Mix!$A$3)+1,FALSE)</f>
        <v>0.33909384736336373</v>
      </c>
      <c r="BT23" s="304">
        <f>HLOOKUP(BT$17,Power_Gen_Mix!$B$3:$S$9,ROW(Power_Gen_Mix!$A7)-ROW(Power_Gen_Mix!$A$3)+1,FALSE)</f>
        <v>0.33909384736336373</v>
      </c>
      <c r="BU23" s="304">
        <f>HLOOKUP(BU$17,Power_Gen_Mix!$B$3:$S$9,ROW(Power_Gen_Mix!$A7)-ROW(Power_Gen_Mix!$A$3)+1,FALSE)</f>
        <v>0.33909384736336373</v>
      </c>
      <c r="BV23" s="304">
        <f>HLOOKUP(BV$17,Power_Gen_Mix!$B$3:$S$9,ROW(Power_Gen_Mix!$A7)-ROW(Power_Gen_Mix!$A$3)+1,FALSE)</f>
        <v>0.33909384736336373</v>
      </c>
      <c r="BW23" s="304">
        <f>HLOOKUP(BW$17,Power_Gen_Mix!$B$3:$S$9,ROW(Power_Gen_Mix!$A7)-ROW(Power_Gen_Mix!$A$3)+1,FALSE)</f>
        <v>0.33909384736336373</v>
      </c>
      <c r="BX23" s="304">
        <f>HLOOKUP(BX$17,Power_Gen_Mix!$B$3:$S$9,ROW(Power_Gen_Mix!$A7)-ROW(Power_Gen_Mix!$A$3)+1,FALSE)</f>
        <v>0</v>
      </c>
      <c r="BY23" s="304">
        <f>HLOOKUP(BY$17,Power_Gen_Mix!$B$3:$S$9,ROW(Power_Gen_Mix!$A7)-ROW(Power_Gen_Mix!$A$3)+1,FALSE)</f>
        <v>0</v>
      </c>
      <c r="BZ23" s="304">
        <f>HLOOKUP(BZ$17,Power_Gen_Mix!$B$3:$S$9,ROW(Power_Gen_Mix!$A7)-ROW(Power_Gen_Mix!$A$3)+1,FALSE)</f>
        <v>0.33909384736336373</v>
      </c>
      <c r="CA23" s="304">
        <f>HLOOKUP(CA$17,Power_Gen_Mix!$B$3:$S$9,ROW(Power_Gen_Mix!$A7)-ROW(Power_Gen_Mix!$A$3)+1,FALSE)</f>
        <v>0.33909384736336373</v>
      </c>
      <c r="CB23" s="304">
        <f>HLOOKUP(CB$17,Power_Gen_Mix!$B$3:$S$9,ROW(Power_Gen_Mix!$A7)-ROW(Power_Gen_Mix!$A$3)+1,FALSE)</f>
        <v>0.33909384736336373</v>
      </c>
      <c r="CC23" s="304">
        <f>HLOOKUP(CC$17,Power_Gen_Mix!$B$3:$S$9,ROW(Power_Gen_Mix!$A7)-ROW(Power_Gen_Mix!$A$3)+1,FALSE)</f>
        <v>0.33909384736336373</v>
      </c>
      <c r="CD23" s="304">
        <f>HLOOKUP(CD$17,Power_Gen_Mix!$B$3:$S$9,ROW(Power_Gen_Mix!$A7)-ROW(Power_Gen_Mix!$A$3)+1,FALSE)</f>
        <v>0.33909384736336373</v>
      </c>
      <c r="CE23" s="304">
        <f>HLOOKUP(CE$17,Power_Gen_Mix!$B$3:$S$9,ROW(Power_Gen_Mix!$A7)-ROW(Power_Gen_Mix!$A$3)+1,FALSE)</f>
        <v>0.33909384736336373</v>
      </c>
      <c r="CF23" s="304">
        <f>HLOOKUP(CF$17,Power_Gen_Mix!$B$3:$S$9,ROW(Power_Gen_Mix!$A7)-ROW(Power_Gen_Mix!$A$3)+1,FALSE)</f>
        <v>0.33909384736336373</v>
      </c>
      <c r="CG23" s="304">
        <f>HLOOKUP(CG$17,Power_Gen_Mix!$B$3:$S$9,ROW(Power_Gen_Mix!$A7)-ROW(Power_Gen_Mix!$A$3)+1,FALSE)</f>
        <v>0.33909384736336373</v>
      </c>
      <c r="CH23" s="304">
        <f>HLOOKUP(CH$17,Power_Gen_Mix!$B$3:$S$9,ROW(Power_Gen_Mix!$A7)-ROW(Power_Gen_Mix!$A$3)+1,FALSE)</f>
        <v>0.33909384736336373</v>
      </c>
      <c r="CI23" s="304">
        <f>HLOOKUP(CI$17,Power_Gen_Mix!$B$3:$S$9,ROW(Power_Gen_Mix!$A7)-ROW(Power_Gen_Mix!$A$3)+1,FALSE)</f>
        <v>0.33909384736336373</v>
      </c>
      <c r="CJ23" s="304">
        <f>HLOOKUP(CJ$17,Power_Gen_Mix!$B$3:$S$9,ROW(Power_Gen_Mix!$A7)-ROW(Power_Gen_Mix!$A$3)+1,FALSE)</f>
        <v>0.33909384736336373</v>
      </c>
      <c r="CK23" s="304">
        <f>HLOOKUP(CK$17,Power_Gen_Mix!$B$3:$S$9,ROW(Power_Gen_Mix!$A7)-ROW(Power_Gen_Mix!$A$3)+1,FALSE)</f>
        <v>0.33909384736336373</v>
      </c>
      <c r="CL23" s="304">
        <f>HLOOKUP(CL$17,Power_Gen_Mix!$B$3:$S$9,ROW(Power_Gen_Mix!$A7)-ROW(Power_Gen_Mix!$A$3)+1,FALSE)</f>
        <v>0.33909384736336373</v>
      </c>
      <c r="CM23" s="304">
        <f>HLOOKUP(CM$17,Power_Gen_Mix!$B$3:$S$9,ROW(Power_Gen_Mix!$A7)-ROW(Power_Gen_Mix!$A$3)+1,FALSE)</f>
        <v>0.33909384736336373</v>
      </c>
      <c r="CN23" s="304">
        <f>HLOOKUP(CN$17,Power_Gen_Mix!$B$3:$S$9,ROW(Power_Gen_Mix!$A7)-ROW(Power_Gen_Mix!$A$3)+1,FALSE)</f>
        <v>0.33909384736336373</v>
      </c>
      <c r="CO23" s="304">
        <f>HLOOKUP(CO$17,Power_Gen_Mix!$B$3:$S$9,ROW(Power_Gen_Mix!$A7)-ROW(Power_Gen_Mix!$A$3)+1,FALSE)</f>
        <v>0.33909384736336373</v>
      </c>
      <c r="CP23" s="304">
        <f>HLOOKUP(CP$17,Power_Gen_Mix!$B$3:$S$9,ROW(Power_Gen_Mix!$A7)-ROW(Power_Gen_Mix!$A$3)+1,FALSE)</f>
        <v>0.33909384736336373</v>
      </c>
      <c r="CQ23" s="304">
        <f>HLOOKUP(CQ$17,Power_Gen_Mix!$B$3:$S$9,ROW(Power_Gen_Mix!$A7)-ROW(Power_Gen_Mix!$A$3)+1,FALSE)</f>
        <v>0.33909384736336373</v>
      </c>
      <c r="CR23" s="304">
        <f>HLOOKUP(CR$17,Power_Gen_Mix!$B$3:$S$9,ROW(Power_Gen_Mix!$A7)-ROW(Power_Gen_Mix!$A$3)+1,FALSE)</f>
        <v>0.33909384736336373</v>
      </c>
      <c r="CS23" s="304">
        <f>HLOOKUP(CS$17,Power_Gen_Mix!$B$3:$S$9,ROW(Power_Gen_Mix!$A7)-ROW(Power_Gen_Mix!$A$3)+1,FALSE)</f>
        <v>0.33909384736336373</v>
      </c>
      <c r="CT23" s="304">
        <f>HLOOKUP(CT$17,Power_Gen_Mix!$B$3:$S$9,ROW(Power_Gen_Mix!$A7)-ROW(Power_Gen_Mix!$A$3)+1,FALSE)</f>
        <v>0.33909384736336373</v>
      </c>
      <c r="CU23" s="304">
        <f>HLOOKUP(CU$17,Power_Gen_Mix!$B$3:$S$9,ROW(Power_Gen_Mix!$A7)-ROW(Power_Gen_Mix!$A$3)+1,FALSE)</f>
        <v>0.33909384736336373</v>
      </c>
      <c r="CV23" s="304">
        <f>HLOOKUP(CV$17,Power_Gen_Mix!$B$3:$S$9,ROW(Power_Gen_Mix!$A7)-ROW(Power_Gen_Mix!$A$3)+1,FALSE)</f>
        <v>0.33909384736336373</v>
      </c>
      <c r="CW23" s="304">
        <f>HLOOKUP(CW$17,Power_Gen_Mix!$B$3:$S$9,ROW(Power_Gen_Mix!$A7)-ROW(Power_Gen_Mix!$A$3)+1,FALSE)</f>
        <v>0.33909384736336373</v>
      </c>
      <c r="CX23" s="304">
        <f>HLOOKUP(CX$17,Power_Gen_Mix!$B$3:$S$9,ROW(Power_Gen_Mix!$A7)-ROW(Power_Gen_Mix!$A$3)+1,FALSE)</f>
        <v>0.33909384736336373</v>
      </c>
      <c r="CY23" s="304">
        <f>HLOOKUP(CY$17,Power_Gen_Mix!$B$3:$S$9,ROW(Power_Gen_Mix!$A7)-ROW(Power_Gen_Mix!$A$3)+1,FALSE)</f>
        <v>0.33909384736336373</v>
      </c>
      <c r="CZ23" s="304">
        <f>HLOOKUP(CZ$17,Power_Gen_Mix!$B$3:$S$9,ROW(Power_Gen_Mix!$A7)-ROW(Power_Gen_Mix!$A$3)+1,FALSE)</f>
        <v>0.33909384736336373</v>
      </c>
      <c r="DA23" s="304">
        <f>HLOOKUP(DA$17,Power_Gen_Mix!$B$3:$S$9,ROW(Power_Gen_Mix!$A7)-ROW(Power_Gen_Mix!$A$3)+1,FALSE)</f>
        <v>0.33909384736336373</v>
      </c>
      <c r="DB23" s="304">
        <f>HLOOKUP(DB$17,Power_Gen_Mix!$B$3:$S$9,ROW(Power_Gen_Mix!$A7)-ROW(Power_Gen_Mix!$A$3)+1,FALSE)</f>
        <v>0.33909384736336373</v>
      </c>
      <c r="DC23" s="304">
        <f>HLOOKUP(DC$17,Power_Gen_Mix!$B$3:$S$9,ROW(Power_Gen_Mix!$A7)-ROW(Power_Gen_Mix!$A$3)+1,FALSE)</f>
        <v>0.33909384736336373</v>
      </c>
      <c r="DD23" s="304">
        <f>HLOOKUP(DD$17,Power_Gen_Mix!$B$3:$S$9,ROW(Power_Gen_Mix!$A7)-ROW(Power_Gen_Mix!$A$3)+1,FALSE)</f>
        <v>0.33909384736336373</v>
      </c>
      <c r="DE23" s="304">
        <f>HLOOKUP(DE$17,Power_Gen_Mix!$B$3:$S$9,ROW(Power_Gen_Mix!$A7)-ROW(Power_Gen_Mix!$A$3)+1,FALSE)</f>
        <v>0.33909384736336373</v>
      </c>
      <c r="DF23" s="304">
        <f>HLOOKUP(DF$17,Power_Gen_Mix!$B$3:$S$9,ROW(Power_Gen_Mix!$A7)-ROW(Power_Gen_Mix!$A$3)+1,FALSE)</f>
        <v>0.33909384736336373</v>
      </c>
      <c r="DG23" s="304"/>
      <c r="DH23" s="304">
        <f>HLOOKUP(DH$17,Power_Gen_Mix!$B$3:$S$9,ROW(Power_Gen_Mix!$A7)-ROW(Power_Gen_Mix!$A$3)+1,FALSE)</f>
        <v>0.33909384736336373</v>
      </c>
      <c r="DI23" s="304">
        <f>HLOOKUP(DI$17,Power_Gen_Mix!$B$3:$S$9,ROW(Power_Gen_Mix!$A7)-ROW(Power_Gen_Mix!$A$3)+1,FALSE)</f>
        <v>0.33909384736336373</v>
      </c>
      <c r="DJ23" s="304">
        <f>HLOOKUP(DJ$17,Power_Gen_Mix!$B$3:$S$9,ROW(Power_Gen_Mix!$A7)-ROW(Power_Gen_Mix!$A$3)+1,FALSE)</f>
        <v>0.33909384736336373</v>
      </c>
      <c r="DK23" s="304">
        <f>HLOOKUP(DK$17,Power_Gen_Mix!$B$3:$S$9,ROW(Power_Gen_Mix!$A7)-ROW(Power_Gen_Mix!$A$3)+1,FALSE)</f>
        <v>0.33909384736336373</v>
      </c>
      <c r="DL23" s="304">
        <f>HLOOKUP(DL$17,Power_Gen_Mix!$B$3:$S$9,ROW(Power_Gen_Mix!$A7)-ROW(Power_Gen_Mix!$A$3)+1,FALSE)</f>
        <v>0.33909384736336373</v>
      </c>
      <c r="DM23" s="304">
        <f>HLOOKUP(DM$17,Power_Gen_Mix!$B$3:$S$9,ROW(Power_Gen_Mix!$A7)-ROW(Power_Gen_Mix!$A$3)+1,FALSE)</f>
        <v>0.33909384736336373</v>
      </c>
      <c r="DN23" s="304">
        <f>HLOOKUP(DN$17,Power_Gen_Mix!$B$3:$S$9,ROW(Power_Gen_Mix!$A7)-ROW(Power_Gen_Mix!$A$3)+1,FALSE)</f>
        <v>0.33909384736336373</v>
      </c>
      <c r="DO23" s="304">
        <f>HLOOKUP(DO$17,Power_Gen_Mix!$B$3:$S$9,ROW(Power_Gen_Mix!$A7)-ROW(Power_Gen_Mix!$A$3)+1,FALSE)</f>
        <v>0.33909384736336373</v>
      </c>
      <c r="DP23" s="304">
        <f>HLOOKUP(DP$17,Power_Gen_Mix!$B$3:$S$9,ROW(Power_Gen_Mix!$A7)-ROW(Power_Gen_Mix!$A$3)+1,FALSE)</f>
        <v>0.33909384736336373</v>
      </c>
      <c r="DQ23" s="304">
        <f>HLOOKUP(DQ$17,Power_Gen_Mix!$B$3:$S$9,ROW(Power_Gen_Mix!$A7)-ROW(Power_Gen_Mix!$A$3)+1,FALSE)</f>
        <v>0.33909384736336373</v>
      </c>
      <c r="DR23" s="304">
        <f>HLOOKUP(DR$17,Power_Gen_Mix!$B$3:$S$9,ROW(Power_Gen_Mix!$A7)-ROW(Power_Gen_Mix!$A$3)+1,FALSE)</f>
        <v>0.33909384736336373</v>
      </c>
      <c r="DS23" s="304">
        <f>HLOOKUP(DS$17,Power_Gen_Mix!$B$3:$S$9,ROW(Power_Gen_Mix!$A7)-ROW(Power_Gen_Mix!$A$3)+1,FALSE)</f>
        <v>0</v>
      </c>
      <c r="DT23" s="304">
        <f>HLOOKUP(DT$17,Power_Gen_Mix!$B$3:$S$9,ROW(Power_Gen_Mix!$A7)-ROW(Power_Gen_Mix!$A$3)+1,FALSE)</f>
        <v>0.33909384736336373</v>
      </c>
      <c r="DU23" s="304">
        <f>HLOOKUP(DU$17,Power_Gen_Mix!$B$3:$S$9,ROW(Power_Gen_Mix!$A7)-ROW(Power_Gen_Mix!$A$3)+1,FALSE)</f>
        <v>0.33909384736336373</v>
      </c>
      <c r="DV23" s="304">
        <f>HLOOKUP(DV$17,Power_Gen_Mix!$B$3:$S$9,ROW(Power_Gen_Mix!$A7)-ROW(Power_Gen_Mix!$A$3)+1,FALSE)</f>
        <v>0.33909384736336373</v>
      </c>
      <c r="DW23" s="304">
        <f>HLOOKUP(DW$17,Power_Gen_Mix!$B$3:$S$9,ROW(Power_Gen_Mix!$A7)-ROW(Power_Gen_Mix!$A$3)+1,FALSE)</f>
        <v>0.33909384736336373</v>
      </c>
      <c r="DX23" s="304">
        <f>HLOOKUP(DX$17,Power_Gen_Mix!$B$3:$S$9,ROW(Power_Gen_Mix!$A7)-ROW(Power_Gen_Mix!$A$3)+1,FALSE)</f>
        <v>0.33909384736336373</v>
      </c>
      <c r="DY23" s="304">
        <f>HLOOKUP(DY$17,Power_Gen_Mix!$B$3:$S$9,ROW(Power_Gen_Mix!$A7)-ROW(Power_Gen_Mix!$A$3)+1,FALSE)</f>
        <v>0.33909384736336373</v>
      </c>
      <c r="DZ23" s="304">
        <f>HLOOKUP(DZ$17,Power_Gen_Mix!$B$3:$S$9,ROW(Power_Gen_Mix!$A7)-ROW(Power_Gen_Mix!$A$3)+1,FALSE)</f>
        <v>0.33909384736336373</v>
      </c>
      <c r="EA23" s="304">
        <f>HLOOKUP(EA$17,Power_Gen_Mix!$B$3:$S$9,ROW(Power_Gen_Mix!$A7)-ROW(Power_Gen_Mix!$A$3)+1,FALSE)</f>
        <v>0.33909384736336373</v>
      </c>
      <c r="EB23" s="304">
        <f>HLOOKUP(EB$17,Power_Gen_Mix!$B$3:$S$9,ROW(Power_Gen_Mix!$A7)-ROW(Power_Gen_Mix!$A$3)+1,FALSE)</f>
        <v>0.33909384736336373</v>
      </c>
      <c r="EC23" s="304">
        <f>HLOOKUP(EC$17,Power_Gen_Mix!$B$3:$S$9,ROW(Power_Gen_Mix!$A7)-ROW(Power_Gen_Mix!$A$3)+1,FALSE)</f>
        <v>0.33909384736336373</v>
      </c>
      <c r="ED23" s="304">
        <f>HLOOKUP(ED$17,Power_Gen_Mix!$B$3:$S$9,ROW(Power_Gen_Mix!$A7)-ROW(Power_Gen_Mix!$A$3)+1,FALSE)</f>
        <v>0.33909384736336373</v>
      </c>
    </row>
    <row r="24" spans="1:156" x14ac:dyDescent="0.3">
      <c r="A24" s="21" t="s">
        <v>837</v>
      </c>
      <c r="D24" s="304">
        <f>HLOOKUP(D$17,Power_Gen_Mix!$B$3:$S$9,ROW(Power_Gen_Mix!$A8)-ROW(Power_Gen_Mix!$A$3)+1,FALSE)</f>
        <v>0.16009084820778616</v>
      </c>
      <c r="E24" s="304">
        <f>HLOOKUP(E$17,Power_Gen_Mix!$B$3:$S$9,ROW(Power_Gen_Mix!$A8)-ROW(Power_Gen_Mix!$A$3)+1,FALSE)</f>
        <v>0</v>
      </c>
      <c r="F24" s="304">
        <f>HLOOKUP(F$17,Power_Gen_Mix!$B$3:$S$9,ROW(Power_Gen_Mix!$A8)-ROW(Power_Gen_Mix!$A$3)+1,FALSE)</f>
        <v>0</v>
      </c>
      <c r="G24" s="304">
        <f>HLOOKUP(G$17,Power_Gen_Mix!$B$3:$S$9,ROW(Power_Gen_Mix!$A8)-ROW(Power_Gen_Mix!$A$3)+1,FALSE)</f>
        <v>0.16009084820778616</v>
      </c>
      <c r="H24" s="304">
        <f>HLOOKUP(H$17,Power_Gen_Mix!$B$3:$S$9,ROW(Power_Gen_Mix!$A8)-ROW(Power_Gen_Mix!$A$3)+1,FALSE)</f>
        <v>0.16009084820778616</v>
      </c>
      <c r="I24" s="304">
        <f>HLOOKUP(I$17,Power_Gen_Mix!$B$3:$S$9,ROW(Power_Gen_Mix!$A8)-ROW(Power_Gen_Mix!$A$3)+1,FALSE)</f>
        <v>0.16009084820778616</v>
      </c>
      <c r="J24" s="304">
        <f>HLOOKUP(J$17,Power_Gen_Mix!$B$3:$S$9,ROW(Power_Gen_Mix!$A8)-ROW(Power_Gen_Mix!$A$3)+1,FALSE)</f>
        <v>0.16009084820778616</v>
      </c>
      <c r="K24" s="304">
        <f>HLOOKUP(K$17,Power_Gen_Mix!$B$3:$S$9,ROW(Power_Gen_Mix!$A8)-ROW(Power_Gen_Mix!$A$3)+1,FALSE)</f>
        <v>0.16009084820778616</v>
      </c>
      <c r="L24" s="304">
        <f>HLOOKUP(L$17,Power_Gen_Mix!$B$3:$S$9,ROW(Power_Gen_Mix!$A8)-ROW(Power_Gen_Mix!$A$3)+1,FALSE)</f>
        <v>0.16009084820778616</v>
      </c>
      <c r="M24" s="304">
        <f>HLOOKUP(M$17,Power_Gen_Mix!$B$3:$S$9,ROW(Power_Gen_Mix!$A8)-ROW(Power_Gen_Mix!$A$3)+1,FALSE)</f>
        <v>0.16009084820778616</v>
      </c>
      <c r="N24" s="304">
        <f>HLOOKUP(N$17,Power_Gen_Mix!$B$3:$S$9,ROW(Power_Gen_Mix!$A8)-ROW(Power_Gen_Mix!$A$3)+1,FALSE)</f>
        <v>0.16009084820778616</v>
      </c>
      <c r="O24" s="304">
        <f>HLOOKUP(O$17,Power_Gen_Mix!$B$3:$S$9,ROW(Power_Gen_Mix!$A8)-ROW(Power_Gen_Mix!$A$3)+1,FALSE)</f>
        <v>0.16009084820778616</v>
      </c>
      <c r="P24" s="304">
        <f>HLOOKUP(P$17,Power_Gen_Mix!$B$3:$S$9,ROW(Power_Gen_Mix!$A8)-ROW(Power_Gen_Mix!$A$3)+1,FALSE)</f>
        <v>0.16009084820778616</v>
      </c>
      <c r="Q24" s="304">
        <f>HLOOKUP(Q$17,Power_Gen_Mix!$B$3:$S$9,ROW(Power_Gen_Mix!$A8)-ROW(Power_Gen_Mix!$A$3)+1,FALSE)</f>
        <v>0.16009084820778616</v>
      </c>
      <c r="R24" s="304">
        <f>HLOOKUP(R$17,Power_Gen_Mix!$B$3:$S$9,ROW(Power_Gen_Mix!$A8)-ROW(Power_Gen_Mix!$A$3)+1,FALSE)</f>
        <v>0.16009084820778616</v>
      </c>
      <c r="S24" s="304">
        <f>HLOOKUP(S$17,Power_Gen_Mix!$B$3:$S$9,ROW(Power_Gen_Mix!$A8)-ROW(Power_Gen_Mix!$A$3)+1,FALSE)</f>
        <v>0.16009084820778616</v>
      </c>
      <c r="T24" s="304">
        <f>HLOOKUP(T$17,Power_Gen_Mix!$B$3:$S$9,ROW(Power_Gen_Mix!$A8)-ROW(Power_Gen_Mix!$A$3)+1,FALSE)</f>
        <v>0.16009084820778616</v>
      </c>
      <c r="U24" s="304">
        <f>HLOOKUP(U$17,Power_Gen_Mix!$B$3:$S$9,ROW(Power_Gen_Mix!$A8)-ROW(Power_Gen_Mix!$A$3)+1,FALSE)</f>
        <v>0</v>
      </c>
      <c r="V24" s="304">
        <f>HLOOKUP(V$17,Power_Gen_Mix!$B$3:$S$9,ROW(Power_Gen_Mix!$A8)-ROW(Power_Gen_Mix!$A$3)+1,FALSE)</f>
        <v>0</v>
      </c>
      <c r="W24" s="304">
        <f>HLOOKUP(W$17,Power_Gen_Mix!$B$3:$S$9,ROW(Power_Gen_Mix!$A8)-ROW(Power_Gen_Mix!$A$3)+1,FALSE)</f>
        <v>0.16009084820778616</v>
      </c>
      <c r="X24" s="304">
        <f>HLOOKUP(X$17,Power_Gen_Mix!$B$3:$S$9,ROW(Power_Gen_Mix!$A8)-ROW(Power_Gen_Mix!$A$3)+1,FALSE)</f>
        <v>0</v>
      </c>
      <c r="Y24" s="304">
        <f>HLOOKUP(Y$17,Power_Gen_Mix!$B$3:$S$9,ROW(Power_Gen_Mix!$A8)-ROW(Power_Gen_Mix!$A$3)+1,FALSE)</f>
        <v>0</v>
      </c>
      <c r="Z24" s="304">
        <f>HLOOKUP(Z$17,Power_Gen_Mix!$B$3:$S$9,ROW(Power_Gen_Mix!$A8)-ROW(Power_Gen_Mix!$A$3)+1,FALSE)</f>
        <v>0.16009084820778616</v>
      </c>
      <c r="AA24" s="304">
        <f>HLOOKUP(AA$17,Power_Gen_Mix!$B$3:$S$9,ROW(Power_Gen_Mix!$A8)-ROW(Power_Gen_Mix!$A$3)+1,FALSE)</f>
        <v>0.16009084820778616</v>
      </c>
      <c r="AB24" s="304">
        <f>HLOOKUP(AB$17,Power_Gen_Mix!$B$3:$S$9,ROW(Power_Gen_Mix!$A8)-ROW(Power_Gen_Mix!$A$3)+1,FALSE)</f>
        <v>0.16009084820778616</v>
      </c>
      <c r="AC24" s="304">
        <f>HLOOKUP(AC$17,Power_Gen_Mix!$B$3:$S$9,ROW(Power_Gen_Mix!$A8)-ROW(Power_Gen_Mix!$A$3)+1,FALSE)</f>
        <v>0.16009084820778616</v>
      </c>
      <c r="AD24" s="304">
        <f>HLOOKUP(AD$17,Power_Gen_Mix!$B$3:$S$9,ROW(Power_Gen_Mix!$A8)-ROW(Power_Gen_Mix!$A$3)+1,FALSE)</f>
        <v>0.16009084820778616</v>
      </c>
      <c r="AE24" s="304">
        <f>HLOOKUP(AE$17,Power_Gen_Mix!$B$3:$S$9,ROW(Power_Gen_Mix!$A8)-ROW(Power_Gen_Mix!$A$3)+1,FALSE)</f>
        <v>0.16009084820778616</v>
      </c>
      <c r="AF24" s="304">
        <f>HLOOKUP(AF$17,Power_Gen_Mix!$B$3:$S$9,ROW(Power_Gen_Mix!$A8)-ROW(Power_Gen_Mix!$A$3)+1,FALSE)</f>
        <v>1.4174261904125914E-2</v>
      </c>
      <c r="AG24" s="304">
        <f>HLOOKUP(AG$17,Power_Gen_Mix!$B$3:$S$9,ROW(Power_Gen_Mix!$A8)-ROW(Power_Gen_Mix!$A$3)+1,FALSE)</f>
        <v>0.16009084820778616</v>
      </c>
      <c r="AH24" s="304">
        <f>HLOOKUP(AH$17,Power_Gen_Mix!$B$3:$S$9,ROW(Power_Gen_Mix!$A8)-ROW(Power_Gen_Mix!$A$3)+1,FALSE)</f>
        <v>0.16009084820778616</v>
      </c>
      <c r="AI24" s="304">
        <f>HLOOKUP(AI$17,Power_Gen_Mix!$B$3:$S$9,ROW(Power_Gen_Mix!$A8)-ROW(Power_Gen_Mix!$A$3)+1,FALSE)</f>
        <v>0.16009084820778616</v>
      </c>
      <c r="AJ24" s="304">
        <f>HLOOKUP(AJ$17,Power_Gen_Mix!$B$3:$S$9,ROW(Power_Gen_Mix!$A8)-ROW(Power_Gen_Mix!$A$3)+1,FALSE)</f>
        <v>0.16009084820778616</v>
      </c>
      <c r="AK24" s="304">
        <f>HLOOKUP(AK$17,Power_Gen_Mix!$B$3:$S$9,ROW(Power_Gen_Mix!$A8)-ROW(Power_Gen_Mix!$A$3)+1,FALSE)</f>
        <v>0.16009084820778616</v>
      </c>
      <c r="AL24" s="304">
        <f>HLOOKUP(AL$17,Power_Gen_Mix!$B$3:$S$9,ROW(Power_Gen_Mix!$A8)-ROW(Power_Gen_Mix!$A$3)+1,FALSE)</f>
        <v>0.16009084820778616</v>
      </c>
      <c r="AM24" s="304">
        <f>HLOOKUP(AM$17,Power_Gen_Mix!$B$3:$S$9,ROW(Power_Gen_Mix!$A8)-ROW(Power_Gen_Mix!$A$3)+1,FALSE)</f>
        <v>0.16009084820778616</v>
      </c>
      <c r="AN24" s="304">
        <f>HLOOKUP(AN$17,Power_Gen_Mix!$B$3:$S$9,ROW(Power_Gen_Mix!$A8)-ROW(Power_Gen_Mix!$A$3)+1,FALSE)</f>
        <v>0.16009084820778616</v>
      </c>
      <c r="AO24" s="304">
        <f>HLOOKUP(AO$17,Power_Gen_Mix!$B$3:$S$9,ROW(Power_Gen_Mix!$A8)-ROW(Power_Gen_Mix!$A$3)+1,FALSE)</f>
        <v>0.16009084820778616</v>
      </c>
      <c r="AP24" s="304">
        <f>HLOOKUP(AP$17,Power_Gen_Mix!$B$3:$S$9,ROW(Power_Gen_Mix!$A8)-ROW(Power_Gen_Mix!$A$3)+1,FALSE)</f>
        <v>0.16009084820778616</v>
      </c>
      <c r="AQ24" s="304">
        <f>HLOOKUP(AQ$17,Power_Gen_Mix!$B$3:$S$9,ROW(Power_Gen_Mix!$A8)-ROW(Power_Gen_Mix!$A$3)+1,FALSE)</f>
        <v>0.16009084820778616</v>
      </c>
      <c r="AR24" s="304">
        <f>HLOOKUP(AR$17,Power_Gen_Mix!$B$3:$S$9,ROW(Power_Gen_Mix!$A8)-ROW(Power_Gen_Mix!$A$3)+1,FALSE)</f>
        <v>0.16009084820778616</v>
      </c>
      <c r="AS24" s="304">
        <f>HLOOKUP(AS$17,Power_Gen_Mix!$B$3:$S$9,ROW(Power_Gen_Mix!$A8)-ROW(Power_Gen_Mix!$A$3)+1,FALSE)</f>
        <v>0</v>
      </c>
      <c r="AT24" s="304">
        <f>HLOOKUP(AT$17,Power_Gen_Mix!$B$3:$S$9,ROW(Power_Gen_Mix!$A8)-ROW(Power_Gen_Mix!$A$3)+1,FALSE)</f>
        <v>0</v>
      </c>
      <c r="AU24" s="304">
        <f>HLOOKUP(AU$17,Power_Gen_Mix!$B$3:$S$9,ROW(Power_Gen_Mix!$A8)-ROW(Power_Gen_Mix!$A$3)+1,FALSE)</f>
        <v>0.16009084820778616</v>
      </c>
      <c r="AV24" s="304">
        <f>HLOOKUP(AV$17,Power_Gen_Mix!$B$3:$S$9,ROW(Power_Gen_Mix!$A8)-ROW(Power_Gen_Mix!$A$3)+1,FALSE)</f>
        <v>0.16009084820778616</v>
      </c>
      <c r="AW24" s="304">
        <f>HLOOKUP(AW$17,Power_Gen_Mix!$B$3:$S$9,ROW(Power_Gen_Mix!$A8)-ROW(Power_Gen_Mix!$A$3)+1,FALSE)</f>
        <v>0.16009084820778616</v>
      </c>
      <c r="AX24" s="304">
        <f>HLOOKUP(AX$17,Power_Gen_Mix!$B$3:$S$9,ROW(Power_Gen_Mix!$A8)-ROW(Power_Gen_Mix!$A$3)+1,FALSE)</f>
        <v>0.16009084820778616</v>
      </c>
      <c r="AY24" s="304">
        <f>HLOOKUP(AY$17,Power_Gen_Mix!$B$3:$S$9,ROW(Power_Gen_Mix!$A8)-ROW(Power_Gen_Mix!$A$3)+1,FALSE)</f>
        <v>0.16009084820778616</v>
      </c>
      <c r="AZ24" s="304">
        <f>HLOOKUP(AZ$17,Power_Gen_Mix!$B$3:$S$9,ROW(Power_Gen_Mix!$A8)-ROW(Power_Gen_Mix!$A$3)+1,FALSE)</f>
        <v>0.16009084820778616</v>
      </c>
      <c r="BA24" s="304">
        <f>HLOOKUP(BA$17,Power_Gen_Mix!$B$3:$S$9,ROW(Power_Gen_Mix!$A8)-ROW(Power_Gen_Mix!$A$3)+1,FALSE)</f>
        <v>0.16009084820778616</v>
      </c>
      <c r="BB24" s="304">
        <f>HLOOKUP(BB$17,Power_Gen_Mix!$B$3:$S$9,ROW(Power_Gen_Mix!$A8)-ROW(Power_Gen_Mix!$A$3)+1,FALSE)</f>
        <v>0.16009084820778616</v>
      </c>
      <c r="BC24" s="304">
        <f>HLOOKUP(BC$17,Power_Gen_Mix!$B$3:$S$9,ROW(Power_Gen_Mix!$A8)-ROW(Power_Gen_Mix!$A$3)+1,FALSE)</f>
        <v>0.16009084820778616</v>
      </c>
      <c r="BD24" s="304">
        <f>HLOOKUP(BD$17,Power_Gen_Mix!$B$3:$S$9,ROW(Power_Gen_Mix!$A8)-ROW(Power_Gen_Mix!$A$3)+1,FALSE)</f>
        <v>0.16009084820778616</v>
      </c>
      <c r="BE24" s="304">
        <f>HLOOKUP(BE$17,Power_Gen_Mix!$B$3:$S$9,ROW(Power_Gen_Mix!$A8)-ROW(Power_Gen_Mix!$A$3)+1,FALSE)</f>
        <v>0.16009084820778616</v>
      </c>
      <c r="BF24" s="304">
        <f>HLOOKUP(BF$17,Power_Gen_Mix!$B$3:$S$9,ROW(Power_Gen_Mix!$A8)-ROW(Power_Gen_Mix!$A$3)+1,FALSE)</f>
        <v>0.16009084820778616</v>
      </c>
      <c r="BG24" s="304">
        <f>HLOOKUP(BG$17,Power_Gen_Mix!$B$3:$S$9,ROW(Power_Gen_Mix!$A8)-ROW(Power_Gen_Mix!$A$3)+1,FALSE)</f>
        <v>0.16009084820778616</v>
      </c>
      <c r="BH24" s="304">
        <f>HLOOKUP(BH$17,Power_Gen_Mix!$B$3:$S$9,ROW(Power_Gen_Mix!$A8)-ROW(Power_Gen_Mix!$A$3)+1,FALSE)</f>
        <v>0.16009084820778616</v>
      </c>
      <c r="BI24" s="304">
        <f>HLOOKUP(BI$17,Power_Gen_Mix!$B$3:$S$9,ROW(Power_Gen_Mix!$A8)-ROW(Power_Gen_Mix!$A$3)+1,FALSE)</f>
        <v>0.16009084820778616</v>
      </c>
      <c r="BJ24" s="304">
        <f>HLOOKUP(BJ$17,Power_Gen_Mix!$B$3:$S$9,ROW(Power_Gen_Mix!$A8)-ROW(Power_Gen_Mix!$A$3)+1,FALSE)</f>
        <v>0.16009084820778616</v>
      </c>
      <c r="BK24" s="304">
        <f>HLOOKUP(BK$17,Power_Gen_Mix!$B$3:$S$9,ROW(Power_Gen_Mix!$A8)-ROW(Power_Gen_Mix!$A$3)+1,FALSE)</f>
        <v>0.16009084820778616</v>
      </c>
      <c r="BL24" s="304">
        <f>HLOOKUP(BL$17,Power_Gen_Mix!$B$3:$S$9,ROW(Power_Gen_Mix!$A8)-ROW(Power_Gen_Mix!$A$3)+1,FALSE)</f>
        <v>0.16009084820778616</v>
      </c>
      <c r="BM24" s="304">
        <f>HLOOKUP(BM$17,Power_Gen_Mix!$B$3:$S$9,ROW(Power_Gen_Mix!$A8)-ROW(Power_Gen_Mix!$A$3)+1,FALSE)</f>
        <v>0.16009084820778616</v>
      </c>
      <c r="BN24" s="304">
        <f>HLOOKUP(BN$17,Power_Gen_Mix!$B$3:$S$9,ROW(Power_Gen_Mix!$A8)-ROW(Power_Gen_Mix!$A$3)+1,FALSE)</f>
        <v>0.16009084820778616</v>
      </c>
      <c r="BO24" s="304">
        <f>HLOOKUP(BO$17,Power_Gen_Mix!$B$3:$S$9,ROW(Power_Gen_Mix!$A8)-ROW(Power_Gen_Mix!$A$3)+1,FALSE)</f>
        <v>0</v>
      </c>
      <c r="BP24" s="304">
        <f>HLOOKUP(BP$17,Power_Gen_Mix!$B$3:$S$9,ROW(Power_Gen_Mix!$A8)-ROW(Power_Gen_Mix!$A$3)+1,FALSE)</f>
        <v>0</v>
      </c>
      <c r="BQ24" s="304">
        <f>HLOOKUP(BQ$17,Power_Gen_Mix!$B$3:$S$9,ROW(Power_Gen_Mix!$A8)-ROW(Power_Gen_Mix!$A$3)+1,FALSE)</f>
        <v>0.16009084820778616</v>
      </c>
      <c r="BR24" s="304">
        <f>HLOOKUP(BR$17,Power_Gen_Mix!$B$3:$S$9,ROW(Power_Gen_Mix!$A8)-ROW(Power_Gen_Mix!$A$3)+1,FALSE)</f>
        <v>0.16009084820778616</v>
      </c>
      <c r="BS24" s="304">
        <f>HLOOKUP(BS$17,Power_Gen_Mix!$B$3:$S$9,ROW(Power_Gen_Mix!$A8)-ROW(Power_Gen_Mix!$A$3)+1,FALSE)</f>
        <v>0.16009084820778616</v>
      </c>
      <c r="BT24" s="304">
        <f>HLOOKUP(BT$17,Power_Gen_Mix!$B$3:$S$9,ROW(Power_Gen_Mix!$A8)-ROW(Power_Gen_Mix!$A$3)+1,FALSE)</f>
        <v>0.16009084820778616</v>
      </c>
      <c r="BU24" s="304">
        <f>HLOOKUP(BU$17,Power_Gen_Mix!$B$3:$S$9,ROW(Power_Gen_Mix!$A8)-ROW(Power_Gen_Mix!$A$3)+1,FALSE)</f>
        <v>0.16009084820778616</v>
      </c>
      <c r="BV24" s="304">
        <f>HLOOKUP(BV$17,Power_Gen_Mix!$B$3:$S$9,ROW(Power_Gen_Mix!$A8)-ROW(Power_Gen_Mix!$A$3)+1,FALSE)</f>
        <v>0.16009084820778616</v>
      </c>
      <c r="BW24" s="304">
        <f>HLOOKUP(BW$17,Power_Gen_Mix!$B$3:$S$9,ROW(Power_Gen_Mix!$A8)-ROW(Power_Gen_Mix!$A$3)+1,FALSE)</f>
        <v>0.16009084820778616</v>
      </c>
      <c r="BX24" s="304">
        <f>HLOOKUP(BX$17,Power_Gen_Mix!$B$3:$S$9,ROW(Power_Gen_Mix!$A8)-ROW(Power_Gen_Mix!$A$3)+1,FALSE)</f>
        <v>0</v>
      </c>
      <c r="BY24" s="304">
        <f>HLOOKUP(BY$17,Power_Gen_Mix!$B$3:$S$9,ROW(Power_Gen_Mix!$A8)-ROW(Power_Gen_Mix!$A$3)+1,FALSE)</f>
        <v>0</v>
      </c>
      <c r="BZ24" s="304">
        <f>HLOOKUP(BZ$17,Power_Gen_Mix!$B$3:$S$9,ROW(Power_Gen_Mix!$A8)-ROW(Power_Gen_Mix!$A$3)+1,FALSE)</f>
        <v>0.16009084820778616</v>
      </c>
      <c r="CA24" s="304">
        <f>HLOOKUP(CA$17,Power_Gen_Mix!$B$3:$S$9,ROW(Power_Gen_Mix!$A8)-ROW(Power_Gen_Mix!$A$3)+1,FALSE)</f>
        <v>0.16009084820778616</v>
      </c>
      <c r="CB24" s="304">
        <f>HLOOKUP(CB$17,Power_Gen_Mix!$B$3:$S$9,ROW(Power_Gen_Mix!$A8)-ROW(Power_Gen_Mix!$A$3)+1,FALSE)</f>
        <v>0.16009084820778616</v>
      </c>
      <c r="CC24" s="304">
        <f>HLOOKUP(CC$17,Power_Gen_Mix!$B$3:$S$9,ROW(Power_Gen_Mix!$A8)-ROW(Power_Gen_Mix!$A$3)+1,FALSE)</f>
        <v>0.16009084820778616</v>
      </c>
      <c r="CD24" s="304">
        <f>HLOOKUP(CD$17,Power_Gen_Mix!$B$3:$S$9,ROW(Power_Gen_Mix!$A8)-ROW(Power_Gen_Mix!$A$3)+1,FALSE)</f>
        <v>0.16009084820778616</v>
      </c>
      <c r="CE24" s="304">
        <f>HLOOKUP(CE$17,Power_Gen_Mix!$B$3:$S$9,ROW(Power_Gen_Mix!$A8)-ROW(Power_Gen_Mix!$A$3)+1,FALSE)</f>
        <v>0.16009084820778616</v>
      </c>
      <c r="CF24" s="304">
        <f>HLOOKUP(CF$17,Power_Gen_Mix!$B$3:$S$9,ROW(Power_Gen_Mix!$A8)-ROW(Power_Gen_Mix!$A$3)+1,FALSE)</f>
        <v>0.16009084820778616</v>
      </c>
      <c r="CG24" s="304">
        <f>HLOOKUP(CG$17,Power_Gen_Mix!$B$3:$S$9,ROW(Power_Gen_Mix!$A8)-ROW(Power_Gen_Mix!$A$3)+1,FALSE)</f>
        <v>0.16009084820778616</v>
      </c>
      <c r="CH24" s="304">
        <f>HLOOKUP(CH$17,Power_Gen_Mix!$B$3:$S$9,ROW(Power_Gen_Mix!$A8)-ROW(Power_Gen_Mix!$A$3)+1,FALSE)</f>
        <v>0.16009084820778616</v>
      </c>
      <c r="CI24" s="304">
        <f>HLOOKUP(CI$17,Power_Gen_Mix!$B$3:$S$9,ROW(Power_Gen_Mix!$A8)-ROW(Power_Gen_Mix!$A$3)+1,FALSE)</f>
        <v>0.16009084820778616</v>
      </c>
      <c r="CJ24" s="304">
        <f>HLOOKUP(CJ$17,Power_Gen_Mix!$B$3:$S$9,ROW(Power_Gen_Mix!$A8)-ROW(Power_Gen_Mix!$A$3)+1,FALSE)</f>
        <v>0.16009084820778616</v>
      </c>
      <c r="CK24" s="304">
        <f>HLOOKUP(CK$17,Power_Gen_Mix!$B$3:$S$9,ROW(Power_Gen_Mix!$A8)-ROW(Power_Gen_Mix!$A$3)+1,FALSE)</f>
        <v>0.16009084820778616</v>
      </c>
      <c r="CL24" s="304">
        <f>HLOOKUP(CL$17,Power_Gen_Mix!$B$3:$S$9,ROW(Power_Gen_Mix!$A8)-ROW(Power_Gen_Mix!$A$3)+1,FALSE)</f>
        <v>0.16009084820778616</v>
      </c>
      <c r="CM24" s="304">
        <f>HLOOKUP(CM$17,Power_Gen_Mix!$B$3:$S$9,ROW(Power_Gen_Mix!$A8)-ROW(Power_Gen_Mix!$A$3)+1,FALSE)</f>
        <v>0.16009084820778616</v>
      </c>
      <c r="CN24" s="304">
        <f>HLOOKUP(CN$17,Power_Gen_Mix!$B$3:$S$9,ROW(Power_Gen_Mix!$A8)-ROW(Power_Gen_Mix!$A$3)+1,FALSE)</f>
        <v>0.16009084820778616</v>
      </c>
      <c r="CO24" s="304">
        <f>HLOOKUP(CO$17,Power_Gen_Mix!$B$3:$S$9,ROW(Power_Gen_Mix!$A8)-ROW(Power_Gen_Mix!$A$3)+1,FALSE)</f>
        <v>0.16009084820778616</v>
      </c>
      <c r="CP24" s="304">
        <f>HLOOKUP(CP$17,Power_Gen_Mix!$B$3:$S$9,ROW(Power_Gen_Mix!$A8)-ROW(Power_Gen_Mix!$A$3)+1,FALSE)</f>
        <v>0.16009084820778616</v>
      </c>
      <c r="CQ24" s="304">
        <f>HLOOKUP(CQ$17,Power_Gen_Mix!$B$3:$S$9,ROW(Power_Gen_Mix!$A8)-ROW(Power_Gen_Mix!$A$3)+1,FALSE)</f>
        <v>0.16009084820778616</v>
      </c>
      <c r="CR24" s="304">
        <f>HLOOKUP(CR$17,Power_Gen_Mix!$B$3:$S$9,ROW(Power_Gen_Mix!$A8)-ROW(Power_Gen_Mix!$A$3)+1,FALSE)</f>
        <v>0.16009084820778616</v>
      </c>
      <c r="CS24" s="304">
        <f>HLOOKUP(CS$17,Power_Gen_Mix!$B$3:$S$9,ROW(Power_Gen_Mix!$A8)-ROW(Power_Gen_Mix!$A$3)+1,FALSE)</f>
        <v>0.16009084820778616</v>
      </c>
      <c r="CT24" s="304">
        <f>HLOOKUP(CT$17,Power_Gen_Mix!$B$3:$S$9,ROW(Power_Gen_Mix!$A8)-ROW(Power_Gen_Mix!$A$3)+1,FALSE)</f>
        <v>0.16009084820778616</v>
      </c>
      <c r="CU24" s="304">
        <f>HLOOKUP(CU$17,Power_Gen_Mix!$B$3:$S$9,ROW(Power_Gen_Mix!$A8)-ROW(Power_Gen_Mix!$A$3)+1,FALSE)</f>
        <v>0.16009084820778616</v>
      </c>
      <c r="CV24" s="304">
        <f>HLOOKUP(CV$17,Power_Gen_Mix!$B$3:$S$9,ROW(Power_Gen_Mix!$A8)-ROW(Power_Gen_Mix!$A$3)+1,FALSE)</f>
        <v>0.16009084820778616</v>
      </c>
      <c r="CW24" s="304">
        <f>HLOOKUP(CW$17,Power_Gen_Mix!$B$3:$S$9,ROW(Power_Gen_Mix!$A8)-ROW(Power_Gen_Mix!$A$3)+1,FALSE)</f>
        <v>0.16009084820778616</v>
      </c>
      <c r="CX24" s="304">
        <f>HLOOKUP(CX$17,Power_Gen_Mix!$B$3:$S$9,ROW(Power_Gen_Mix!$A8)-ROW(Power_Gen_Mix!$A$3)+1,FALSE)</f>
        <v>0.16009084820778616</v>
      </c>
      <c r="CY24" s="304">
        <f>HLOOKUP(CY$17,Power_Gen_Mix!$B$3:$S$9,ROW(Power_Gen_Mix!$A8)-ROW(Power_Gen_Mix!$A$3)+1,FALSE)</f>
        <v>0.16009084820778616</v>
      </c>
      <c r="CZ24" s="304">
        <f>HLOOKUP(CZ$17,Power_Gen_Mix!$B$3:$S$9,ROW(Power_Gen_Mix!$A8)-ROW(Power_Gen_Mix!$A$3)+1,FALSE)</f>
        <v>0.16009084820778616</v>
      </c>
      <c r="DA24" s="304">
        <f>HLOOKUP(DA$17,Power_Gen_Mix!$B$3:$S$9,ROW(Power_Gen_Mix!$A8)-ROW(Power_Gen_Mix!$A$3)+1,FALSE)</f>
        <v>0.16009084820778616</v>
      </c>
      <c r="DB24" s="304">
        <f>HLOOKUP(DB$17,Power_Gen_Mix!$B$3:$S$9,ROW(Power_Gen_Mix!$A8)-ROW(Power_Gen_Mix!$A$3)+1,FALSE)</f>
        <v>0.16009084820778616</v>
      </c>
      <c r="DC24" s="304">
        <f>HLOOKUP(DC$17,Power_Gen_Mix!$B$3:$S$9,ROW(Power_Gen_Mix!$A8)-ROW(Power_Gen_Mix!$A$3)+1,FALSE)</f>
        <v>0.16009084820778616</v>
      </c>
      <c r="DD24" s="304">
        <f>HLOOKUP(DD$17,Power_Gen_Mix!$B$3:$S$9,ROW(Power_Gen_Mix!$A8)-ROW(Power_Gen_Mix!$A$3)+1,FALSE)</f>
        <v>0.16009084820778616</v>
      </c>
      <c r="DE24" s="304">
        <f>HLOOKUP(DE$17,Power_Gen_Mix!$B$3:$S$9,ROW(Power_Gen_Mix!$A8)-ROW(Power_Gen_Mix!$A$3)+1,FALSE)</f>
        <v>0.16009084820778616</v>
      </c>
      <c r="DF24" s="304">
        <f>HLOOKUP(DF$17,Power_Gen_Mix!$B$3:$S$9,ROW(Power_Gen_Mix!$A8)-ROW(Power_Gen_Mix!$A$3)+1,FALSE)</f>
        <v>0.16009084820778616</v>
      </c>
      <c r="DG24" s="304"/>
      <c r="DH24" s="304">
        <f>HLOOKUP(DH$17,Power_Gen_Mix!$B$3:$S$9,ROW(Power_Gen_Mix!$A8)-ROW(Power_Gen_Mix!$A$3)+1,FALSE)</f>
        <v>0.16009084820778616</v>
      </c>
      <c r="DI24" s="304">
        <f>HLOOKUP(DI$17,Power_Gen_Mix!$B$3:$S$9,ROW(Power_Gen_Mix!$A8)-ROW(Power_Gen_Mix!$A$3)+1,FALSE)</f>
        <v>0.16009084820778616</v>
      </c>
      <c r="DJ24" s="304">
        <f>HLOOKUP(DJ$17,Power_Gen_Mix!$B$3:$S$9,ROW(Power_Gen_Mix!$A8)-ROW(Power_Gen_Mix!$A$3)+1,FALSE)</f>
        <v>0.16009084820778616</v>
      </c>
      <c r="DK24" s="304">
        <f>HLOOKUP(DK$17,Power_Gen_Mix!$B$3:$S$9,ROW(Power_Gen_Mix!$A8)-ROW(Power_Gen_Mix!$A$3)+1,FALSE)</f>
        <v>0.16009084820778616</v>
      </c>
      <c r="DL24" s="304">
        <f>HLOOKUP(DL$17,Power_Gen_Mix!$B$3:$S$9,ROW(Power_Gen_Mix!$A8)-ROW(Power_Gen_Mix!$A$3)+1,FALSE)</f>
        <v>0.16009084820778616</v>
      </c>
      <c r="DM24" s="304">
        <f>HLOOKUP(DM$17,Power_Gen_Mix!$B$3:$S$9,ROW(Power_Gen_Mix!$A8)-ROW(Power_Gen_Mix!$A$3)+1,FALSE)</f>
        <v>0.16009084820778616</v>
      </c>
      <c r="DN24" s="304">
        <f>HLOOKUP(DN$17,Power_Gen_Mix!$B$3:$S$9,ROW(Power_Gen_Mix!$A8)-ROW(Power_Gen_Mix!$A$3)+1,FALSE)</f>
        <v>0.16009084820778616</v>
      </c>
      <c r="DO24" s="304">
        <f>HLOOKUP(DO$17,Power_Gen_Mix!$B$3:$S$9,ROW(Power_Gen_Mix!$A8)-ROW(Power_Gen_Mix!$A$3)+1,FALSE)</f>
        <v>0.16009084820778616</v>
      </c>
      <c r="DP24" s="304">
        <f>HLOOKUP(DP$17,Power_Gen_Mix!$B$3:$S$9,ROW(Power_Gen_Mix!$A8)-ROW(Power_Gen_Mix!$A$3)+1,FALSE)</f>
        <v>0.16009084820778616</v>
      </c>
      <c r="DQ24" s="304">
        <f>HLOOKUP(DQ$17,Power_Gen_Mix!$B$3:$S$9,ROW(Power_Gen_Mix!$A8)-ROW(Power_Gen_Mix!$A$3)+1,FALSE)</f>
        <v>0.16009084820778616</v>
      </c>
      <c r="DR24" s="304">
        <f>HLOOKUP(DR$17,Power_Gen_Mix!$B$3:$S$9,ROW(Power_Gen_Mix!$A8)-ROW(Power_Gen_Mix!$A$3)+1,FALSE)</f>
        <v>0.16009084820778616</v>
      </c>
      <c r="DS24" s="304">
        <f>HLOOKUP(DS$17,Power_Gen_Mix!$B$3:$S$9,ROW(Power_Gen_Mix!$A8)-ROW(Power_Gen_Mix!$A$3)+1,FALSE)</f>
        <v>0</v>
      </c>
      <c r="DT24" s="304">
        <f>HLOOKUP(DT$17,Power_Gen_Mix!$B$3:$S$9,ROW(Power_Gen_Mix!$A8)-ROW(Power_Gen_Mix!$A$3)+1,FALSE)</f>
        <v>0.16009084820778616</v>
      </c>
      <c r="DU24" s="304">
        <f>HLOOKUP(DU$17,Power_Gen_Mix!$B$3:$S$9,ROW(Power_Gen_Mix!$A8)-ROW(Power_Gen_Mix!$A$3)+1,FALSE)</f>
        <v>0.16009084820778616</v>
      </c>
      <c r="DV24" s="304">
        <f>HLOOKUP(DV$17,Power_Gen_Mix!$B$3:$S$9,ROW(Power_Gen_Mix!$A8)-ROW(Power_Gen_Mix!$A$3)+1,FALSE)</f>
        <v>0.16009084820778616</v>
      </c>
      <c r="DW24" s="304">
        <f>HLOOKUP(DW$17,Power_Gen_Mix!$B$3:$S$9,ROW(Power_Gen_Mix!$A8)-ROW(Power_Gen_Mix!$A$3)+1,FALSE)</f>
        <v>0.16009084820778616</v>
      </c>
      <c r="DX24" s="304">
        <f>HLOOKUP(DX$17,Power_Gen_Mix!$B$3:$S$9,ROW(Power_Gen_Mix!$A8)-ROW(Power_Gen_Mix!$A$3)+1,FALSE)</f>
        <v>0.16009084820778616</v>
      </c>
      <c r="DY24" s="304">
        <f>HLOOKUP(DY$17,Power_Gen_Mix!$B$3:$S$9,ROW(Power_Gen_Mix!$A8)-ROW(Power_Gen_Mix!$A$3)+1,FALSE)</f>
        <v>0.16009084820778616</v>
      </c>
      <c r="DZ24" s="304">
        <f>HLOOKUP(DZ$17,Power_Gen_Mix!$B$3:$S$9,ROW(Power_Gen_Mix!$A8)-ROW(Power_Gen_Mix!$A$3)+1,FALSE)</f>
        <v>0.16009084820778616</v>
      </c>
      <c r="EA24" s="304">
        <f>HLOOKUP(EA$17,Power_Gen_Mix!$B$3:$S$9,ROW(Power_Gen_Mix!$A8)-ROW(Power_Gen_Mix!$A$3)+1,FALSE)</f>
        <v>0.16009084820778616</v>
      </c>
      <c r="EB24" s="304">
        <f>HLOOKUP(EB$17,Power_Gen_Mix!$B$3:$S$9,ROW(Power_Gen_Mix!$A8)-ROW(Power_Gen_Mix!$A$3)+1,FALSE)</f>
        <v>0.16009084820778616</v>
      </c>
      <c r="EC24" s="304">
        <f>HLOOKUP(EC$17,Power_Gen_Mix!$B$3:$S$9,ROW(Power_Gen_Mix!$A8)-ROW(Power_Gen_Mix!$A$3)+1,FALSE)</f>
        <v>0.16009084820778616</v>
      </c>
      <c r="ED24" s="304">
        <f>HLOOKUP(ED$17,Power_Gen_Mix!$B$3:$S$9,ROW(Power_Gen_Mix!$A8)-ROW(Power_Gen_Mix!$A$3)+1,FALSE)</f>
        <v>0.16009084820778616</v>
      </c>
      <c r="EZ24" s="177"/>
    </row>
    <row r="25" spans="1:156" x14ac:dyDescent="0.3">
      <c r="A25" s="21" t="s">
        <v>907</v>
      </c>
      <c r="D25" s="304">
        <f>HLOOKUP(D$17,Power_Gen_Mix!$B$3:$S$9,ROW(Power_Gen_Mix!$A9)-ROW(Power_Gen_Mix!$A$3)+1,FALSE)</f>
        <v>0.36313076900678448</v>
      </c>
      <c r="E25" s="304">
        <f>HLOOKUP(E$17,Power_Gen_Mix!$B$3:$S$9,ROW(Power_Gen_Mix!$A9)-ROW(Power_Gen_Mix!$A$3)+1,FALSE)</f>
        <v>0</v>
      </c>
      <c r="F25" s="304">
        <f>HLOOKUP(F$17,Power_Gen_Mix!$B$3:$S$9,ROW(Power_Gen_Mix!$A9)-ROW(Power_Gen_Mix!$A$3)+1,FALSE)</f>
        <v>1</v>
      </c>
      <c r="G25" s="304">
        <f>HLOOKUP(G$17,Power_Gen_Mix!$B$3:$S$9,ROW(Power_Gen_Mix!$A9)-ROW(Power_Gen_Mix!$A$3)+1,FALSE)</f>
        <v>0.36313076900678448</v>
      </c>
      <c r="H25" s="304">
        <f>HLOOKUP(H$17,Power_Gen_Mix!$B$3:$S$9,ROW(Power_Gen_Mix!$A9)-ROW(Power_Gen_Mix!$A$3)+1,FALSE)</f>
        <v>0.36313076900678448</v>
      </c>
      <c r="I25" s="304">
        <f>HLOOKUP(I$17,Power_Gen_Mix!$B$3:$S$9,ROW(Power_Gen_Mix!$A9)-ROW(Power_Gen_Mix!$A$3)+1,FALSE)</f>
        <v>0.36313076900678448</v>
      </c>
      <c r="J25" s="304">
        <f>HLOOKUP(J$17,Power_Gen_Mix!$B$3:$S$9,ROW(Power_Gen_Mix!$A9)-ROW(Power_Gen_Mix!$A$3)+1,FALSE)</f>
        <v>0.36313076900678448</v>
      </c>
      <c r="K25" s="304">
        <f>HLOOKUP(K$17,Power_Gen_Mix!$B$3:$S$9,ROW(Power_Gen_Mix!$A9)-ROW(Power_Gen_Mix!$A$3)+1,FALSE)</f>
        <v>0.36313076900678448</v>
      </c>
      <c r="L25" s="304">
        <f>HLOOKUP(L$17,Power_Gen_Mix!$B$3:$S$9,ROW(Power_Gen_Mix!$A9)-ROW(Power_Gen_Mix!$A$3)+1,FALSE)</f>
        <v>0.36313076900678448</v>
      </c>
      <c r="M25" s="304">
        <f>HLOOKUP(M$17,Power_Gen_Mix!$B$3:$S$9,ROW(Power_Gen_Mix!$A9)-ROW(Power_Gen_Mix!$A$3)+1,FALSE)</f>
        <v>0.36313076900678448</v>
      </c>
      <c r="N25" s="304">
        <f>HLOOKUP(N$17,Power_Gen_Mix!$B$3:$S$9,ROW(Power_Gen_Mix!$A9)-ROW(Power_Gen_Mix!$A$3)+1,FALSE)</f>
        <v>0.36313076900678448</v>
      </c>
      <c r="O25" s="304">
        <f>HLOOKUP(O$17,Power_Gen_Mix!$B$3:$S$9,ROW(Power_Gen_Mix!$A9)-ROW(Power_Gen_Mix!$A$3)+1,FALSE)</f>
        <v>0.36313076900678448</v>
      </c>
      <c r="P25" s="304">
        <f>HLOOKUP(P$17,Power_Gen_Mix!$B$3:$S$9,ROW(Power_Gen_Mix!$A9)-ROW(Power_Gen_Mix!$A$3)+1,FALSE)</f>
        <v>0.36313076900678448</v>
      </c>
      <c r="Q25" s="304">
        <f>HLOOKUP(Q$17,Power_Gen_Mix!$B$3:$S$9,ROW(Power_Gen_Mix!$A9)-ROW(Power_Gen_Mix!$A$3)+1,FALSE)</f>
        <v>0.36313076900678448</v>
      </c>
      <c r="R25" s="304">
        <f>HLOOKUP(R$17,Power_Gen_Mix!$B$3:$S$9,ROW(Power_Gen_Mix!$A9)-ROW(Power_Gen_Mix!$A$3)+1,FALSE)</f>
        <v>0.36313076900678448</v>
      </c>
      <c r="S25" s="304">
        <f>HLOOKUP(S$17,Power_Gen_Mix!$B$3:$S$9,ROW(Power_Gen_Mix!$A9)-ROW(Power_Gen_Mix!$A$3)+1,FALSE)</f>
        <v>0.36313076900678448</v>
      </c>
      <c r="T25" s="304">
        <f>HLOOKUP(T$17,Power_Gen_Mix!$B$3:$S$9,ROW(Power_Gen_Mix!$A9)-ROW(Power_Gen_Mix!$A$3)+1,FALSE)</f>
        <v>0.36313076900678448</v>
      </c>
      <c r="U25" s="304">
        <f>HLOOKUP(U$17,Power_Gen_Mix!$B$3:$S$9,ROW(Power_Gen_Mix!$A9)-ROW(Power_Gen_Mix!$A$3)+1,FALSE)</f>
        <v>0</v>
      </c>
      <c r="V25" s="304">
        <f>HLOOKUP(V$17,Power_Gen_Mix!$B$3:$S$9,ROW(Power_Gen_Mix!$A9)-ROW(Power_Gen_Mix!$A$3)+1,FALSE)</f>
        <v>1</v>
      </c>
      <c r="W25" s="304">
        <f>HLOOKUP(W$17,Power_Gen_Mix!$B$3:$S$9,ROW(Power_Gen_Mix!$A9)-ROW(Power_Gen_Mix!$A$3)+1,FALSE)</f>
        <v>0.36313076900678448</v>
      </c>
      <c r="X25" s="304">
        <f>HLOOKUP(X$17,Power_Gen_Mix!$B$3:$S$9,ROW(Power_Gen_Mix!$A9)-ROW(Power_Gen_Mix!$A$3)+1,FALSE)</f>
        <v>1</v>
      </c>
      <c r="Y25" s="304">
        <f>HLOOKUP(Y$17,Power_Gen_Mix!$B$3:$S$9,ROW(Power_Gen_Mix!$A9)-ROW(Power_Gen_Mix!$A$3)+1,FALSE)</f>
        <v>1</v>
      </c>
      <c r="Z25" s="304">
        <f>HLOOKUP(Z$17,Power_Gen_Mix!$B$3:$S$9,ROW(Power_Gen_Mix!$A9)-ROW(Power_Gen_Mix!$A$3)+1,FALSE)</f>
        <v>0.36313076900678448</v>
      </c>
      <c r="AA25" s="304">
        <f>HLOOKUP(AA$17,Power_Gen_Mix!$B$3:$S$9,ROW(Power_Gen_Mix!$A9)-ROW(Power_Gen_Mix!$A$3)+1,FALSE)</f>
        <v>0.36313076900678448</v>
      </c>
      <c r="AB25" s="304">
        <f>HLOOKUP(AB$17,Power_Gen_Mix!$B$3:$S$9,ROW(Power_Gen_Mix!$A9)-ROW(Power_Gen_Mix!$A$3)+1,FALSE)</f>
        <v>0.36313076900678448</v>
      </c>
      <c r="AC25" s="304">
        <f>HLOOKUP(AC$17,Power_Gen_Mix!$B$3:$S$9,ROW(Power_Gen_Mix!$A9)-ROW(Power_Gen_Mix!$A$3)+1,FALSE)</f>
        <v>0.36313076900678448</v>
      </c>
      <c r="AD25" s="304">
        <f>HLOOKUP(AD$17,Power_Gen_Mix!$B$3:$S$9,ROW(Power_Gen_Mix!$A9)-ROW(Power_Gen_Mix!$A$3)+1,FALSE)</f>
        <v>0.36313076900678448</v>
      </c>
      <c r="AE25" s="304">
        <f>HLOOKUP(AE$17,Power_Gen_Mix!$B$3:$S$9,ROW(Power_Gen_Mix!$A9)-ROW(Power_Gen_Mix!$A$3)+1,FALSE)</f>
        <v>0.36313076900678448</v>
      </c>
      <c r="AF25" s="304">
        <f>HLOOKUP(AF$17,Power_Gen_Mix!$B$3:$S$9,ROW(Power_Gen_Mix!$A9)-ROW(Power_Gen_Mix!$A$3)+1,FALSE)</f>
        <v>0.13133258634530248</v>
      </c>
      <c r="AG25" s="304">
        <f>HLOOKUP(AG$17,Power_Gen_Mix!$B$3:$S$9,ROW(Power_Gen_Mix!$A9)-ROW(Power_Gen_Mix!$A$3)+1,FALSE)</f>
        <v>0.36313076900678448</v>
      </c>
      <c r="AH25" s="304">
        <f>HLOOKUP(AH$17,Power_Gen_Mix!$B$3:$S$9,ROW(Power_Gen_Mix!$A9)-ROW(Power_Gen_Mix!$A$3)+1,FALSE)</f>
        <v>0.36313076900678448</v>
      </c>
      <c r="AI25" s="304">
        <f>HLOOKUP(AI$17,Power_Gen_Mix!$B$3:$S$9,ROW(Power_Gen_Mix!$A9)-ROW(Power_Gen_Mix!$A$3)+1,FALSE)</f>
        <v>0.36313076900678448</v>
      </c>
      <c r="AJ25" s="304">
        <f>HLOOKUP(AJ$17,Power_Gen_Mix!$B$3:$S$9,ROW(Power_Gen_Mix!$A9)-ROW(Power_Gen_Mix!$A$3)+1,FALSE)</f>
        <v>0.36313076900678448</v>
      </c>
      <c r="AK25" s="304">
        <f>HLOOKUP(AK$17,Power_Gen_Mix!$B$3:$S$9,ROW(Power_Gen_Mix!$A9)-ROW(Power_Gen_Mix!$A$3)+1,FALSE)</f>
        <v>0.36313076900678448</v>
      </c>
      <c r="AL25" s="304">
        <f>HLOOKUP(AL$17,Power_Gen_Mix!$B$3:$S$9,ROW(Power_Gen_Mix!$A9)-ROW(Power_Gen_Mix!$A$3)+1,FALSE)</f>
        <v>0.36313076900678448</v>
      </c>
      <c r="AM25" s="304">
        <f>HLOOKUP(AM$17,Power_Gen_Mix!$B$3:$S$9,ROW(Power_Gen_Mix!$A9)-ROW(Power_Gen_Mix!$A$3)+1,FALSE)</f>
        <v>0.36313076900678448</v>
      </c>
      <c r="AN25" s="304">
        <f>HLOOKUP(AN$17,Power_Gen_Mix!$B$3:$S$9,ROW(Power_Gen_Mix!$A9)-ROW(Power_Gen_Mix!$A$3)+1,FALSE)</f>
        <v>0.36313076900678448</v>
      </c>
      <c r="AO25" s="304">
        <f>HLOOKUP(AO$17,Power_Gen_Mix!$B$3:$S$9,ROW(Power_Gen_Mix!$A9)-ROW(Power_Gen_Mix!$A$3)+1,FALSE)</f>
        <v>0.36313076900678448</v>
      </c>
      <c r="AP25" s="304">
        <f>HLOOKUP(AP$17,Power_Gen_Mix!$B$3:$S$9,ROW(Power_Gen_Mix!$A9)-ROW(Power_Gen_Mix!$A$3)+1,FALSE)</f>
        <v>0.36313076900678448</v>
      </c>
      <c r="AQ25" s="304">
        <f>HLOOKUP(AQ$17,Power_Gen_Mix!$B$3:$S$9,ROW(Power_Gen_Mix!$A9)-ROW(Power_Gen_Mix!$A$3)+1,FALSE)</f>
        <v>0.36313076900678448</v>
      </c>
      <c r="AR25" s="304">
        <f>HLOOKUP(AR$17,Power_Gen_Mix!$B$3:$S$9,ROW(Power_Gen_Mix!$A9)-ROW(Power_Gen_Mix!$A$3)+1,FALSE)</f>
        <v>0.36313076900678448</v>
      </c>
      <c r="AS25" s="304">
        <f>HLOOKUP(AS$17,Power_Gen_Mix!$B$3:$S$9,ROW(Power_Gen_Mix!$A9)-ROW(Power_Gen_Mix!$A$3)+1,FALSE)</f>
        <v>0</v>
      </c>
      <c r="AT25" s="304">
        <f>HLOOKUP(AT$17,Power_Gen_Mix!$B$3:$S$9,ROW(Power_Gen_Mix!$A9)-ROW(Power_Gen_Mix!$A$3)+1,FALSE)</f>
        <v>1</v>
      </c>
      <c r="AU25" s="304">
        <f>HLOOKUP(AU$17,Power_Gen_Mix!$B$3:$S$9,ROW(Power_Gen_Mix!$A9)-ROW(Power_Gen_Mix!$A$3)+1,FALSE)</f>
        <v>0.36313076900678448</v>
      </c>
      <c r="AV25" s="304">
        <f>HLOOKUP(AV$17,Power_Gen_Mix!$B$3:$S$9,ROW(Power_Gen_Mix!$A9)-ROW(Power_Gen_Mix!$A$3)+1,FALSE)</f>
        <v>0.36313076900678448</v>
      </c>
      <c r="AW25" s="304">
        <f>HLOOKUP(AW$17,Power_Gen_Mix!$B$3:$S$9,ROW(Power_Gen_Mix!$A9)-ROW(Power_Gen_Mix!$A$3)+1,FALSE)</f>
        <v>0.36313076900678448</v>
      </c>
      <c r="AX25" s="304">
        <f>HLOOKUP(AX$17,Power_Gen_Mix!$B$3:$S$9,ROW(Power_Gen_Mix!$A9)-ROW(Power_Gen_Mix!$A$3)+1,FALSE)</f>
        <v>0.36313076900678448</v>
      </c>
      <c r="AY25" s="304">
        <f>HLOOKUP(AY$17,Power_Gen_Mix!$B$3:$S$9,ROW(Power_Gen_Mix!$A9)-ROW(Power_Gen_Mix!$A$3)+1,FALSE)</f>
        <v>0.36313076900678448</v>
      </c>
      <c r="AZ25" s="304">
        <f>HLOOKUP(AZ$17,Power_Gen_Mix!$B$3:$S$9,ROW(Power_Gen_Mix!$A9)-ROW(Power_Gen_Mix!$A$3)+1,FALSE)</f>
        <v>0.36313076900678448</v>
      </c>
      <c r="BA25" s="304">
        <f>HLOOKUP(BA$17,Power_Gen_Mix!$B$3:$S$9,ROW(Power_Gen_Mix!$A9)-ROW(Power_Gen_Mix!$A$3)+1,FALSE)</f>
        <v>0.36313076900678448</v>
      </c>
      <c r="BB25" s="304">
        <f>HLOOKUP(BB$17,Power_Gen_Mix!$B$3:$S$9,ROW(Power_Gen_Mix!$A9)-ROW(Power_Gen_Mix!$A$3)+1,FALSE)</f>
        <v>0.36313076900678448</v>
      </c>
      <c r="BC25" s="304">
        <f>HLOOKUP(BC$17,Power_Gen_Mix!$B$3:$S$9,ROW(Power_Gen_Mix!$A9)-ROW(Power_Gen_Mix!$A$3)+1,FALSE)</f>
        <v>0.36313076900678448</v>
      </c>
      <c r="BD25" s="304">
        <f>HLOOKUP(BD$17,Power_Gen_Mix!$B$3:$S$9,ROW(Power_Gen_Mix!$A9)-ROW(Power_Gen_Mix!$A$3)+1,FALSE)</f>
        <v>0.36313076900678448</v>
      </c>
      <c r="BE25" s="304">
        <f>HLOOKUP(BE$17,Power_Gen_Mix!$B$3:$S$9,ROW(Power_Gen_Mix!$A9)-ROW(Power_Gen_Mix!$A$3)+1,FALSE)</f>
        <v>0.36313076900678448</v>
      </c>
      <c r="BF25" s="304">
        <f>HLOOKUP(BF$17,Power_Gen_Mix!$B$3:$S$9,ROW(Power_Gen_Mix!$A9)-ROW(Power_Gen_Mix!$A$3)+1,FALSE)</f>
        <v>0.36313076900678448</v>
      </c>
      <c r="BG25" s="304">
        <f>HLOOKUP(BG$17,Power_Gen_Mix!$B$3:$S$9,ROW(Power_Gen_Mix!$A9)-ROW(Power_Gen_Mix!$A$3)+1,FALSE)</f>
        <v>0.36313076900678448</v>
      </c>
      <c r="BH25" s="304">
        <f>HLOOKUP(BH$17,Power_Gen_Mix!$B$3:$S$9,ROW(Power_Gen_Mix!$A9)-ROW(Power_Gen_Mix!$A$3)+1,FALSE)</f>
        <v>0.36313076900678448</v>
      </c>
      <c r="BI25" s="304">
        <f>HLOOKUP(BI$17,Power_Gen_Mix!$B$3:$S$9,ROW(Power_Gen_Mix!$A9)-ROW(Power_Gen_Mix!$A$3)+1,FALSE)</f>
        <v>0.36313076900678448</v>
      </c>
      <c r="BJ25" s="304">
        <f>HLOOKUP(BJ$17,Power_Gen_Mix!$B$3:$S$9,ROW(Power_Gen_Mix!$A9)-ROW(Power_Gen_Mix!$A$3)+1,FALSE)</f>
        <v>0.36313076900678448</v>
      </c>
      <c r="BK25" s="304">
        <f>HLOOKUP(BK$17,Power_Gen_Mix!$B$3:$S$9,ROW(Power_Gen_Mix!$A9)-ROW(Power_Gen_Mix!$A$3)+1,FALSE)</f>
        <v>0.36313076900678448</v>
      </c>
      <c r="BL25" s="304">
        <f>HLOOKUP(BL$17,Power_Gen_Mix!$B$3:$S$9,ROW(Power_Gen_Mix!$A9)-ROW(Power_Gen_Mix!$A$3)+1,FALSE)</f>
        <v>0.36313076900678448</v>
      </c>
      <c r="BM25" s="304">
        <f>HLOOKUP(BM$17,Power_Gen_Mix!$B$3:$S$9,ROW(Power_Gen_Mix!$A9)-ROW(Power_Gen_Mix!$A$3)+1,FALSE)</f>
        <v>0.36313076900678448</v>
      </c>
      <c r="BN25" s="304">
        <f>HLOOKUP(BN$17,Power_Gen_Mix!$B$3:$S$9,ROW(Power_Gen_Mix!$A9)-ROW(Power_Gen_Mix!$A$3)+1,FALSE)</f>
        <v>0.36313076900678448</v>
      </c>
      <c r="BO25" s="304">
        <f>HLOOKUP(BO$17,Power_Gen_Mix!$B$3:$S$9,ROW(Power_Gen_Mix!$A9)-ROW(Power_Gen_Mix!$A$3)+1,FALSE)</f>
        <v>0</v>
      </c>
      <c r="BP25" s="304">
        <f>HLOOKUP(BP$17,Power_Gen_Mix!$B$3:$S$9,ROW(Power_Gen_Mix!$A9)-ROW(Power_Gen_Mix!$A$3)+1,FALSE)</f>
        <v>1</v>
      </c>
      <c r="BQ25" s="304">
        <f>HLOOKUP(BQ$17,Power_Gen_Mix!$B$3:$S$9,ROW(Power_Gen_Mix!$A9)-ROW(Power_Gen_Mix!$A$3)+1,FALSE)</f>
        <v>0.36313076900678448</v>
      </c>
      <c r="BR25" s="304">
        <f>HLOOKUP(BR$17,Power_Gen_Mix!$B$3:$S$9,ROW(Power_Gen_Mix!$A9)-ROW(Power_Gen_Mix!$A$3)+1,FALSE)</f>
        <v>0.36313076900678448</v>
      </c>
      <c r="BS25" s="304">
        <f>HLOOKUP(BS$17,Power_Gen_Mix!$B$3:$S$9,ROW(Power_Gen_Mix!$A9)-ROW(Power_Gen_Mix!$A$3)+1,FALSE)</f>
        <v>0.36313076900678448</v>
      </c>
      <c r="BT25" s="304">
        <f>HLOOKUP(BT$17,Power_Gen_Mix!$B$3:$S$9,ROW(Power_Gen_Mix!$A9)-ROW(Power_Gen_Mix!$A$3)+1,FALSE)</f>
        <v>0.36313076900678448</v>
      </c>
      <c r="BU25" s="304">
        <f>HLOOKUP(BU$17,Power_Gen_Mix!$B$3:$S$9,ROW(Power_Gen_Mix!$A9)-ROW(Power_Gen_Mix!$A$3)+1,FALSE)</f>
        <v>0.36313076900678448</v>
      </c>
      <c r="BV25" s="304">
        <f>HLOOKUP(BV$17,Power_Gen_Mix!$B$3:$S$9,ROW(Power_Gen_Mix!$A9)-ROW(Power_Gen_Mix!$A$3)+1,FALSE)</f>
        <v>0.36313076900678448</v>
      </c>
      <c r="BW25" s="304">
        <f>HLOOKUP(BW$17,Power_Gen_Mix!$B$3:$S$9,ROW(Power_Gen_Mix!$A9)-ROW(Power_Gen_Mix!$A$3)+1,FALSE)</f>
        <v>0.36313076900678448</v>
      </c>
      <c r="BX25" s="304">
        <f>HLOOKUP(BX$17,Power_Gen_Mix!$B$3:$S$9,ROW(Power_Gen_Mix!$A9)-ROW(Power_Gen_Mix!$A$3)+1,FALSE)</f>
        <v>0</v>
      </c>
      <c r="BY25" s="304">
        <f>HLOOKUP(BY$17,Power_Gen_Mix!$B$3:$S$9,ROW(Power_Gen_Mix!$A9)-ROW(Power_Gen_Mix!$A$3)+1,FALSE)</f>
        <v>1</v>
      </c>
      <c r="BZ25" s="304">
        <f>HLOOKUP(BZ$17,Power_Gen_Mix!$B$3:$S$9,ROW(Power_Gen_Mix!$A9)-ROW(Power_Gen_Mix!$A$3)+1,FALSE)</f>
        <v>0.36313076900678448</v>
      </c>
      <c r="CA25" s="304">
        <f>HLOOKUP(CA$17,Power_Gen_Mix!$B$3:$S$9,ROW(Power_Gen_Mix!$A9)-ROW(Power_Gen_Mix!$A$3)+1,FALSE)</f>
        <v>0.36313076900678448</v>
      </c>
      <c r="CB25" s="304">
        <f>HLOOKUP(CB$17,Power_Gen_Mix!$B$3:$S$9,ROW(Power_Gen_Mix!$A9)-ROW(Power_Gen_Mix!$A$3)+1,FALSE)</f>
        <v>0.36313076900678448</v>
      </c>
      <c r="CC25" s="304">
        <f>HLOOKUP(CC$17,Power_Gen_Mix!$B$3:$S$9,ROW(Power_Gen_Mix!$A9)-ROW(Power_Gen_Mix!$A$3)+1,FALSE)</f>
        <v>0.36313076900678448</v>
      </c>
      <c r="CD25" s="304">
        <f>HLOOKUP(CD$17,Power_Gen_Mix!$B$3:$S$9,ROW(Power_Gen_Mix!$A9)-ROW(Power_Gen_Mix!$A$3)+1,FALSE)</f>
        <v>0.36313076900678448</v>
      </c>
      <c r="CE25" s="304">
        <f>HLOOKUP(CE$17,Power_Gen_Mix!$B$3:$S$9,ROW(Power_Gen_Mix!$A9)-ROW(Power_Gen_Mix!$A$3)+1,FALSE)</f>
        <v>0.36313076900678448</v>
      </c>
      <c r="CF25" s="304">
        <f>HLOOKUP(CF$17,Power_Gen_Mix!$B$3:$S$9,ROW(Power_Gen_Mix!$A9)-ROW(Power_Gen_Mix!$A$3)+1,FALSE)</f>
        <v>0.36313076900678448</v>
      </c>
      <c r="CG25" s="304">
        <f>HLOOKUP(CG$17,Power_Gen_Mix!$B$3:$S$9,ROW(Power_Gen_Mix!$A9)-ROW(Power_Gen_Mix!$A$3)+1,FALSE)</f>
        <v>0.36313076900678448</v>
      </c>
      <c r="CH25" s="304">
        <f>HLOOKUP(CH$17,Power_Gen_Mix!$B$3:$S$9,ROW(Power_Gen_Mix!$A9)-ROW(Power_Gen_Mix!$A$3)+1,FALSE)</f>
        <v>0.36313076900678448</v>
      </c>
      <c r="CI25" s="304">
        <f>HLOOKUP(CI$17,Power_Gen_Mix!$B$3:$S$9,ROW(Power_Gen_Mix!$A9)-ROW(Power_Gen_Mix!$A$3)+1,FALSE)</f>
        <v>0.36313076900678448</v>
      </c>
      <c r="CJ25" s="304">
        <f>HLOOKUP(CJ$17,Power_Gen_Mix!$B$3:$S$9,ROW(Power_Gen_Mix!$A9)-ROW(Power_Gen_Mix!$A$3)+1,FALSE)</f>
        <v>0.36313076900678448</v>
      </c>
      <c r="CK25" s="304">
        <f>HLOOKUP(CK$17,Power_Gen_Mix!$B$3:$S$9,ROW(Power_Gen_Mix!$A9)-ROW(Power_Gen_Mix!$A$3)+1,FALSE)</f>
        <v>0.36313076900678448</v>
      </c>
      <c r="CL25" s="304">
        <f>HLOOKUP(CL$17,Power_Gen_Mix!$B$3:$S$9,ROW(Power_Gen_Mix!$A9)-ROW(Power_Gen_Mix!$A$3)+1,FALSE)</f>
        <v>0.36313076900678448</v>
      </c>
      <c r="CM25" s="304">
        <f>HLOOKUP(CM$17,Power_Gen_Mix!$B$3:$S$9,ROW(Power_Gen_Mix!$A9)-ROW(Power_Gen_Mix!$A$3)+1,FALSE)</f>
        <v>0.36313076900678448</v>
      </c>
      <c r="CN25" s="304">
        <f>HLOOKUP(CN$17,Power_Gen_Mix!$B$3:$S$9,ROW(Power_Gen_Mix!$A9)-ROW(Power_Gen_Mix!$A$3)+1,FALSE)</f>
        <v>0.36313076900678448</v>
      </c>
      <c r="CO25" s="304">
        <f>HLOOKUP(CO$17,Power_Gen_Mix!$B$3:$S$9,ROW(Power_Gen_Mix!$A9)-ROW(Power_Gen_Mix!$A$3)+1,FALSE)</f>
        <v>0.36313076900678448</v>
      </c>
      <c r="CP25" s="304">
        <f>HLOOKUP(CP$17,Power_Gen_Mix!$B$3:$S$9,ROW(Power_Gen_Mix!$A9)-ROW(Power_Gen_Mix!$A$3)+1,FALSE)</f>
        <v>0.36313076900678448</v>
      </c>
      <c r="CQ25" s="304">
        <f>HLOOKUP(CQ$17,Power_Gen_Mix!$B$3:$S$9,ROW(Power_Gen_Mix!$A9)-ROW(Power_Gen_Mix!$A$3)+1,FALSE)</f>
        <v>0.36313076900678448</v>
      </c>
      <c r="CR25" s="304">
        <f>HLOOKUP(CR$17,Power_Gen_Mix!$B$3:$S$9,ROW(Power_Gen_Mix!$A9)-ROW(Power_Gen_Mix!$A$3)+1,FALSE)</f>
        <v>0.36313076900678448</v>
      </c>
      <c r="CS25" s="304">
        <f>HLOOKUP(CS$17,Power_Gen_Mix!$B$3:$S$9,ROW(Power_Gen_Mix!$A9)-ROW(Power_Gen_Mix!$A$3)+1,FALSE)</f>
        <v>0.36313076900678448</v>
      </c>
      <c r="CT25" s="304">
        <f>HLOOKUP(CT$17,Power_Gen_Mix!$B$3:$S$9,ROW(Power_Gen_Mix!$A9)-ROW(Power_Gen_Mix!$A$3)+1,FALSE)</f>
        <v>0.36313076900678448</v>
      </c>
      <c r="CU25" s="304">
        <f>HLOOKUP(CU$17,Power_Gen_Mix!$B$3:$S$9,ROW(Power_Gen_Mix!$A9)-ROW(Power_Gen_Mix!$A$3)+1,FALSE)</f>
        <v>0.36313076900678448</v>
      </c>
      <c r="CV25" s="304">
        <f>HLOOKUP(CV$17,Power_Gen_Mix!$B$3:$S$9,ROW(Power_Gen_Mix!$A9)-ROW(Power_Gen_Mix!$A$3)+1,FALSE)</f>
        <v>0.36313076900678448</v>
      </c>
      <c r="CW25" s="304">
        <f>HLOOKUP(CW$17,Power_Gen_Mix!$B$3:$S$9,ROW(Power_Gen_Mix!$A9)-ROW(Power_Gen_Mix!$A$3)+1,FALSE)</f>
        <v>0.36313076900678448</v>
      </c>
      <c r="CX25" s="304">
        <f>HLOOKUP(CX$17,Power_Gen_Mix!$B$3:$S$9,ROW(Power_Gen_Mix!$A9)-ROW(Power_Gen_Mix!$A$3)+1,FALSE)</f>
        <v>0.36313076900678448</v>
      </c>
      <c r="CY25" s="304">
        <f>HLOOKUP(CY$17,Power_Gen_Mix!$B$3:$S$9,ROW(Power_Gen_Mix!$A9)-ROW(Power_Gen_Mix!$A$3)+1,FALSE)</f>
        <v>0.36313076900678448</v>
      </c>
      <c r="CZ25" s="304">
        <f>HLOOKUP(CZ$17,Power_Gen_Mix!$B$3:$S$9,ROW(Power_Gen_Mix!$A9)-ROW(Power_Gen_Mix!$A$3)+1,FALSE)</f>
        <v>0.36313076900678448</v>
      </c>
      <c r="DA25" s="304">
        <f>HLOOKUP(DA$17,Power_Gen_Mix!$B$3:$S$9,ROW(Power_Gen_Mix!$A9)-ROW(Power_Gen_Mix!$A$3)+1,FALSE)</f>
        <v>0.36313076900678448</v>
      </c>
      <c r="DB25" s="304">
        <f>HLOOKUP(DB$17,Power_Gen_Mix!$B$3:$S$9,ROW(Power_Gen_Mix!$A9)-ROW(Power_Gen_Mix!$A$3)+1,FALSE)</f>
        <v>0.36313076900678448</v>
      </c>
      <c r="DC25" s="304">
        <f>HLOOKUP(DC$17,Power_Gen_Mix!$B$3:$S$9,ROW(Power_Gen_Mix!$A9)-ROW(Power_Gen_Mix!$A$3)+1,FALSE)</f>
        <v>0.36313076900678448</v>
      </c>
      <c r="DD25" s="304">
        <f>HLOOKUP(DD$17,Power_Gen_Mix!$B$3:$S$9,ROW(Power_Gen_Mix!$A9)-ROW(Power_Gen_Mix!$A$3)+1,FALSE)</f>
        <v>0.36313076900678448</v>
      </c>
      <c r="DE25" s="304">
        <f>HLOOKUP(DE$17,Power_Gen_Mix!$B$3:$S$9,ROW(Power_Gen_Mix!$A9)-ROW(Power_Gen_Mix!$A$3)+1,FALSE)</f>
        <v>0.36313076900678448</v>
      </c>
      <c r="DF25" s="304">
        <f>HLOOKUP(DF$17,Power_Gen_Mix!$B$3:$S$9,ROW(Power_Gen_Mix!$A9)-ROW(Power_Gen_Mix!$A$3)+1,FALSE)</f>
        <v>0.36313076900678448</v>
      </c>
      <c r="DG25" s="304"/>
      <c r="DH25" s="304">
        <f>HLOOKUP(DH$17,Power_Gen_Mix!$B$3:$S$9,ROW(Power_Gen_Mix!$A9)-ROW(Power_Gen_Mix!$A$3)+1,FALSE)</f>
        <v>0.36313076900678448</v>
      </c>
      <c r="DI25" s="304">
        <f>HLOOKUP(DI$17,Power_Gen_Mix!$B$3:$S$9,ROW(Power_Gen_Mix!$A9)-ROW(Power_Gen_Mix!$A$3)+1,FALSE)</f>
        <v>0.36313076900678448</v>
      </c>
      <c r="DJ25" s="304">
        <f>HLOOKUP(DJ$17,Power_Gen_Mix!$B$3:$S$9,ROW(Power_Gen_Mix!$A9)-ROW(Power_Gen_Mix!$A$3)+1,FALSE)</f>
        <v>0.36313076900678448</v>
      </c>
      <c r="DK25" s="304">
        <f>HLOOKUP(DK$17,Power_Gen_Mix!$B$3:$S$9,ROW(Power_Gen_Mix!$A9)-ROW(Power_Gen_Mix!$A$3)+1,FALSE)</f>
        <v>0.36313076900678448</v>
      </c>
      <c r="DL25" s="304">
        <f>HLOOKUP(DL$17,Power_Gen_Mix!$B$3:$S$9,ROW(Power_Gen_Mix!$A9)-ROW(Power_Gen_Mix!$A$3)+1,FALSE)</f>
        <v>0.36313076900678448</v>
      </c>
      <c r="DM25" s="304">
        <f>HLOOKUP(DM$17,Power_Gen_Mix!$B$3:$S$9,ROW(Power_Gen_Mix!$A9)-ROW(Power_Gen_Mix!$A$3)+1,FALSE)</f>
        <v>0.36313076900678448</v>
      </c>
      <c r="DN25" s="304">
        <f>HLOOKUP(DN$17,Power_Gen_Mix!$B$3:$S$9,ROW(Power_Gen_Mix!$A9)-ROW(Power_Gen_Mix!$A$3)+1,FALSE)</f>
        <v>0.36313076900678448</v>
      </c>
      <c r="DO25" s="304">
        <f>HLOOKUP(DO$17,Power_Gen_Mix!$B$3:$S$9,ROW(Power_Gen_Mix!$A9)-ROW(Power_Gen_Mix!$A$3)+1,FALSE)</f>
        <v>0.36313076900678448</v>
      </c>
      <c r="DP25" s="304">
        <f>HLOOKUP(DP$17,Power_Gen_Mix!$B$3:$S$9,ROW(Power_Gen_Mix!$A9)-ROW(Power_Gen_Mix!$A$3)+1,FALSE)</f>
        <v>0.36313076900678448</v>
      </c>
      <c r="DQ25" s="304">
        <f>HLOOKUP(DQ$17,Power_Gen_Mix!$B$3:$S$9,ROW(Power_Gen_Mix!$A9)-ROW(Power_Gen_Mix!$A$3)+1,FALSE)</f>
        <v>0.36313076900678448</v>
      </c>
      <c r="DR25" s="304">
        <f>HLOOKUP(DR$17,Power_Gen_Mix!$B$3:$S$9,ROW(Power_Gen_Mix!$A9)-ROW(Power_Gen_Mix!$A$3)+1,FALSE)</f>
        <v>0.36313076900678448</v>
      </c>
      <c r="DS25" s="304">
        <f>HLOOKUP(DS$17,Power_Gen_Mix!$B$3:$S$9,ROW(Power_Gen_Mix!$A9)-ROW(Power_Gen_Mix!$A$3)+1,FALSE)</f>
        <v>1</v>
      </c>
      <c r="DT25" s="304">
        <f>HLOOKUP(DT$17,Power_Gen_Mix!$B$3:$S$9,ROW(Power_Gen_Mix!$A9)-ROW(Power_Gen_Mix!$A$3)+1,FALSE)</f>
        <v>0.36313076900678448</v>
      </c>
      <c r="DU25" s="304">
        <f>HLOOKUP(DU$17,Power_Gen_Mix!$B$3:$S$9,ROW(Power_Gen_Mix!$A9)-ROW(Power_Gen_Mix!$A$3)+1,FALSE)</f>
        <v>0.36313076900678448</v>
      </c>
      <c r="DV25" s="304">
        <f>HLOOKUP(DV$17,Power_Gen_Mix!$B$3:$S$9,ROW(Power_Gen_Mix!$A9)-ROW(Power_Gen_Mix!$A$3)+1,FALSE)</f>
        <v>0.36313076900678448</v>
      </c>
      <c r="DW25" s="304">
        <f>HLOOKUP(DW$17,Power_Gen_Mix!$B$3:$S$9,ROW(Power_Gen_Mix!$A9)-ROW(Power_Gen_Mix!$A$3)+1,FALSE)</f>
        <v>0.36313076900678448</v>
      </c>
      <c r="DX25" s="304">
        <f>HLOOKUP(DX$17,Power_Gen_Mix!$B$3:$S$9,ROW(Power_Gen_Mix!$A9)-ROW(Power_Gen_Mix!$A$3)+1,FALSE)</f>
        <v>0.36313076900678448</v>
      </c>
      <c r="DY25" s="304">
        <f>HLOOKUP(DY$17,Power_Gen_Mix!$B$3:$S$9,ROW(Power_Gen_Mix!$A9)-ROW(Power_Gen_Mix!$A$3)+1,FALSE)</f>
        <v>0.36313076900678448</v>
      </c>
      <c r="DZ25" s="304">
        <f>HLOOKUP(DZ$17,Power_Gen_Mix!$B$3:$S$9,ROW(Power_Gen_Mix!$A9)-ROW(Power_Gen_Mix!$A$3)+1,FALSE)</f>
        <v>0.36313076900678448</v>
      </c>
      <c r="EA25" s="304">
        <f>HLOOKUP(EA$17,Power_Gen_Mix!$B$3:$S$9,ROW(Power_Gen_Mix!$A9)-ROW(Power_Gen_Mix!$A$3)+1,FALSE)</f>
        <v>0.36313076900678448</v>
      </c>
      <c r="EB25" s="304">
        <f>HLOOKUP(EB$17,Power_Gen_Mix!$B$3:$S$9,ROW(Power_Gen_Mix!$A9)-ROW(Power_Gen_Mix!$A$3)+1,FALSE)</f>
        <v>0.36313076900678448</v>
      </c>
      <c r="EC25" s="304">
        <f>HLOOKUP(EC$17,Power_Gen_Mix!$B$3:$S$9,ROW(Power_Gen_Mix!$A9)-ROW(Power_Gen_Mix!$A$3)+1,FALSE)</f>
        <v>0.36313076900678448</v>
      </c>
      <c r="ED25" s="304">
        <f>HLOOKUP(ED$17,Power_Gen_Mix!$B$3:$S$9,ROW(Power_Gen_Mix!$A9)-ROW(Power_Gen_Mix!$A$3)+1,FALSE)</f>
        <v>0.36313076900678448</v>
      </c>
      <c r="EZ25" s="177"/>
    </row>
    <row r="26" spans="1:156" x14ac:dyDescent="0.3">
      <c r="EZ26" s="177"/>
    </row>
    <row r="27" spans="1:156" x14ac:dyDescent="0.3">
      <c r="A27" s="21" t="s">
        <v>903</v>
      </c>
      <c r="B27" s="124" t="s">
        <v>845</v>
      </c>
      <c r="C27" s="21" t="s">
        <v>331</v>
      </c>
      <c r="D27" s="164" t="e">
        <f>IF(D$14="",NA(),VLOOKUP(D$14,WTW_Fuel_properties!$A$4:$C$5,3,FALSE))</f>
        <v>#N/A</v>
      </c>
      <c r="E27" s="164" t="e">
        <f>IF(E$14="",NA(),VLOOKUP(E$14,WTW_Fuel_properties!$A$4:$C$5,3,FALSE))</f>
        <v>#N/A</v>
      </c>
      <c r="F27" s="164" t="e">
        <f>IF(F$14="",NA(),VLOOKUP(F$14,WTW_Fuel_properties!$A$4:$C$5,3,FALSE))</f>
        <v>#N/A</v>
      </c>
      <c r="G27" s="164" t="e">
        <f>IF(G$14="",NA(),VLOOKUP(G$14,WTW_Fuel_properties!$A$4:$C$5,3,FALSE))</f>
        <v>#N/A</v>
      </c>
      <c r="H27" s="164" t="e">
        <f>IF(H$14="",NA(),VLOOKUP(H$14,WTW_Fuel_properties!$A$4:$C$5,3,FALSE))</f>
        <v>#N/A</v>
      </c>
      <c r="I27" s="164" t="e">
        <f>IF(I$14="",NA(),VLOOKUP(I$14,WTW_Fuel_properties!$A$4:$C$5,3,FALSE))</f>
        <v>#N/A</v>
      </c>
      <c r="J27" s="164" t="e">
        <f>IF(J$14="",NA(),VLOOKUP(J$14,WTW_Fuel_properties!$A$4:$C$5,3,FALSE))</f>
        <v>#N/A</v>
      </c>
      <c r="K27" s="164" t="e">
        <f>IF(K$14="",NA(),VLOOKUP(K$14,WTW_Fuel_properties!$A$4:$C$5,3,FALSE))</f>
        <v>#N/A</v>
      </c>
      <c r="L27" s="164" t="e">
        <f>IF(L$14="",NA(),VLOOKUP(L$14,WTW_Fuel_properties!$A$4:$C$5,3,FALSE))</f>
        <v>#N/A</v>
      </c>
      <c r="M27" s="164" t="e">
        <f>IF(M$14="",NA(),VLOOKUP(M$14,WTW_Fuel_properties!$A$4:$C$5,3,FALSE))</f>
        <v>#N/A</v>
      </c>
      <c r="N27" s="164" t="e">
        <f>IF(N$14="",NA(),VLOOKUP(N$14,WTW_Fuel_properties!$A$4:$C$5,3,FALSE))</f>
        <v>#N/A</v>
      </c>
      <c r="O27" s="164" t="e">
        <f>IF(O$14="",NA(),VLOOKUP(O$14,WTW_Fuel_properties!$A$4:$C$5,3,FALSE))</f>
        <v>#N/A</v>
      </c>
      <c r="P27" s="164" t="e">
        <f>IF(P$14="",NA(),VLOOKUP(P$14,WTW_Fuel_properties!$A$4:$C$5,3,FALSE))</f>
        <v>#N/A</v>
      </c>
      <c r="Q27" s="164" t="e">
        <f>IF(Q$14="",NA(),VLOOKUP(Q$14,WTW_Fuel_properties!$A$4:$C$5,3,FALSE))</f>
        <v>#N/A</v>
      </c>
      <c r="R27" s="164" t="e">
        <f>IF(R$14="",NA(),VLOOKUP(R$14,WTW_Fuel_properties!$A$4:$C$5,3,FALSE))</f>
        <v>#N/A</v>
      </c>
      <c r="S27" s="164" t="e">
        <f>IF(S$14="",NA(),VLOOKUP(S$14,WTW_Fuel_properties!$A$4:$C$5,3,FALSE))</f>
        <v>#N/A</v>
      </c>
      <c r="T27" s="164" t="e">
        <f>IF(T$14="",NA(),VLOOKUP(T$14,WTW_Fuel_properties!$A$4:$C$5,3,FALSE))</f>
        <v>#N/A</v>
      </c>
      <c r="U27" s="164" t="e">
        <f>IF(U$14="",NA(),VLOOKUP(U$14,WTW_Fuel_properties!$A$4:$C$5,3,FALSE))</f>
        <v>#N/A</v>
      </c>
      <c r="V27" s="164" t="e">
        <f>IF(V$14="",NA(),VLOOKUP(V$14,WTW_Fuel_properties!$A$4:$C$5,3,FALSE))</f>
        <v>#N/A</v>
      </c>
      <c r="W27" s="164" t="e">
        <f>IF(W$14="",NA(),VLOOKUP(W$14,WTW_Fuel_properties!$A$4:$C$5,3,FALSE))</f>
        <v>#N/A</v>
      </c>
      <c r="X27" s="164" t="e">
        <f>IF(X$14="",NA(),VLOOKUP(X$14,WTW_Fuel_properties!$A$4:$C$5,3,FALSE))</f>
        <v>#N/A</v>
      </c>
      <c r="Y27" s="164" t="e">
        <f>IF(Y$14="",NA(),VLOOKUP(Y$14,WTW_Fuel_properties!$A$4:$C$5,3,FALSE))</f>
        <v>#N/A</v>
      </c>
      <c r="Z27" s="164" t="e">
        <f>IF(Z$14="",NA(),VLOOKUP(Z$14,WTW_Fuel_properties!$A$4:$C$5,3,FALSE))</f>
        <v>#N/A</v>
      </c>
      <c r="AA27" s="164" t="e">
        <f>IF(AA$14="",NA(),VLOOKUP(AA$14,WTW_Fuel_properties!$A$4:$C$5,3,FALSE))</f>
        <v>#N/A</v>
      </c>
      <c r="AB27" s="164" t="e">
        <f>IF(AB$14="",NA(),VLOOKUP(AB$14,WTW_Fuel_properties!$A$4:$C$5,3,FALSE))</f>
        <v>#N/A</v>
      </c>
      <c r="AC27" s="164" t="e">
        <f>IF(AC$14="",NA(),VLOOKUP(AC$14,WTW_Fuel_properties!$A$4:$C$5,3,FALSE))</f>
        <v>#N/A</v>
      </c>
      <c r="AD27" s="164" t="e">
        <f>IF(AD$14="",NA(),VLOOKUP(AD$14,WTW_Fuel_properties!$A$4:$C$5,3,FALSE))</f>
        <v>#N/A</v>
      </c>
      <c r="AE27" s="164" t="e">
        <f>IF(AE$14="",NA(),VLOOKUP(AE$14,WTW_Fuel_properties!$A$4:$C$5,3,FALSE))</f>
        <v>#N/A</v>
      </c>
      <c r="AF27" s="164" t="e">
        <f>IF(AF$14="",NA(),VLOOKUP(AF$14,WTW_Fuel_properties!$A$4:$C$5,3,FALSE))</f>
        <v>#N/A</v>
      </c>
      <c r="AG27" s="164" t="e">
        <f>IF(AG$14="",NA(),VLOOKUP(AG$14,WTW_Fuel_properties!$A$4:$C$5,3,FALSE))</f>
        <v>#N/A</v>
      </c>
      <c r="AH27" s="164" t="e">
        <f>IF(AH$14="",NA(),VLOOKUP(AH$14,WTW_Fuel_properties!$A$4:$C$5,3,FALSE))</f>
        <v>#N/A</v>
      </c>
      <c r="AI27" s="164" t="e">
        <f>IF(AI$14="",NA(),VLOOKUP(AI$14,WTW_Fuel_properties!$A$4:$C$5,3,FALSE))</f>
        <v>#N/A</v>
      </c>
      <c r="AJ27" s="164" t="e">
        <f>IF(AJ$14="",NA(),VLOOKUP(AJ$14,WTW_Fuel_properties!$A$4:$C$5,3,FALSE))</f>
        <v>#N/A</v>
      </c>
      <c r="AK27" s="164">
        <f>IF(AK$14="",NA(),VLOOKUP(AK$14,WTW_Fuel_properties!$A$4:$C$5,3,FALSE))</f>
        <v>0.22172096119113635</v>
      </c>
      <c r="AL27" s="164" t="e">
        <f>IF(AL$14="",NA(),VLOOKUP(AL$14,WTW_Fuel_properties!$A$4:$C$5,3,FALSE))</f>
        <v>#N/A</v>
      </c>
      <c r="AM27" s="164">
        <f>IF(AM$14="",NA(),VLOOKUP(AM$14,WTW_Fuel_properties!$A$4:$C$5,3,FALSE))</f>
        <v>0.22172096119113635</v>
      </c>
      <c r="AN27" s="164" t="e">
        <f>IF(AN$14="",NA(),VLOOKUP(AN$14,WTW_Fuel_properties!$A$4:$C$5,3,FALSE))</f>
        <v>#N/A</v>
      </c>
      <c r="AO27" s="164">
        <f>IF(AO$14="",NA(),VLOOKUP(AO$14,WTW_Fuel_properties!$A$4:$C$5,3,FALSE))</f>
        <v>0.22172096119113635</v>
      </c>
      <c r="AP27" s="164">
        <f>IF(AP$14="",NA(),VLOOKUP(AP$14,WTW_Fuel_properties!$A$4:$C$5,3,FALSE))</f>
        <v>0.22172096119113635</v>
      </c>
      <c r="AQ27" s="164">
        <f>IF(AQ$14="",NA(),VLOOKUP(AQ$14,WTW_Fuel_properties!$A$4:$C$5,3,FALSE))</f>
        <v>0.22172096119113635</v>
      </c>
      <c r="AR27" s="164" t="e">
        <f>IF(AR$14="",NA(),VLOOKUP(AR$14,WTW_Fuel_properties!$A$4:$C$5,3,FALSE))</f>
        <v>#N/A</v>
      </c>
      <c r="AS27" s="164" t="e">
        <f>IF(AS$14="",NA(),VLOOKUP(AS$14,WTW_Fuel_properties!$A$4:$C$5,3,FALSE))</f>
        <v>#N/A</v>
      </c>
      <c r="AT27" s="164" t="e">
        <f>IF(AT$14="",NA(),VLOOKUP(AT$14,WTW_Fuel_properties!$A$4:$C$5,3,FALSE))</f>
        <v>#N/A</v>
      </c>
      <c r="AU27" s="164" t="e">
        <f>IF(AU$14="",NA(),VLOOKUP(AU$14,WTW_Fuel_properties!$A$4:$C$5,3,FALSE))</f>
        <v>#N/A</v>
      </c>
      <c r="AV27" s="164" t="e">
        <f>IF(AV$14="",NA(),VLOOKUP(AV$14,WTW_Fuel_properties!$A$4:$C$5,3,FALSE))</f>
        <v>#N/A</v>
      </c>
      <c r="AW27" s="164" t="e">
        <f>IF(AW$14="",NA(),VLOOKUP(AW$14,WTW_Fuel_properties!$A$4:$C$5,3,FALSE))</f>
        <v>#N/A</v>
      </c>
      <c r="AX27" s="164" t="e">
        <f>IF(AX$14="",NA(),VLOOKUP(AX$14,WTW_Fuel_properties!$A$4:$C$5,3,FALSE))</f>
        <v>#N/A</v>
      </c>
      <c r="AY27" s="164" t="e">
        <f>IF(AY$14="",NA(),VLOOKUP(AY$14,WTW_Fuel_properties!$A$4:$C$5,3,FALSE))</f>
        <v>#N/A</v>
      </c>
      <c r="AZ27" s="164" t="e">
        <f>IF(AZ$14="",NA(),VLOOKUP(AZ$14,WTW_Fuel_properties!$A$4:$C$5,3,FALSE))</f>
        <v>#N/A</v>
      </c>
      <c r="BA27" s="164" t="e">
        <f>IF(BA$14="",NA(),VLOOKUP(BA$14,WTW_Fuel_properties!$A$4:$C$5,3,FALSE))</f>
        <v>#N/A</v>
      </c>
      <c r="BB27" s="164" t="e">
        <f>IF(BB$14="",NA(),VLOOKUP(BB$14,WTW_Fuel_properties!$A$4:$C$5,3,FALSE))</f>
        <v>#N/A</v>
      </c>
      <c r="BC27" s="164">
        <f>IF(BC$14="",NA(),VLOOKUP(BC$14,WTW_Fuel_properties!$A$4:$C$5,3,FALSE))</f>
        <v>0.22172096119113635</v>
      </c>
      <c r="BD27" s="164">
        <f>IF(BD$14="",NA(),VLOOKUP(BD$14,WTW_Fuel_properties!$A$4:$C$5,3,FALSE))</f>
        <v>0.22172096119113635</v>
      </c>
      <c r="BE27" s="164">
        <f>IF(BE$14="",NA(),VLOOKUP(BE$14,WTW_Fuel_properties!$A$4:$C$5,3,FALSE))</f>
        <v>0.22172096119113635</v>
      </c>
      <c r="BF27" s="164">
        <f>IF(BF$14="",NA(),VLOOKUP(BF$14,WTW_Fuel_properties!$A$4:$C$5,3,FALSE))</f>
        <v>0.22172096119113635</v>
      </c>
      <c r="BG27" s="164">
        <f>IF(BG$14="",NA(),VLOOKUP(BG$14,WTW_Fuel_properties!$A$4:$C$5,3,FALSE))</f>
        <v>0.22172096119113635</v>
      </c>
      <c r="BH27" s="164">
        <f>IF(BH$14="",NA(),VLOOKUP(BH$14,WTW_Fuel_properties!$A$4:$C$5,3,FALSE))</f>
        <v>0.22172096119113635</v>
      </c>
      <c r="BI27" s="164">
        <f>IF(BI$14="",NA(),VLOOKUP(BI$14,WTW_Fuel_properties!$A$4:$C$5,3,FALSE))</f>
        <v>0.22172096119113635</v>
      </c>
      <c r="BJ27" s="164">
        <f>IF(BJ$14="",NA(),VLOOKUP(BJ$14,WTW_Fuel_properties!$A$4:$C$5,3,FALSE))</f>
        <v>0.22172096119113635</v>
      </c>
      <c r="BK27" s="164">
        <f>IF(BK$14="",NA(),VLOOKUP(BK$14,WTW_Fuel_properties!$A$4:$C$5,3,FALSE))</f>
        <v>0.22172096119113635</v>
      </c>
      <c r="BL27" s="164" t="e">
        <f>IF(BL$14="",NA(),VLOOKUP(BL$14,WTW_Fuel_properties!$A$4:$C$5,3,FALSE))</f>
        <v>#N/A</v>
      </c>
      <c r="BM27" s="164" t="e">
        <f>IF(BM$14="",NA(),VLOOKUP(BM$14,WTW_Fuel_properties!$A$4:$C$5,3,FALSE))</f>
        <v>#N/A</v>
      </c>
      <c r="BN27" s="164" t="e">
        <f>IF(BN$14="",NA(),VLOOKUP(BN$14,WTW_Fuel_properties!$A$4:$C$5,3,FALSE))</f>
        <v>#N/A</v>
      </c>
      <c r="BO27" s="164" t="e">
        <f>IF(BO$14="",NA(),VLOOKUP(BO$14,WTW_Fuel_properties!$A$4:$C$5,3,FALSE))</f>
        <v>#N/A</v>
      </c>
      <c r="BP27" s="164" t="e">
        <f>IF(BP$14="",NA(),VLOOKUP(BP$14,WTW_Fuel_properties!$A$4:$C$5,3,FALSE))</f>
        <v>#N/A</v>
      </c>
      <c r="BQ27" s="164" t="e">
        <f>IF(BQ$14="",NA(),VLOOKUP(BQ$14,WTW_Fuel_properties!$A$4:$C$5,3,FALSE))</f>
        <v>#N/A</v>
      </c>
      <c r="BR27" s="164" t="e">
        <f>IF(BR$14="",NA(),VLOOKUP(BR$14,WTW_Fuel_properties!$A$4:$C$5,3,FALSE))</f>
        <v>#N/A</v>
      </c>
      <c r="BS27" s="164" t="e">
        <f>IF(BS$14="",NA(),VLOOKUP(BS$14,WTW_Fuel_properties!$A$4:$C$5,3,FALSE))</f>
        <v>#N/A</v>
      </c>
      <c r="BT27" s="164" t="e">
        <f>IF(BT$14="",NA(),VLOOKUP(BT$14,WTW_Fuel_properties!$A$4:$C$5,3,FALSE))</f>
        <v>#N/A</v>
      </c>
      <c r="BU27" s="164" t="e">
        <f>IF(BU$14="",NA(),VLOOKUP(BU$14,WTW_Fuel_properties!$A$4:$C$5,3,FALSE))</f>
        <v>#N/A</v>
      </c>
      <c r="BV27" s="164" t="e">
        <f>IF(BV$14="",NA(),VLOOKUP(BV$14,WTW_Fuel_properties!$A$4:$C$5,3,FALSE))</f>
        <v>#N/A</v>
      </c>
      <c r="BW27" s="164" t="e">
        <f>IF(BW$14="",NA(),VLOOKUP(BW$14,WTW_Fuel_properties!$A$4:$C$5,3,FALSE))</f>
        <v>#N/A</v>
      </c>
      <c r="BX27" s="164" t="e">
        <f>IF(BX$14="",NA(),VLOOKUP(BX$14,WTW_Fuel_properties!$A$4:$C$5,3,FALSE))</f>
        <v>#N/A</v>
      </c>
      <c r="BY27" s="164" t="e">
        <f>IF(BY$14="",NA(),VLOOKUP(BY$14,WTW_Fuel_properties!$A$4:$C$5,3,FALSE))</f>
        <v>#N/A</v>
      </c>
      <c r="BZ27" s="164" t="e">
        <f>IF(BZ$14="",NA(),VLOOKUP(BZ$14,WTW_Fuel_properties!$A$4:$C$5,3,FALSE))</f>
        <v>#N/A</v>
      </c>
      <c r="CA27" s="164" t="e">
        <f>IF(CA$14="",NA(),VLOOKUP(CA$14,WTW_Fuel_properties!$A$4:$C$5,3,FALSE))</f>
        <v>#N/A</v>
      </c>
      <c r="CB27" s="164" t="e">
        <f>IF(CB$14="",NA(),VLOOKUP(CB$14,WTW_Fuel_properties!$A$4:$C$5,3,FALSE))</f>
        <v>#N/A</v>
      </c>
      <c r="CC27" s="164" t="e">
        <f>IF(CC$14="",NA(),VLOOKUP(CC$14,WTW_Fuel_properties!$A$4:$C$5,3,FALSE))</f>
        <v>#N/A</v>
      </c>
      <c r="CD27" s="164" t="e">
        <f>IF(CD$14="",NA(),VLOOKUP(CD$14,WTW_Fuel_properties!$A$4:$C$5,3,FALSE))</f>
        <v>#N/A</v>
      </c>
      <c r="CE27" s="164" t="e">
        <f>IF(CE$14="",NA(),VLOOKUP(CE$14,WTW_Fuel_properties!$A$4:$C$5,3,FALSE))</f>
        <v>#N/A</v>
      </c>
      <c r="CF27" s="164" t="e">
        <f>IF(CF$14="",NA(),VLOOKUP(CF$14,WTW_Fuel_properties!$A$4:$C$5,3,FALSE))</f>
        <v>#N/A</v>
      </c>
      <c r="CG27" s="164" t="e">
        <f>IF(CG$14="",NA(),VLOOKUP(CG$14,WTW_Fuel_properties!$A$4:$C$5,3,FALSE))</f>
        <v>#N/A</v>
      </c>
      <c r="CH27" s="164">
        <f>IF(CH$14="",NA(),VLOOKUP(CH$14,WTW_Fuel_properties!$A$4:$C$5,3,FALSE))</f>
        <v>0.22172096119113635</v>
      </c>
      <c r="CI27" s="164">
        <f>IF(CI$14="",NA(),VLOOKUP(CI$14,WTW_Fuel_properties!$A$4:$C$5,3,FALSE))</f>
        <v>0.22172096119113635</v>
      </c>
      <c r="CJ27" s="164">
        <f>IF(CJ$14="",NA(),VLOOKUP(CJ$14,WTW_Fuel_properties!$A$4:$C$5,3,FALSE))</f>
        <v>0.22172096119113635</v>
      </c>
      <c r="CK27" s="164" t="e">
        <f>IF(CK$14="",NA(),VLOOKUP(CK$14,WTW_Fuel_properties!$A$4:$C$5,3,FALSE))</f>
        <v>#N/A</v>
      </c>
      <c r="CL27" s="164" t="e">
        <f>IF(CL$14="",NA(),VLOOKUP(CL$14,WTW_Fuel_properties!$A$4:$C$5,3,FALSE))</f>
        <v>#N/A</v>
      </c>
      <c r="CM27" s="164" t="e">
        <f>IF(CM$14="",NA(),VLOOKUP(CM$14,WTW_Fuel_properties!$A$4:$C$5,3,FALSE))</f>
        <v>#N/A</v>
      </c>
      <c r="CN27" s="164">
        <f>IF(CN$14="",NA(),VLOOKUP(CN$14,WTW_Fuel_properties!$A$4:$C$5,3,FALSE))</f>
        <v>0.22172096119113635</v>
      </c>
      <c r="CO27" s="164">
        <f>IF(CO$14="",NA(),VLOOKUP(CO$14,WTW_Fuel_properties!$A$4:$C$5,3,FALSE))</f>
        <v>0.22172096119113635</v>
      </c>
      <c r="CP27" s="164">
        <f>IF(CP$14="",NA(),VLOOKUP(CP$14,WTW_Fuel_properties!$A$4:$C$5,3,FALSE))</f>
        <v>0.22172096119113635</v>
      </c>
      <c r="CQ27" s="164" t="e">
        <f>IF(CQ$14="",NA(),VLOOKUP(CQ$14,WTW_Fuel_properties!$A$4:$C$5,3,FALSE))</f>
        <v>#N/A</v>
      </c>
      <c r="CR27" s="164" t="e">
        <f>IF(CR$14="",NA(),VLOOKUP(CR$14,WTW_Fuel_properties!$A$4:$C$5,3,FALSE))</f>
        <v>#N/A</v>
      </c>
      <c r="CS27" s="164">
        <f>IF(CS$14="",NA(),VLOOKUP(CS$14,WTW_Fuel_properties!$A$4:$C$5,3,FALSE))</f>
        <v>0.22172096119113635</v>
      </c>
      <c r="CT27" s="164">
        <f>IF(CT$14="",NA(),VLOOKUP(CT$14,WTW_Fuel_properties!$A$4:$C$5,3,FALSE))</f>
        <v>0.22172096119113635</v>
      </c>
      <c r="CU27" s="164">
        <f>IF(CU$14="",NA(),VLOOKUP(CU$14,WTW_Fuel_properties!$A$4:$C$5,3,FALSE))</f>
        <v>0.22172096119113635</v>
      </c>
      <c r="CV27" s="164" t="e">
        <f>IF(CV$14="",NA(),VLOOKUP(CV$14,WTW_Fuel_properties!$A$4:$C$5,3,FALSE))</f>
        <v>#N/A</v>
      </c>
      <c r="CW27" s="164" t="e">
        <f>IF(CW$14="",NA(),VLOOKUP(CW$14,WTW_Fuel_properties!$A$4:$C$5,3,FALSE))</f>
        <v>#N/A</v>
      </c>
      <c r="CX27" s="164" t="e">
        <f>IF(CX$14="",NA(),VLOOKUP(CX$14,WTW_Fuel_properties!$A$4:$C$5,3,FALSE))</f>
        <v>#N/A</v>
      </c>
      <c r="CY27" s="164">
        <f>IF(CY$14="",NA(),VLOOKUP(CY$14,WTW_Fuel_properties!$A$4:$C$5,3,FALSE))</f>
        <v>0.22172096119113635</v>
      </c>
      <c r="CZ27" s="164">
        <f>IF(CZ$14="",NA(),VLOOKUP(CZ$14,WTW_Fuel_properties!$A$4:$C$5,3,FALSE))</f>
        <v>0.22172096119113635</v>
      </c>
      <c r="DA27" s="164">
        <f>IF(DA$14="",NA(),VLOOKUP(DA$14,WTW_Fuel_properties!$A$4:$C$5,3,FALSE))</f>
        <v>0.22172096119113635</v>
      </c>
      <c r="DB27" s="164" t="e">
        <f>IF(DB$14="",NA(),VLOOKUP(DB$14,WTW_Fuel_properties!$A$4:$C$5,3,FALSE))</f>
        <v>#N/A</v>
      </c>
      <c r="DC27" s="164" t="e">
        <f>IF(DC$14="",NA(),VLOOKUP(DC$14,WTW_Fuel_properties!$A$4:$C$5,3,FALSE))</f>
        <v>#N/A</v>
      </c>
      <c r="DD27" s="164" t="e">
        <f>IF(DD$14="",NA(),VLOOKUP(DD$14,WTW_Fuel_properties!$A$4:$C$5,3,FALSE))</f>
        <v>#N/A</v>
      </c>
      <c r="DE27" s="164">
        <f>IF(DE$14="",NA(),VLOOKUP(DE$14,WTW_Fuel_properties!$A$4:$C$5,3,FALSE))</f>
        <v>0.22172096119113635</v>
      </c>
      <c r="DF27" s="164">
        <f>IF(DF$14="",NA(),VLOOKUP(DF$14,WTW_Fuel_properties!$A$4:$C$5,3,FALSE))</f>
        <v>0.22172096119113635</v>
      </c>
      <c r="DG27" s="164"/>
      <c r="DH27" s="164" t="e">
        <f>IF(DH$14="",NA(),VLOOKUP(DH$14,WTW_Fuel_properties!$A$4:$C$5,3,FALSE))</f>
        <v>#N/A</v>
      </c>
      <c r="DI27" s="164" t="e">
        <f>IF(DI$14="",NA(),VLOOKUP(DI$14,WTW_Fuel_properties!$A$4:$C$5,3,FALSE))</f>
        <v>#N/A</v>
      </c>
      <c r="DJ27" s="164" t="e">
        <f>IF(DJ$14="",NA(),VLOOKUP(DJ$14,WTW_Fuel_properties!$A$4:$C$5,3,FALSE))</f>
        <v>#N/A</v>
      </c>
      <c r="DK27" s="164">
        <f>IF(DK$14="",NA(),VLOOKUP(DK$14,WTW_Fuel_properties!$A$4:$C$5,3,FALSE))</f>
        <v>0.19770297600991546</v>
      </c>
      <c r="DL27" s="164">
        <f>IF(DL$14="",NA(),VLOOKUP(DL$14,WTW_Fuel_properties!$A$4:$C$5,3,FALSE))</f>
        <v>0.19770297600991546</v>
      </c>
      <c r="DM27" s="164">
        <f>IF(DM$14="",NA(),VLOOKUP(DM$14,WTW_Fuel_properties!$A$4:$C$5,3,FALSE))</f>
        <v>0.19770297600991546</v>
      </c>
      <c r="DN27" s="164">
        <f>IF(DN$14="",NA(),VLOOKUP(DN$14,WTW_Fuel_properties!$A$4:$C$5,3,FALSE))</f>
        <v>0.19770297600991546</v>
      </c>
      <c r="DO27" s="164">
        <f>IF(DO$14="",NA(),VLOOKUP(DO$14,WTW_Fuel_properties!$A$4:$C$5,3,FALSE))</f>
        <v>0.19770297600991546</v>
      </c>
      <c r="DP27" s="164">
        <f>IF(DP$14="",NA(),VLOOKUP(DP$14,WTW_Fuel_properties!$A$4:$C$5,3,FALSE))</f>
        <v>0.19770297600991546</v>
      </c>
      <c r="DQ27" s="164">
        <f>IF(DQ$14="",NA(),VLOOKUP(DQ$14,WTW_Fuel_properties!$A$4:$C$5,3,FALSE))</f>
        <v>0.19770297600991546</v>
      </c>
      <c r="DR27" s="164">
        <f>IF(DR$14="",NA(),VLOOKUP(DR$14,WTW_Fuel_properties!$A$4:$C$5,3,FALSE))</f>
        <v>0.19770297600991546</v>
      </c>
      <c r="DS27" s="164" t="e">
        <f>IF(DS$14="",NA(),VLOOKUP(DS$14,WTW_Fuel_properties!$A$4:$C$5,3,FALSE))</f>
        <v>#N/A</v>
      </c>
      <c r="DT27" s="164" t="e">
        <f>IF(DT$14="",NA(),VLOOKUP(DT$14,WTW_Fuel_properties!$A$4:$C$5,3,FALSE))</f>
        <v>#N/A</v>
      </c>
      <c r="DU27" s="164" t="e">
        <f>IF(DU$14="",NA(),VLOOKUP(DU$14,WTW_Fuel_properties!$A$4:$C$5,3,FALSE))</f>
        <v>#N/A</v>
      </c>
      <c r="DV27" s="164" t="e">
        <f>IF(DV$14="",NA(),VLOOKUP(DV$14,WTW_Fuel_properties!$A$4:$C$5,3,FALSE))</f>
        <v>#N/A</v>
      </c>
      <c r="DW27" s="164" t="e">
        <f>IF(DW$14="",NA(),VLOOKUP(DW$14,WTW_Fuel_properties!$A$4:$C$5,3,FALSE))</f>
        <v>#N/A</v>
      </c>
      <c r="DX27" s="164" t="e">
        <f>IF(DX$14="",NA(),VLOOKUP(DX$14,WTW_Fuel_properties!$A$4:$C$5,3,FALSE))</f>
        <v>#N/A</v>
      </c>
      <c r="DY27" s="164" t="e">
        <f>IF(DY$14="",NA(),VLOOKUP(DY$14,WTW_Fuel_properties!$A$4:$C$5,3,FALSE))</f>
        <v>#N/A</v>
      </c>
      <c r="DZ27" s="164" t="e">
        <f>IF(DZ$14="",NA(),VLOOKUP(DZ$14,WTW_Fuel_properties!$A$4:$C$5,3,FALSE))</f>
        <v>#N/A</v>
      </c>
      <c r="EA27" s="164" t="e">
        <f>IF(EA$14="",NA(),VLOOKUP(EA$14,WTW_Fuel_properties!$A$4:$C$5,3,FALSE))</f>
        <v>#N/A</v>
      </c>
      <c r="EB27" s="164" t="e">
        <f>IF(EB$14="",NA(),VLOOKUP(EB$14,WTW_Fuel_properties!$A$4:$C$5,3,FALSE))</f>
        <v>#N/A</v>
      </c>
      <c r="EC27" s="164" t="e">
        <f>IF(EC$14="",NA(),VLOOKUP(EC$14,WTW_Fuel_properties!$A$4:$C$5,3,FALSE))</f>
        <v>#N/A</v>
      </c>
      <c r="ED27" s="164" t="e">
        <f>IF(ED$14="",NA(),VLOOKUP(ED$14,WTW_Fuel_properties!$A$4:$C$5,3,FALSE))</f>
        <v>#N/A</v>
      </c>
      <c r="EE27" s="74"/>
    </row>
    <row r="28" spans="1:156" x14ac:dyDescent="0.3">
      <c r="A28" s="21" t="s">
        <v>846</v>
      </c>
      <c r="B28" s="21" t="s">
        <v>845</v>
      </c>
      <c r="C28" s="21" t="s">
        <v>331</v>
      </c>
      <c r="D28" s="380">
        <f>(D20*WTW_Fuel_properties!$I$45+D21*WTW_Fuel_properties!$I$46+D22*WTW_Fuel_properties!$I$47+D23*WTW_Fuel_properties!$I$48+D24*WTW_Fuel_properties!$I$49+D25*WTW_Fuel_properties!$I$50)-1</f>
        <v>1.5941846809027087</v>
      </c>
      <c r="E28" s="380">
        <f>(E20*WTW_Fuel_properties!$I$45+E21*WTW_Fuel_properties!$I$46+E22*WTW_Fuel_properties!$I$47+E23*WTW_Fuel_properties!$I$48+E24*WTW_Fuel_properties!$I$49+E25*WTW_Fuel_properties!$I$50)-1</f>
        <v>1.982142386241021</v>
      </c>
      <c r="F28" s="380">
        <f>(F20*WTW_Fuel_properties!$I$45+F21*WTW_Fuel_properties!$I$46+F22*WTW_Fuel_properties!$I$47+F23*WTW_Fuel_properties!$I$48+F24*WTW_Fuel_properties!$I$49+F25*WTW_Fuel_properties!$I$50)-1</f>
        <v>5.1524710830704645E-2</v>
      </c>
      <c r="G28" s="380">
        <f>(G20*WTW_Fuel_properties!$I$45+G21*WTW_Fuel_properties!$I$46+G22*WTW_Fuel_properties!$I$47+G23*WTW_Fuel_properties!$I$48+G24*WTW_Fuel_properties!$I$49+G25*WTW_Fuel_properties!$I$50)-1</f>
        <v>1.5941846809027087</v>
      </c>
      <c r="H28" s="380">
        <f>(H20*WTW_Fuel_properties!$I$45+H21*WTW_Fuel_properties!$I$46+H22*WTW_Fuel_properties!$I$47+H23*WTW_Fuel_properties!$I$48+H24*WTW_Fuel_properties!$I$49+H25*WTW_Fuel_properties!$I$50)-1</f>
        <v>1.5941846809027087</v>
      </c>
      <c r="I28" s="380">
        <f>(I20*WTW_Fuel_properties!$I$45+I21*WTW_Fuel_properties!$I$46+I22*WTW_Fuel_properties!$I$47+I23*WTW_Fuel_properties!$I$48+I24*WTW_Fuel_properties!$I$49+I25*WTW_Fuel_properties!$I$50)-1</f>
        <v>1.5941846809027087</v>
      </c>
      <c r="J28" s="380">
        <f>(J20*WTW_Fuel_properties!$I$45+J21*WTW_Fuel_properties!$I$46+J22*WTW_Fuel_properties!$I$47+J23*WTW_Fuel_properties!$I$48+J24*WTW_Fuel_properties!$I$49+J25*WTW_Fuel_properties!$I$50)-1</f>
        <v>1.5941846809027087</v>
      </c>
      <c r="K28" s="380">
        <f>(K20*WTW_Fuel_properties!$I$45+K21*WTW_Fuel_properties!$I$46+K22*WTW_Fuel_properties!$I$47+K23*WTW_Fuel_properties!$I$48+K24*WTW_Fuel_properties!$I$49+K25*WTW_Fuel_properties!$I$50)-1</f>
        <v>1.5941846809027087</v>
      </c>
      <c r="L28" s="380">
        <f>(L20*WTW_Fuel_properties!$I$45+L21*WTW_Fuel_properties!$I$46+L22*WTW_Fuel_properties!$I$47+L23*WTW_Fuel_properties!$I$48+L24*WTW_Fuel_properties!$I$49+L25*WTW_Fuel_properties!$I$50)-1</f>
        <v>1.5941846809027087</v>
      </c>
      <c r="M28" s="380">
        <f>(M20*WTW_Fuel_properties!$I$45+M21*WTW_Fuel_properties!$I$46+M22*WTW_Fuel_properties!$I$47+M23*WTW_Fuel_properties!$I$48+M24*WTW_Fuel_properties!$I$49+M25*WTW_Fuel_properties!$I$50)-1</f>
        <v>1.5941846809027087</v>
      </c>
      <c r="N28" s="380">
        <f>(N20*WTW_Fuel_properties!$I$45+N21*WTW_Fuel_properties!$I$46+N22*WTW_Fuel_properties!$I$47+N23*WTW_Fuel_properties!$I$48+N24*WTW_Fuel_properties!$I$49+N25*WTW_Fuel_properties!$I$50)-1</f>
        <v>1.5941846809027087</v>
      </c>
      <c r="O28" s="380">
        <f>(O20*WTW_Fuel_properties!$I$45+O21*WTW_Fuel_properties!$I$46+O22*WTW_Fuel_properties!$I$47+O23*WTW_Fuel_properties!$I$48+O24*WTW_Fuel_properties!$I$49+O25*WTW_Fuel_properties!$I$50)-1</f>
        <v>1.5941846809027087</v>
      </c>
      <c r="P28" s="380">
        <f>(P20*WTW_Fuel_properties!$I$45+P21*WTW_Fuel_properties!$I$46+P22*WTW_Fuel_properties!$I$47+P23*WTW_Fuel_properties!$I$48+P24*WTW_Fuel_properties!$I$49+P25*WTW_Fuel_properties!$I$50)-1</f>
        <v>1.5941846809027087</v>
      </c>
      <c r="Q28" s="380">
        <f>(Q20*WTW_Fuel_properties!$I$45+Q21*WTW_Fuel_properties!$I$46+Q22*WTW_Fuel_properties!$I$47+Q23*WTW_Fuel_properties!$I$48+Q24*WTW_Fuel_properties!$I$49+Q25*WTW_Fuel_properties!$I$50)-1</f>
        <v>1.5941846809027087</v>
      </c>
      <c r="R28" s="380">
        <f>(R20*WTW_Fuel_properties!$I$45+R21*WTW_Fuel_properties!$I$46+R22*WTW_Fuel_properties!$I$47+R23*WTW_Fuel_properties!$I$48+R24*WTW_Fuel_properties!$I$49+R25*WTW_Fuel_properties!$I$50)-1</f>
        <v>1.5941846809027087</v>
      </c>
      <c r="S28" s="380">
        <f>(S20*WTW_Fuel_properties!$I$45+S21*WTW_Fuel_properties!$I$46+S22*WTW_Fuel_properties!$I$47+S23*WTW_Fuel_properties!$I$48+S24*WTW_Fuel_properties!$I$49+S25*WTW_Fuel_properties!$I$50)-1</f>
        <v>1.5941846809027087</v>
      </c>
      <c r="T28" s="380">
        <f>(T20*WTW_Fuel_properties!$I$45+T21*WTW_Fuel_properties!$I$46+T22*WTW_Fuel_properties!$I$47+T23*WTW_Fuel_properties!$I$48+T24*WTW_Fuel_properties!$I$49+T25*WTW_Fuel_properties!$I$50)-1</f>
        <v>1.5941846809027087</v>
      </c>
      <c r="U28" s="380">
        <f>(U20*WTW_Fuel_properties!$I$45+U21*WTW_Fuel_properties!$I$46+U22*WTW_Fuel_properties!$I$47+U23*WTW_Fuel_properties!$I$48+U24*WTW_Fuel_properties!$I$49+U25*WTW_Fuel_properties!$I$50)-1</f>
        <v>1.982142386241021</v>
      </c>
      <c r="V28" s="380">
        <f>(V20*WTW_Fuel_properties!$I$45+V21*WTW_Fuel_properties!$I$46+V22*WTW_Fuel_properties!$I$47+V23*WTW_Fuel_properties!$I$48+V24*WTW_Fuel_properties!$I$49+V25*WTW_Fuel_properties!$I$50)-1</f>
        <v>5.1524710830704645E-2</v>
      </c>
      <c r="W28" s="380">
        <f>(W20*WTW_Fuel_properties!$I$45+W21*WTW_Fuel_properties!$I$46+W22*WTW_Fuel_properties!$I$47+W23*WTW_Fuel_properties!$I$48+W24*WTW_Fuel_properties!$I$49+W25*WTW_Fuel_properties!$I$50)-1</f>
        <v>1.5941846809027087</v>
      </c>
      <c r="X28" s="380">
        <f>(X20*WTW_Fuel_properties!$I$45+X21*WTW_Fuel_properties!$I$46+X22*WTW_Fuel_properties!$I$47+X23*WTW_Fuel_properties!$I$48+X24*WTW_Fuel_properties!$I$49+X25*WTW_Fuel_properties!$I$50)-1</f>
        <v>5.1524710830704645E-2</v>
      </c>
      <c r="Y28" s="380">
        <f>(Y20*WTW_Fuel_properties!$I$45+Y21*WTW_Fuel_properties!$I$46+Y22*WTW_Fuel_properties!$I$47+Y23*WTW_Fuel_properties!$I$48+Y24*WTW_Fuel_properties!$I$49+Y25*WTW_Fuel_properties!$I$50)-1</f>
        <v>5.1524710830704645E-2</v>
      </c>
      <c r="Z28" s="380">
        <f>(Z20*WTW_Fuel_properties!$I$45+Z21*WTW_Fuel_properties!$I$46+Z22*WTW_Fuel_properties!$I$47+Z23*WTW_Fuel_properties!$I$48+Z24*WTW_Fuel_properties!$I$49+Z25*WTW_Fuel_properties!$I$50)-1</f>
        <v>1.5941846809027087</v>
      </c>
      <c r="AA28" s="380">
        <f>(AA20*WTW_Fuel_properties!$I$45+AA21*WTW_Fuel_properties!$I$46+AA22*WTW_Fuel_properties!$I$47+AA23*WTW_Fuel_properties!$I$48+AA24*WTW_Fuel_properties!$I$49+AA25*WTW_Fuel_properties!$I$50)-1</f>
        <v>1.5941846809027087</v>
      </c>
      <c r="AB28" s="380">
        <f>(AB20*WTW_Fuel_properties!$I$45+AB21*WTW_Fuel_properties!$I$46+AB22*WTW_Fuel_properties!$I$47+AB23*WTW_Fuel_properties!$I$48+AB24*WTW_Fuel_properties!$I$49+AB25*WTW_Fuel_properties!$I$50)-1</f>
        <v>1.5941846809027087</v>
      </c>
      <c r="AC28" s="380">
        <f>(AC20*WTW_Fuel_properties!$I$45+AC21*WTW_Fuel_properties!$I$46+AC22*WTW_Fuel_properties!$I$47+AC23*WTW_Fuel_properties!$I$48+AC24*WTW_Fuel_properties!$I$49+AC25*WTW_Fuel_properties!$I$50)-1</f>
        <v>1.5941846809027087</v>
      </c>
      <c r="AD28" s="380">
        <f>(AD20*WTW_Fuel_properties!$I$45+AD21*WTW_Fuel_properties!$I$46+AD22*WTW_Fuel_properties!$I$47+AD23*WTW_Fuel_properties!$I$48+AD24*WTW_Fuel_properties!$I$49+AD25*WTW_Fuel_properties!$I$50)-1</f>
        <v>1.5941846809027087</v>
      </c>
      <c r="AE28" s="380">
        <f>(AE20*WTW_Fuel_properties!$I$45+AE21*WTW_Fuel_properties!$I$46+AE22*WTW_Fuel_properties!$I$47+AE23*WTW_Fuel_properties!$I$48+AE24*WTW_Fuel_properties!$I$49+AE25*WTW_Fuel_properties!$I$50)-1</f>
        <v>1.5941846809027087</v>
      </c>
      <c r="AF28" s="380">
        <f>(AF20*WTW_Fuel_properties!$I$45+AF21*WTW_Fuel_properties!$I$46+AF22*WTW_Fuel_properties!$I$47+AF23*WTW_Fuel_properties!$I$48+AF24*WTW_Fuel_properties!$I$49+AF25*WTW_Fuel_properties!$I$50)-1</f>
        <v>1.5531079019196521</v>
      </c>
      <c r="AG28" s="380">
        <f>(AG20*WTW_Fuel_properties!$I$45+AG21*WTW_Fuel_properties!$I$46+AG22*WTW_Fuel_properties!$I$47+AG23*WTW_Fuel_properties!$I$48+AG24*WTW_Fuel_properties!$I$49+AG25*WTW_Fuel_properties!$I$50)-1</f>
        <v>1.5941846809027087</v>
      </c>
      <c r="AH28" s="380">
        <f>(AH20*WTW_Fuel_properties!$I$45+AH21*WTW_Fuel_properties!$I$46+AH22*WTW_Fuel_properties!$I$47+AH23*WTW_Fuel_properties!$I$48+AH24*WTW_Fuel_properties!$I$49+AH25*WTW_Fuel_properties!$I$50)-1</f>
        <v>1.5941846809027087</v>
      </c>
      <c r="AI28" s="380">
        <f>(AI20*WTW_Fuel_properties!$I$45+AI21*WTW_Fuel_properties!$I$46+AI22*WTW_Fuel_properties!$I$47+AI23*WTW_Fuel_properties!$I$48+AI24*WTW_Fuel_properties!$I$49+AI25*WTW_Fuel_properties!$I$50)-1</f>
        <v>1.5941846809027087</v>
      </c>
      <c r="AJ28" s="380">
        <f>(AJ20*WTW_Fuel_properties!$I$45+AJ21*WTW_Fuel_properties!$I$46+AJ22*WTW_Fuel_properties!$I$47+AJ23*WTW_Fuel_properties!$I$48+AJ24*WTW_Fuel_properties!$I$49+AJ25*WTW_Fuel_properties!$I$50)-1</f>
        <v>1.5941846809027087</v>
      </c>
      <c r="AK28" s="380">
        <f>(AK20*WTW_Fuel_properties!$I$45+AK21*WTW_Fuel_properties!$I$46+AK22*WTW_Fuel_properties!$I$47+AK23*WTW_Fuel_properties!$I$48+AK24*WTW_Fuel_properties!$I$49+AK25*WTW_Fuel_properties!$I$50)-1</f>
        <v>1.5941846809027087</v>
      </c>
      <c r="AL28" s="380">
        <f>(AL20*WTW_Fuel_properties!$I$45+AL21*WTW_Fuel_properties!$I$46+AL22*WTW_Fuel_properties!$I$47+AL23*WTW_Fuel_properties!$I$48+AL24*WTW_Fuel_properties!$I$49+AL25*WTW_Fuel_properties!$I$50)-1</f>
        <v>1.5941846809027087</v>
      </c>
      <c r="AM28" s="380">
        <f>(AM20*WTW_Fuel_properties!$I$45+AM21*WTW_Fuel_properties!$I$46+AM22*WTW_Fuel_properties!$I$47+AM23*WTW_Fuel_properties!$I$48+AM24*WTW_Fuel_properties!$I$49+AM25*WTW_Fuel_properties!$I$50)-1</f>
        <v>1.5941846809027087</v>
      </c>
      <c r="AN28" s="380">
        <f>(AN20*WTW_Fuel_properties!$I$45+AN21*WTW_Fuel_properties!$I$46+AN22*WTW_Fuel_properties!$I$47+AN23*WTW_Fuel_properties!$I$48+AN24*WTW_Fuel_properties!$I$49+AN25*WTW_Fuel_properties!$I$50)-1</f>
        <v>1.5941846809027087</v>
      </c>
      <c r="AO28" s="380">
        <f>(AO20*WTW_Fuel_properties!$I$45+AO21*WTW_Fuel_properties!$I$46+AO22*WTW_Fuel_properties!$I$47+AO23*WTW_Fuel_properties!$I$48+AO24*WTW_Fuel_properties!$I$49+AO25*WTW_Fuel_properties!$I$50)-1</f>
        <v>1.5941846809027087</v>
      </c>
      <c r="AP28" s="380">
        <f>(AP20*WTW_Fuel_properties!$I$45+AP21*WTW_Fuel_properties!$I$46+AP22*WTW_Fuel_properties!$I$47+AP23*WTW_Fuel_properties!$I$48+AP24*WTW_Fuel_properties!$I$49+AP25*WTW_Fuel_properties!$I$50)-1</f>
        <v>1.5941846809027087</v>
      </c>
      <c r="AQ28" s="380">
        <f>(AQ20*WTW_Fuel_properties!$I$45+AQ21*WTW_Fuel_properties!$I$46+AQ22*WTW_Fuel_properties!$I$47+AQ23*WTW_Fuel_properties!$I$48+AQ24*WTW_Fuel_properties!$I$49+AQ25*WTW_Fuel_properties!$I$50)-1</f>
        <v>1.5941846809027087</v>
      </c>
      <c r="AR28" s="380">
        <f>(AR20*WTW_Fuel_properties!$I$45+AR21*WTW_Fuel_properties!$I$46+AR22*WTW_Fuel_properties!$I$47+AR23*WTW_Fuel_properties!$I$48+AR24*WTW_Fuel_properties!$I$49+AR25*WTW_Fuel_properties!$I$50)-1</f>
        <v>1.5941846809027087</v>
      </c>
      <c r="AS28" s="380">
        <f>(AS20*WTW_Fuel_properties!$I$45+AS21*WTW_Fuel_properties!$I$46+AS22*WTW_Fuel_properties!$I$47+AS23*WTW_Fuel_properties!$I$48+AS24*WTW_Fuel_properties!$I$49+AS25*WTW_Fuel_properties!$I$50)-1</f>
        <v>1.982142386241021</v>
      </c>
      <c r="AT28" s="380">
        <f>(AT20*WTW_Fuel_properties!$I$45+AT21*WTW_Fuel_properties!$I$46+AT22*WTW_Fuel_properties!$I$47+AT23*WTW_Fuel_properties!$I$48+AT24*WTW_Fuel_properties!$I$49+AT25*WTW_Fuel_properties!$I$50)-1</f>
        <v>5.1524710830704645E-2</v>
      </c>
      <c r="AU28" s="380">
        <f>(AU20*WTW_Fuel_properties!$I$45+AU21*WTW_Fuel_properties!$I$46+AU22*WTW_Fuel_properties!$I$47+AU23*WTW_Fuel_properties!$I$48+AU24*WTW_Fuel_properties!$I$49+AU25*WTW_Fuel_properties!$I$50)-1</f>
        <v>1.5941846809027087</v>
      </c>
      <c r="AV28" s="380">
        <f>(AV20*WTW_Fuel_properties!$I$45+AV21*WTW_Fuel_properties!$I$46+AV22*WTW_Fuel_properties!$I$47+AV23*WTW_Fuel_properties!$I$48+AV24*WTW_Fuel_properties!$I$49+AV25*WTW_Fuel_properties!$I$50)-1</f>
        <v>1.5941846809027087</v>
      </c>
      <c r="AW28" s="380">
        <f>(AW20*WTW_Fuel_properties!$I$45+AW21*WTW_Fuel_properties!$I$46+AW22*WTW_Fuel_properties!$I$47+AW23*WTW_Fuel_properties!$I$48+AW24*WTW_Fuel_properties!$I$49+AW25*WTW_Fuel_properties!$I$50)-1</f>
        <v>1.5941846809027087</v>
      </c>
      <c r="AX28" s="380">
        <f>(AX20*WTW_Fuel_properties!$I$45+AX21*WTW_Fuel_properties!$I$46+AX22*WTW_Fuel_properties!$I$47+AX23*WTW_Fuel_properties!$I$48+AX24*WTW_Fuel_properties!$I$49+AX25*WTW_Fuel_properties!$I$50)-1</f>
        <v>1.5941846809027087</v>
      </c>
      <c r="AY28" s="380">
        <f>(AY20*WTW_Fuel_properties!$I$45+AY21*WTW_Fuel_properties!$I$46+AY22*WTW_Fuel_properties!$I$47+AY23*WTW_Fuel_properties!$I$48+AY24*WTW_Fuel_properties!$I$49+AY25*WTW_Fuel_properties!$I$50)-1</f>
        <v>1.5941846809027087</v>
      </c>
      <c r="AZ28" s="380">
        <f>(AZ20*WTW_Fuel_properties!$I$45+AZ21*WTW_Fuel_properties!$I$46+AZ22*WTW_Fuel_properties!$I$47+AZ23*WTW_Fuel_properties!$I$48+AZ24*WTW_Fuel_properties!$I$49+AZ25*WTW_Fuel_properties!$I$50)-1</f>
        <v>1.5941846809027087</v>
      </c>
      <c r="BA28" s="380">
        <f>(BA20*WTW_Fuel_properties!$I$45+BA21*WTW_Fuel_properties!$I$46+BA22*WTW_Fuel_properties!$I$47+BA23*WTW_Fuel_properties!$I$48+BA24*WTW_Fuel_properties!$I$49+BA25*WTW_Fuel_properties!$I$50)-1</f>
        <v>1.5941846809027087</v>
      </c>
      <c r="BB28" s="380">
        <f>(BB20*WTW_Fuel_properties!$I$45+BB21*WTW_Fuel_properties!$I$46+BB22*WTW_Fuel_properties!$I$47+BB23*WTW_Fuel_properties!$I$48+BB24*WTW_Fuel_properties!$I$49+BB25*WTW_Fuel_properties!$I$50)-1</f>
        <v>1.5941846809027087</v>
      </c>
      <c r="BC28" s="380">
        <f>(BC20*WTW_Fuel_properties!$I$45+BC21*WTW_Fuel_properties!$I$46+BC22*WTW_Fuel_properties!$I$47+BC23*WTW_Fuel_properties!$I$48+BC24*WTW_Fuel_properties!$I$49+BC25*WTW_Fuel_properties!$I$50)-1</f>
        <v>1.5941846809027087</v>
      </c>
      <c r="BD28" s="380">
        <f>(BD20*WTW_Fuel_properties!$I$45+BD21*WTW_Fuel_properties!$I$46+BD22*WTW_Fuel_properties!$I$47+BD23*WTW_Fuel_properties!$I$48+BD24*WTW_Fuel_properties!$I$49+BD25*WTW_Fuel_properties!$I$50)-1</f>
        <v>1.5941846809027087</v>
      </c>
      <c r="BE28" s="380">
        <f>(BE20*WTW_Fuel_properties!$I$45+BE21*WTW_Fuel_properties!$I$46+BE22*WTW_Fuel_properties!$I$47+BE23*WTW_Fuel_properties!$I$48+BE24*WTW_Fuel_properties!$I$49+BE25*WTW_Fuel_properties!$I$50)-1</f>
        <v>1.5941846809027087</v>
      </c>
      <c r="BF28" s="380">
        <f>(BF20*WTW_Fuel_properties!$I$45+BF21*WTW_Fuel_properties!$I$46+BF22*WTW_Fuel_properties!$I$47+BF23*WTW_Fuel_properties!$I$48+BF24*WTW_Fuel_properties!$I$49+BF25*WTW_Fuel_properties!$I$50)-1</f>
        <v>1.5941846809027087</v>
      </c>
      <c r="BG28" s="380">
        <f>(BG20*WTW_Fuel_properties!$I$45+BG21*WTW_Fuel_properties!$I$46+BG22*WTW_Fuel_properties!$I$47+BG23*WTW_Fuel_properties!$I$48+BG24*WTW_Fuel_properties!$I$49+BG25*WTW_Fuel_properties!$I$50)-1</f>
        <v>1.5941846809027087</v>
      </c>
      <c r="BH28" s="380">
        <f>(BH20*WTW_Fuel_properties!$I$45+BH21*WTW_Fuel_properties!$I$46+BH22*WTW_Fuel_properties!$I$47+BH23*WTW_Fuel_properties!$I$48+BH24*WTW_Fuel_properties!$I$49+BH25*WTW_Fuel_properties!$I$50)-1</f>
        <v>1.5941846809027087</v>
      </c>
      <c r="BI28" s="380">
        <f>(BI20*WTW_Fuel_properties!$I$45+BI21*WTW_Fuel_properties!$I$46+BI22*WTW_Fuel_properties!$I$47+BI23*WTW_Fuel_properties!$I$48+BI24*WTW_Fuel_properties!$I$49+BI25*WTW_Fuel_properties!$I$50)-1</f>
        <v>1.5941846809027087</v>
      </c>
      <c r="BJ28" s="380">
        <f>(BJ20*WTW_Fuel_properties!$I$45+BJ21*WTW_Fuel_properties!$I$46+BJ22*WTW_Fuel_properties!$I$47+BJ23*WTW_Fuel_properties!$I$48+BJ24*WTW_Fuel_properties!$I$49+BJ25*WTW_Fuel_properties!$I$50)-1</f>
        <v>1.5941846809027087</v>
      </c>
      <c r="BK28" s="380">
        <f>(BK20*WTW_Fuel_properties!$I$45+BK21*WTW_Fuel_properties!$I$46+BK22*WTW_Fuel_properties!$I$47+BK23*WTW_Fuel_properties!$I$48+BK24*WTW_Fuel_properties!$I$49+BK25*WTW_Fuel_properties!$I$50)-1</f>
        <v>1.5941846809027087</v>
      </c>
      <c r="BL28" s="380">
        <f>(BL20*WTW_Fuel_properties!$I$45+BL21*WTW_Fuel_properties!$I$46+BL22*WTW_Fuel_properties!$I$47+BL23*WTW_Fuel_properties!$I$48+BL24*WTW_Fuel_properties!$I$49+BL25*WTW_Fuel_properties!$I$50)-1</f>
        <v>1.5941846809027087</v>
      </c>
      <c r="BM28" s="380">
        <f>(BM20*WTW_Fuel_properties!$I$45+BM21*WTW_Fuel_properties!$I$46+BM22*WTW_Fuel_properties!$I$47+BM23*WTW_Fuel_properties!$I$48+BM24*WTW_Fuel_properties!$I$49+BM25*WTW_Fuel_properties!$I$50)-1</f>
        <v>1.5941846809027087</v>
      </c>
      <c r="BN28" s="380">
        <f>(BN20*WTW_Fuel_properties!$I$45+BN21*WTW_Fuel_properties!$I$46+BN22*WTW_Fuel_properties!$I$47+BN23*WTW_Fuel_properties!$I$48+BN24*WTW_Fuel_properties!$I$49+BN25*WTW_Fuel_properties!$I$50)-1</f>
        <v>1.5941846809027087</v>
      </c>
      <c r="BO28" s="380">
        <f>(BO20*WTW_Fuel_properties!$I$45+BO21*WTW_Fuel_properties!$I$46+BO22*WTW_Fuel_properties!$I$47+BO23*WTW_Fuel_properties!$I$48+BO24*WTW_Fuel_properties!$I$49+BO25*WTW_Fuel_properties!$I$50)-1</f>
        <v>1.982142386241021</v>
      </c>
      <c r="BP28" s="380">
        <f>(BP20*WTW_Fuel_properties!$I$45+BP21*WTW_Fuel_properties!$I$46+BP22*WTW_Fuel_properties!$I$47+BP23*WTW_Fuel_properties!$I$48+BP24*WTW_Fuel_properties!$I$49+BP25*WTW_Fuel_properties!$I$50)-1</f>
        <v>5.1524710830704645E-2</v>
      </c>
      <c r="BQ28" s="380">
        <f>(BQ20*WTW_Fuel_properties!$I$45+BQ21*WTW_Fuel_properties!$I$46+BQ22*WTW_Fuel_properties!$I$47+BQ23*WTW_Fuel_properties!$I$48+BQ24*WTW_Fuel_properties!$I$49+BQ25*WTW_Fuel_properties!$I$50)-1</f>
        <v>1.5941846809027087</v>
      </c>
      <c r="BR28" s="380">
        <f>(BR20*WTW_Fuel_properties!$I$45+BR21*WTW_Fuel_properties!$I$46+BR22*WTW_Fuel_properties!$I$47+BR23*WTW_Fuel_properties!$I$48+BR24*WTW_Fuel_properties!$I$49+BR25*WTW_Fuel_properties!$I$50)-1</f>
        <v>1.5941846809027087</v>
      </c>
      <c r="BS28" s="380">
        <f>(BS20*WTW_Fuel_properties!$I$45+BS21*WTW_Fuel_properties!$I$46+BS22*WTW_Fuel_properties!$I$47+BS23*WTW_Fuel_properties!$I$48+BS24*WTW_Fuel_properties!$I$49+BS25*WTW_Fuel_properties!$I$50)-1</f>
        <v>1.5941846809027087</v>
      </c>
      <c r="BT28" s="380">
        <f>(BT20*WTW_Fuel_properties!$I$45+BT21*WTW_Fuel_properties!$I$46+BT22*WTW_Fuel_properties!$I$47+BT23*WTW_Fuel_properties!$I$48+BT24*WTW_Fuel_properties!$I$49+BT25*WTW_Fuel_properties!$I$50)-1</f>
        <v>1.5941846809027087</v>
      </c>
      <c r="BU28" s="380">
        <f>(BU20*WTW_Fuel_properties!$I$45+BU21*WTW_Fuel_properties!$I$46+BU22*WTW_Fuel_properties!$I$47+BU23*WTW_Fuel_properties!$I$48+BU24*WTW_Fuel_properties!$I$49+BU25*WTW_Fuel_properties!$I$50)-1</f>
        <v>1.5941846809027087</v>
      </c>
      <c r="BV28" s="380">
        <f>(BV20*WTW_Fuel_properties!$I$45+BV21*WTW_Fuel_properties!$I$46+BV22*WTW_Fuel_properties!$I$47+BV23*WTW_Fuel_properties!$I$48+BV24*WTW_Fuel_properties!$I$49+BV25*WTW_Fuel_properties!$I$50)-1</f>
        <v>1.5941846809027087</v>
      </c>
      <c r="BW28" s="380">
        <f>(BW20*WTW_Fuel_properties!$I$45+BW21*WTW_Fuel_properties!$I$46+BW22*WTW_Fuel_properties!$I$47+BW23*WTW_Fuel_properties!$I$48+BW24*WTW_Fuel_properties!$I$49+BW25*WTW_Fuel_properties!$I$50)-1</f>
        <v>1.5941846809027087</v>
      </c>
      <c r="BX28" s="380">
        <f>(BX20*WTW_Fuel_properties!$I$45+BX21*WTW_Fuel_properties!$I$46+BX22*WTW_Fuel_properties!$I$47+BX23*WTW_Fuel_properties!$I$48+BX24*WTW_Fuel_properties!$I$49+BX25*WTW_Fuel_properties!$I$50)-1</f>
        <v>1.982142386241021</v>
      </c>
      <c r="BY28" s="380">
        <f>(BY20*WTW_Fuel_properties!$I$45+BY21*WTW_Fuel_properties!$I$46+BY22*WTW_Fuel_properties!$I$47+BY23*WTW_Fuel_properties!$I$48+BY24*WTW_Fuel_properties!$I$49+BY25*WTW_Fuel_properties!$I$50)-1</f>
        <v>5.1524710830704645E-2</v>
      </c>
      <c r="BZ28" s="380">
        <f>(BZ20*WTW_Fuel_properties!$I$45+BZ21*WTW_Fuel_properties!$I$46+BZ22*WTW_Fuel_properties!$I$47+BZ23*WTW_Fuel_properties!$I$48+BZ24*WTW_Fuel_properties!$I$49+BZ25*WTW_Fuel_properties!$I$50)-1</f>
        <v>1.5941846809027087</v>
      </c>
      <c r="CA28" s="380">
        <f>(CA20*WTW_Fuel_properties!$I$45+CA21*WTW_Fuel_properties!$I$46+CA22*WTW_Fuel_properties!$I$47+CA23*WTW_Fuel_properties!$I$48+CA24*WTW_Fuel_properties!$I$49+CA25*WTW_Fuel_properties!$I$50)-1</f>
        <v>1.5941846809027087</v>
      </c>
      <c r="CB28" s="380">
        <f>(CB20*WTW_Fuel_properties!$I$45+CB21*WTW_Fuel_properties!$I$46+CB22*WTW_Fuel_properties!$I$47+CB23*WTW_Fuel_properties!$I$48+CB24*WTW_Fuel_properties!$I$49+CB25*WTW_Fuel_properties!$I$50)-1</f>
        <v>1.5941846809027087</v>
      </c>
      <c r="CC28" s="380">
        <f>(CC20*WTW_Fuel_properties!$I$45+CC21*WTW_Fuel_properties!$I$46+CC22*WTW_Fuel_properties!$I$47+CC23*WTW_Fuel_properties!$I$48+CC24*WTW_Fuel_properties!$I$49+CC25*WTW_Fuel_properties!$I$50)-1</f>
        <v>1.5941846809027087</v>
      </c>
      <c r="CD28" s="380">
        <f>(CD20*WTW_Fuel_properties!$I$45+CD21*WTW_Fuel_properties!$I$46+CD22*WTW_Fuel_properties!$I$47+CD23*WTW_Fuel_properties!$I$48+CD24*WTW_Fuel_properties!$I$49+CD25*WTW_Fuel_properties!$I$50)-1</f>
        <v>1.5941846809027087</v>
      </c>
      <c r="CE28" s="380">
        <f>(CE20*WTW_Fuel_properties!$I$45+CE21*WTW_Fuel_properties!$I$46+CE22*WTW_Fuel_properties!$I$47+CE23*WTW_Fuel_properties!$I$48+CE24*WTW_Fuel_properties!$I$49+CE25*WTW_Fuel_properties!$I$50)-1</f>
        <v>1.5941846809027087</v>
      </c>
      <c r="CF28" s="380">
        <f>(CF20*WTW_Fuel_properties!$I$45+CF21*WTW_Fuel_properties!$I$46+CF22*WTW_Fuel_properties!$I$47+CF23*WTW_Fuel_properties!$I$48+CF24*WTW_Fuel_properties!$I$49+CF25*WTW_Fuel_properties!$I$50)-1</f>
        <v>1.5941846809027087</v>
      </c>
      <c r="CG28" s="380">
        <f>(CG20*WTW_Fuel_properties!$I$45+CG21*WTW_Fuel_properties!$I$46+CG22*WTW_Fuel_properties!$I$47+CG23*WTW_Fuel_properties!$I$48+CG24*WTW_Fuel_properties!$I$49+CG25*WTW_Fuel_properties!$I$50)-1</f>
        <v>1.5941846809027087</v>
      </c>
      <c r="CH28" s="380">
        <f>(CH20*WTW_Fuel_properties!$I$45+CH21*WTW_Fuel_properties!$I$46+CH22*WTW_Fuel_properties!$I$47+CH23*WTW_Fuel_properties!$I$48+CH24*WTW_Fuel_properties!$I$49+CH25*WTW_Fuel_properties!$I$50)-1</f>
        <v>1.5941846809027087</v>
      </c>
      <c r="CI28" s="380">
        <f>(CI20*WTW_Fuel_properties!$I$45+CI21*WTW_Fuel_properties!$I$46+CI22*WTW_Fuel_properties!$I$47+CI23*WTW_Fuel_properties!$I$48+CI24*WTW_Fuel_properties!$I$49+CI25*WTW_Fuel_properties!$I$50)-1</f>
        <v>1.5941846809027087</v>
      </c>
      <c r="CJ28" s="380">
        <f>(CJ20*WTW_Fuel_properties!$I$45+CJ21*WTW_Fuel_properties!$I$46+CJ22*WTW_Fuel_properties!$I$47+CJ23*WTW_Fuel_properties!$I$48+CJ24*WTW_Fuel_properties!$I$49+CJ25*WTW_Fuel_properties!$I$50)-1</f>
        <v>1.5941846809027087</v>
      </c>
      <c r="CK28" s="380">
        <f>(CK20*WTW_Fuel_properties!$I$45+CK21*WTW_Fuel_properties!$I$46+CK22*WTW_Fuel_properties!$I$47+CK23*WTW_Fuel_properties!$I$48+CK24*WTW_Fuel_properties!$I$49+CK25*WTW_Fuel_properties!$I$50)-1</f>
        <v>1.5941846809027087</v>
      </c>
      <c r="CL28" s="380">
        <f>(CL20*WTW_Fuel_properties!$I$45+CL21*WTW_Fuel_properties!$I$46+CL22*WTW_Fuel_properties!$I$47+CL23*WTW_Fuel_properties!$I$48+CL24*WTW_Fuel_properties!$I$49+CL25*WTW_Fuel_properties!$I$50)-1</f>
        <v>1.5941846809027087</v>
      </c>
      <c r="CM28" s="380">
        <f>(CM20*WTW_Fuel_properties!$I$45+CM21*WTW_Fuel_properties!$I$46+CM22*WTW_Fuel_properties!$I$47+CM23*WTW_Fuel_properties!$I$48+CM24*WTW_Fuel_properties!$I$49+CM25*WTW_Fuel_properties!$I$50)-1</f>
        <v>1.5941846809027087</v>
      </c>
      <c r="CN28" s="380">
        <f>(CN20*WTW_Fuel_properties!$I$45+CN21*WTW_Fuel_properties!$I$46+CN22*WTW_Fuel_properties!$I$47+CN23*WTW_Fuel_properties!$I$48+CN24*WTW_Fuel_properties!$I$49+CN25*WTW_Fuel_properties!$I$50)-1</f>
        <v>1.5941846809027087</v>
      </c>
      <c r="CO28" s="380">
        <f>(CO20*WTW_Fuel_properties!$I$45+CO21*WTW_Fuel_properties!$I$46+CO22*WTW_Fuel_properties!$I$47+CO23*WTW_Fuel_properties!$I$48+CO24*WTW_Fuel_properties!$I$49+CO25*WTW_Fuel_properties!$I$50)-1</f>
        <v>1.5941846809027087</v>
      </c>
      <c r="CP28" s="380">
        <f>(CP20*WTW_Fuel_properties!$I$45+CP21*WTW_Fuel_properties!$I$46+CP22*WTW_Fuel_properties!$I$47+CP23*WTW_Fuel_properties!$I$48+CP24*WTW_Fuel_properties!$I$49+CP25*WTW_Fuel_properties!$I$50)-1</f>
        <v>1.5941846809027087</v>
      </c>
      <c r="CQ28" s="380">
        <f>(CQ20*WTW_Fuel_properties!$I$45+CQ21*WTW_Fuel_properties!$I$46+CQ22*WTW_Fuel_properties!$I$47+CQ23*WTW_Fuel_properties!$I$48+CQ24*WTW_Fuel_properties!$I$49+CQ25*WTW_Fuel_properties!$I$50)-1</f>
        <v>1.5941846809027087</v>
      </c>
      <c r="CR28" s="380">
        <f>(CR20*WTW_Fuel_properties!$I$45+CR21*WTW_Fuel_properties!$I$46+CR22*WTW_Fuel_properties!$I$47+CR23*WTW_Fuel_properties!$I$48+CR24*WTW_Fuel_properties!$I$49+CR25*WTW_Fuel_properties!$I$50)-1</f>
        <v>1.5941846809027087</v>
      </c>
      <c r="CS28" s="380">
        <f>(CS20*WTW_Fuel_properties!$I$45+CS21*WTW_Fuel_properties!$I$46+CS22*WTW_Fuel_properties!$I$47+CS23*WTW_Fuel_properties!$I$48+CS24*WTW_Fuel_properties!$I$49+CS25*WTW_Fuel_properties!$I$50)-1</f>
        <v>1.5941846809027087</v>
      </c>
      <c r="CT28" s="380">
        <f>(CT20*WTW_Fuel_properties!$I$45+CT21*WTW_Fuel_properties!$I$46+CT22*WTW_Fuel_properties!$I$47+CT23*WTW_Fuel_properties!$I$48+CT24*WTW_Fuel_properties!$I$49+CT25*WTW_Fuel_properties!$I$50)-1</f>
        <v>1.5941846809027087</v>
      </c>
      <c r="CU28" s="380">
        <f>(CU20*WTW_Fuel_properties!$I$45+CU21*WTW_Fuel_properties!$I$46+CU22*WTW_Fuel_properties!$I$47+CU23*WTW_Fuel_properties!$I$48+CU24*WTW_Fuel_properties!$I$49+CU25*WTW_Fuel_properties!$I$50)-1</f>
        <v>1.5941846809027087</v>
      </c>
      <c r="CV28" s="380">
        <f>(CV20*WTW_Fuel_properties!$I$45+CV21*WTW_Fuel_properties!$I$46+CV22*WTW_Fuel_properties!$I$47+CV23*WTW_Fuel_properties!$I$48+CV24*WTW_Fuel_properties!$I$49+CV25*WTW_Fuel_properties!$I$50)-1</f>
        <v>1.5941846809027087</v>
      </c>
      <c r="CW28" s="380">
        <f>(CW20*WTW_Fuel_properties!$I$45+CW21*WTW_Fuel_properties!$I$46+CW22*WTW_Fuel_properties!$I$47+CW23*WTW_Fuel_properties!$I$48+CW24*WTW_Fuel_properties!$I$49+CW25*WTW_Fuel_properties!$I$50)-1</f>
        <v>1.5941846809027087</v>
      </c>
      <c r="CX28" s="380">
        <f>(CX20*WTW_Fuel_properties!$I$45+CX21*WTW_Fuel_properties!$I$46+CX22*WTW_Fuel_properties!$I$47+CX23*WTW_Fuel_properties!$I$48+CX24*WTW_Fuel_properties!$I$49+CX25*WTW_Fuel_properties!$I$50)-1</f>
        <v>1.5941846809027087</v>
      </c>
      <c r="CY28" s="380">
        <f>(CY20*WTW_Fuel_properties!$I$45+CY21*WTW_Fuel_properties!$I$46+CY22*WTW_Fuel_properties!$I$47+CY23*WTW_Fuel_properties!$I$48+CY24*WTW_Fuel_properties!$I$49+CY25*WTW_Fuel_properties!$I$50)-1</f>
        <v>1.5941846809027087</v>
      </c>
      <c r="CZ28" s="380">
        <f>(CZ20*WTW_Fuel_properties!$I$45+CZ21*WTW_Fuel_properties!$I$46+CZ22*WTW_Fuel_properties!$I$47+CZ23*WTW_Fuel_properties!$I$48+CZ24*WTW_Fuel_properties!$I$49+CZ25*WTW_Fuel_properties!$I$50)-1</f>
        <v>1.5941846809027087</v>
      </c>
      <c r="DA28" s="380">
        <f>(DA20*WTW_Fuel_properties!$I$45+DA21*WTW_Fuel_properties!$I$46+DA22*WTW_Fuel_properties!$I$47+DA23*WTW_Fuel_properties!$I$48+DA24*WTW_Fuel_properties!$I$49+DA25*WTW_Fuel_properties!$I$50)-1</f>
        <v>1.5941846809027087</v>
      </c>
      <c r="DB28" s="380">
        <f>(DB20*WTW_Fuel_properties!$I$45+DB21*WTW_Fuel_properties!$I$46+DB22*WTW_Fuel_properties!$I$47+DB23*WTW_Fuel_properties!$I$48+DB24*WTW_Fuel_properties!$I$49+DB25*WTW_Fuel_properties!$I$50)-1</f>
        <v>1.5941846809027087</v>
      </c>
      <c r="DC28" s="380">
        <f>(DC20*WTW_Fuel_properties!$I$45+DC21*WTW_Fuel_properties!$I$46+DC22*WTW_Fuel_properties!$I$47+DC23*WTW_Fuel_properties!$I$48+DC24*WTW_Fuel_properties!$I$49+DC25*WTW_Fuel_properties!$I$50)-1</f>
        <v>1.5941846809027087</v>
      </c>
      <c r="DD28" s="380">
        <f>(DD20*WTW_Fuel_properties!$I$45+DD21*WTW_Fuel_properties!$I$46+DD22*WTW_Fuel_properties!$I$47+DD23*WTW_Fuel_properties!$I$48+DD24*WTW_Fuel_properties!$I$49+DD25*WTW_Fuel_properties!$I$50)-1</f>
        <v>1.5941846809027087</v>
      </c>
      <c r="DE28" s="380">
        <f>(DE20*WTW_Fuel_properties!$I$45+DE21*WTW_Fuel_properties!$I$46+DE22*WTW_Fuel_properties!$I$47+DE23*WTW_Fuel_properties!$I$48+DE24*WTW_Fuel_properties!$I$49+DE25*WTW_Fuel_properties!$I$50)-1</f>
        <v>1.5941846809027087</v>
      </c>
      <c r="DF28" s="380">
        <f>(DF20*WTW_Fuel_properties!$I$45+DF21*WTW_Fuel_properties!$I$46+DF22*WTW_Fuel_properties!$I$47+DF23*WTW_Fuel_properties!$I$48+DF24*WTW_Fuel_properties!$I$49+DF25*WTW_Fuel_properties!$I$50)-1</f>
        <v>1.5941846809027087</v>
      </c>
      <c r="DG28" s="380"/>
      <c r="DH28" s="380">
        <f>(DH20*WTW_Fuel_properties!$I$45+DH21*WTW_Fuel_properties!$I$46+DH22*WTW_Fuel_properties!$I$47+DH23*WTW_Fuel_properties!$I$48+DH24*WTW_Fuel_properties!$I$49+DH25*WTW_Fuel_properties!$I$50)-1</f>
        <v>1.5941846809027087</v>
      </c>
      <c r="DI28" s="380">
        <f>(DI20*WTW_Fuel_properties!$I$45+DI21*WTW_Fuel_properties!$I$46+DI22*WTW_Fuel_properties!$I$47+DI23*WTW_Fuel_properties!$I$48+DI24*WTW_Fuel_properties!$I$49+DI25*WTW_Fuel_properties!$I$50)-1</f>
        <v>1.5941846809027087</v>
      </c>
      <c r="DJ28" s="380">
        <f>(DJ20*WTW_Fuel_properties!$I$45+DJ21*WTW_Fuel_properties!$I$46+DJ22*WTW_Fuel_properties!$I$47+DJ23*WTW_Fuel_properties!$I$48+DJ24*WTW_Fuel_properties!$I$49+DJ25*WTW_Fuel_properties!$I$50)-1</f>
        <v>1.5941846809027087</v>
      </c>
      <c r="DK28" s="380">
        <f>(DK20*WTW_Fuel_properties!$I$45+DK21*WTW_Fuel_properties!$I$46+DK22*WTW_Fuel_properties!$I$47+DK23*WTW_Fuel_properties!$I$48+DK24*WTW_Fuel_properties!$I$49+DK25*WTW_Fuel_properties!$I$50)-1</f>
        <v>1.5941846809027087</v>
      </c>
      <c r="DL28" s="380">
        <f>(DL20*WTW_Fuel_properties!$I$45+DL21*WTW_Fuel_properties!$I$46+DL22*WTW_Fuel_properties!$I$47+DL23*WTW_Fuel_properties!$I$48+DL24*WTW_Fuel_properties!$I$49+DL25*WTW_Fuel_properties!$I$50)-1</f>
        <v>1.5941846809027087</v>
      </c>
      <c r="DM28" s="380">
        <f>(DM20*WTW_Fuel_properties!$I$45+DM21*WTW_Fuel_properties!$I$46+DM22*WTW_Fuel_properties!$I$47+DM23*WTW_Fuel_properties!$I$48+DM24*WTW_Fuel_properties!$I$49+DM25*WTW_Fuel_properties!$I$50)-1</f>
        <v>1.5941846809027087</v>
      </c>
      <c r="DN28" s="380">
        <f>(DN20*WTW_Fuel_properties!$I$45+DN21*WTW_Fuel_properties!$I$46+DN22*WTW_Fuel_properties!$I$47+DN23*WTW_Fuel_properties!$I$48+DN24*WTW_Fuel_properties!$I$49+DN25*WTW_Fuel_properties!$I$50)-1</f>
        <v>1.5941846809027087</v>
      </c>
      <c r="DO28" s="380">
        <f>(DO20*WTW_Fuel_properties!$I$45+DO21*WTW_Fuel_properties!$I$46+DO22*WTW_Fuel_properties!$I$47+DO23*WTW_Fuel_properties!$I$48+DO24*WTW_Fuel_properties!$I$49+DO25*WTW_Fuel_properties!$I$50)-1</f>
        <v>1.5941846809027087</v>
      </c>
      <c r="DP28" s="380">
        <f>(DP20*WTW_Fuel_properties!$I$45+DP21*WTW_Fuel_properties!$I$46+DP22*WTW_Fuel_properties!$I$47+DP23*WTW_Fuel_properties!$I$48+DP24*WTW_Fuel_properties!$I$49+DP25*WTW_Fuel_properties!$I$50)-1</f>
        <v>1.5941846809027087</v>
      </c>
      <c r="DQ28" s="380">
        <f>(DQ20*WTW_Fuel_properties!$I$45+DQ21*WTW_Fuel_properties!$I$46+DQ22*WTW_Fuel_properties!$I$47+DQ23*WTW_Fuel_properties!$I$48+DQ24*WTW_Fuel_properties!$I$49+DQ25*WTW_Fuel_properties!$I$50)-1</f>
        <v>1.5941846809027087</v>
      </c>
      <c r="DR28" s="380">
        <f>(DR20*WTW_Fuel_properties!$I$45+DR21*WTW_Fuel_properties!$I$46+DR22*WTW_Fuel_properties!$I$47+DR23*WTW_Fuel_properties!$I$48+DR24*WTW_Fuel_properties!$I$49+DR25*WTW_Fuel_properties!$I$50)-1</f>
        <v>1.5941846809027087</v>
      </c>
      <c r="DS28" s="380">
        <f>(DS20*WTW_Fuel_properties!$I$45+DS21*WTW_Fuel_properties!$I$46+DS22*WTW_Fuel_properties!$I$47+DS23*WTW_Fuel_properties!$I$48+DS24*WTW_Fuel_properties!$I$49+DS25*WTW_Fuel_properties!$I$50)-1</f>
        <v>5.1524710830704645E-2</v>
      </c>
      <c r="DT28" s="380">
        <f>(DT20*WTW_Fuel_properties!$I$45+DT21*WTW_Fuel_properties!$I$46+DT22*WTW_Fuel_properties!$I$47+DT23*WTW_Fuel_properties!$I$48+DT24*WTW_Fuel_properties!$I$49+DT25*WTW_Fuel_properties!$I$50)-1</f>
        <v>1.5941846809027087</v>
      </c>
      <c r="DU28" s="380">
        <f>(DU20*WTW_Fuel_properties!$I$45+DU21*WTW_Fuel_properties!$I$46+DU22*WTW_Fuel_properties!$I$47+DU23*WTW_Fuel_properties!$I$48+DU24*WTW_Fuel_properties!$I$49+DU25*WTW_Fuel_properties!$I$50)-1</f>
        <v>1.5941846809027087</v>
      </c>
      <c r="DV28" s="380">
        <f>(DV20*WTW_Fuel_properties!$I$45+DV21*WTW_Fuel_properties!$I$46+DV22*WTW_Fuel_properties!$I$47+DV23*WTW_Fuel_properties!$I$48+DV24*WTW_Fuel_properties!$I$49+DV25*WTW_Fuel_properties!$I$50)-1</f>
        <v>1.5941846809027087</v>
      </c>
      <c r="DW28" s="380">
        <f>(DW20*WTW_Fuel_properties!$I$45+DW21*WTW_Fuel_properties!$I$46+DW22*WTW_Fuel_properties!$I$47+DW23*WTW_Fuel_properties!$I$48+DW24*WTW_Fuel_properties!$I$49+DW25*WTW_Fuel_properties!$I$50)-1</f>
        <v>1.5941846809027087</v>
      </c>
      <c r="DX28" s="380">
        <f>(DX20*WTW_Fuel_properties!$I$45+DX21*WTW_Fuel_properties!$I$46+DX22*WTW_Fuel_properties!$I$47+DX23*WTW_Fuel_properties!$I$48+DX24*WTW_Fuel_properties!$I$49+DX25*WTW_Fuel_properties!$I$50)-1</f>
        <v>1.5941846809027087</v>
      </c>
      <c r="DY28" s="380">
        <f>(DY20*WTW_Fuel_properties!$I$45+DY21*WTW_Fuel_properties!$I$46+DY22*WTW_Fuel_properties!$I$47+DY23*WTW_Fuel_properties!$I$48+DY24*WTW_Fuel_properties!$I$49+DY25*WTW_Fuel_properties!$I$50)-1</f>
        <v>1.5941846809027087</v>
      </c>
      <c r="DZ28" s="380">
        <f>(DZ20*WTW_Fuel_properties!$I$45+DZ21*WTW_Fuel_properties!$I$46+DZ22*WTW_Fuel_properties!$I$47+DZ23*WTW_Fuel_properties!$I$48+DZ24*WTW_Fuel_properties!$I$49+DZ25*WTW_Fuel_properties!$I$50)-1</f>
        <v>1.5941846809027087</v>
      </c>
      <c r="EA28" s="380">
        <f>(EA20*WTW_Fuel_properties!$I$45+EA21*WTW_Fuel_properties!$I$46+EA22*WTW_Fuel_properties!$I$47+EA23*WTW_Fuel_properties!$I$48+EA24*WTW_Fuel_properties!$I$49+EA25*WTW_Fuel_properties!$I$50)-1</f>
        <v>1.5941846809027087</v>
      </c>
      <c r="EB28" s="380">
        <f>(EB20*WTW_Fuel_properties!$I$45+EB21*WTW_Fuel_properties!$I$46+EB22*WTW_Fuel_properties!$I$47+EB23*WTW_Fuel_properties!$I$48+EB24*WTW_Fuel_properties!$I$49+EB25*WTW_Fuel_properties!$I$50)-1</f>
        <v>1.5941846809027087</v>
      </c>
      <c r="EC28" s="380">
        <f>(EC20*WTW_Fuel_properties!$I$45+EC21*WTW_Fuel_properties!$I$46+EC22*WTW_Fuel_properties!$I$47+EC23*WTW_Fuel_properties!$I$48+EC24*WTW_Fuel_properties!$I$49+EC25*WTW_Fuel_properties!$I$50)-1</f>
        <v>1.5941846809027087</v>
      </c>
      <c r="ED28" s="380">
        <f>(ED20*WTW_Fuel_properties!$I$45+ED21*WTW_Fuel_properties!$I$46+ED22*WTW_Fuel_properties!$I$47+ED23*WTW_Fuel_properties!$I$48+ED24*WTW_Fuel_properties!$I$49+ED25*WTW_Fuel_properties!$I$50)-1</f>
        <v>1.5941846809027087</v>
      </c>
    </row>
    <row r="29" spans="1:156" x14ac:dyDescent="0.3">
      <c r="A29" s="21" t="s">
        <v>1126</v>
      </c>
      <c r="B29" s="21" t="s">
        <v>845</v>
      </c>
      <c r="C29" s="21" t="s">
        <v>331</v>
      </c>
      <c r="D29" s="380" t="e">
        <f>IF(D$15="",NA(),
IF(D15=WTW_Fuel_properties!$C$64,SUMPRODUCT(D20:D25,WTW_Fuel_properties!$L$58:$L$63),
VLOOKUP(D$15,WTW_Fuel_properties!$C$57:$X$63,COLUMN(WTW_Fuel_properties!$L$55)-COLUMN(WTW_Fuel_properties!$C$55)+1,FALSE)))</f>
        <v>#N/A</v>
      </c>
      <c r="E29" s="380" t="e">
        <f>IF(E$15="",NA(),
IF(E15=WTW_Fuel_properties!$C$64,SUMPRODUCT(E20:E25,WTW_Fuel_properties!$L$58:$L$63),
VLOOKUP(E$15,WTW_Fuel_properties!$C$57:$X$63,COLUMN(WTW_Fuel_properties!$L$55)-COLUMN(WTW_Fuel_properties!$C$55)+1,FALSE)))</f>
        <v>#N/A</v>
      </c>
      <c r="F29" s="380" t="e">
        <f>IF(F$15="",NA(),
IF(F15=WTW_Fuel_properties!$C$64,SUMPRODUCT(F20:F25,WTW_Fuel_properties!$L$58:$L$63),
VLOOKUP(F$15,WTW_Fuel_properties!$C$57:$X$63,COLUMN(WTW_Fuel_properties!$L$55)-COLUMN(WTW_Fuel_properties!$C$55)+1,FALSE)))</f>
        <v>#N/A</v>
      </c>
      <c r="G29" s="380" t="e">
        <f>IF(G$15="",NA(),
IF(G15=WTW_Fuel_properties!$C$64,SUMPRODUCT(G20:G25,WTW_Fuel_properties!$L$58:$L$63),
VLOOKUP(G$15,WTW_Fuel_properties!$C$57:$X$63,COLUMN(WTW_Fuel_properties!$L$55)-COLUMN(WTW_Fuel_properties!$C$55)+1,FALSE)))</f>
        <v>#N/A</v>
      </c>
      <c r="H29" s="380" t="e">
        <f>IF(H$15="",NA(),
IF(H15=WTW_Fuel_properties!$C$64,SUMPRODUCT(H20:H25,WTW_Fuel_properties!$L$58:$L$63),
VLOOKUP(H$15,WTW_Fuel_properties!$C$57:$X$63,COLUMN(WTW_Fuel_properties!$L$55)-COLUMN(WTW_Fuel_properties!$C$55)+1,FALSE)))</f>
        <v>#N/A</v>
      </c>
      <c r="I29" s="380" t="e">
        <f>IF(I$15="",NA(),
IF(I15=WTW_Fuel_properties!$C$64,SUMPRODUCT(I20:I25,WTW_Fuel_properties!$L$58:$L$63),
VLOOKUP(I$15,WTW_Fuel_properties!$C$57:$X$63,COLUMN(WTW_Fuel_properties!$L$55)-COLUMN(WTW_Fuel_properties!$C$55)+1,FALSE)))</f>
        <v>#N/A</v>
      </c>
      <c r="J29" s="380" t="e">
        <f>IF(J$15="",NA(),
IF(J15=WTW_Fuel_properties!$C$64,SUMPRODUCT(J20:J25,WTW_Fuel_properties!$L$58:$L$63),
VLOOKUP(J$15,WTW_Fuel_properties!$C$57:$X$63,COLUMN(WTW_Fuel_properties!$L$55)-COLUMN(WTW_Fuel_properties!$C$55)+1,FALSE)))</f>
        <v>#N/A</v>
      </c>
      <c r="K29" s="380" t="e">
        <f>IF(K$15="",NA(),
IF(K15=WTW_Fuel_properties!$C$64,SUMPRODUCT(K20:K25,WTW_Fuel_properties!$L$58:$L$63),
VLOOKUP(K$15,WTW_Fuel_properties!$C$57:$X$63,COLUMN(WTW_Fuel_properties!$L$55)-COLUMN(WTW_Fuel_properties!$C$55)+1,FALSE)))</f>
        <v>#N/A</v>
      </c>
      <c r="L29" s="380" t="e">
        <f>IF(L$15="",NA(),
IF(L15=WTW_Fuel_properties!$C$64,SUMPRODUCT(L20:L25,WTW_Fuel_properties!$L$58:$L$63),
VLOOKUP(L$15,WTW_Fuel_properties!$C$57:$X$63,COLUMN(WTW_Fuel_properties!$L$55)-COLUMN(WTW_Fuel_properties!$C$55)+1,FALSE)))</f>
        <v>#N/A</v>
      </c>
      <c r="M29" s="380" t="e">
        <f>IF(M$15="",NA(),
IF(M15=WTW_Fuel_properties!$C$64,SUMPRODUCT(M20:M25,WTW_Fuel_properties!$L$58:$L$63),
VLOOKUP(M$15,WTW_Fuel_properties!$C$57:$X$63,COLUMN(WTW_Fuel_properties!$L$55)-COLUMN(WTW_Fuel_properties!$C$55)+1,FALSE)))</f>
        <v>#N/A</v>
      </c>
      <c r="N29" s="380" t="e">
        <f>IF(N$15="",NA(),
IF(N15=WTW_Fuel_properties!$C$64,SUMPRODUCT(N20:N25,WTW_Fuel_properties!$L$58:$L$63),
VLOOKUP(N$15,WTW_Fuel_properties!$C$57:$X$63,COLUMN(WTW_Fuel_properties!$L$55)-COLUMN(WTW_Fuel_properties!$C$55)+1,FALSE)))</f>
        <v>#N/A</v>
      </c>
      <c r="O29" s="380" t="e">
        <f>IF(O$15="",NA(),
IF(O15=WTW_Fuel_properties!$C$64,SUMPRODUCT(O20:O25,WTW_Fuel_properties!$L$58:$L$63),
VLOOKUP(O$15,WTW_Fuel_properties!$C$57:$X$63,COLUMN(WTW_Fuel_properties!$L$55)-COLUMN(WTW_Fuel_properties!$C$55)+1,FALSE)))</f>
        <v>#N/A</v>
      </c>
      <c r="P29" s="380" t="e">
        <f>IF(P$15="",NA(),
IF(P15=WTW_Fuel_properties!$C$64,SUMPRODUCT(P20:P25,WTW_Fuel_properties!$L$58:$L$63),
VLOOKUP(P$15,WTW_Fuel_properties!$C$57:$X$63,COLUMN(WTW_Fuel_properties!$L$55)-COLUMN(WTW_Fuel_properties!$C$55)+1,FALSE)))</f>
        <v>#N/A</v>
      </c>
      <c r="Q29" s="380" t="e">
        <f>IF(Q$15="",NA(),
IF(Q15=WTW_Fuel_properties!$C$64,SUMPRODUCT(Q20:Q25,WTW_Fuel_properties!$L$58:$L$63),
VLOOKUP(Q$15,WTW_Fuel_properties!$C$57:$X$63,COLUMN(WTW_Fuel_properties!$L$55)-COLUMN(WTW_Fuel_properties!$C$55)+1,FALSE)))</f>
        <v>#N/A</v>
      </c>
      <c r="R29" s="380" t="e">
        <f>IF(R$15="",NA(),
IF(R15=WTW_Fuel_properties!$C$64,SUMPRODUCT(R20:R25,WTW_Fuel_properties!$L$58:$L$63),
VLOOKUP(R$15,WTW_Fuel_properties!$C$57:$X$63,COLUMN(WTW_Fuel_properties!$L$55)-COLUMN(WTW_Fuel_properties!$C$55)+1,FALSE)))</f>
        <v>#N/A</v>
      </c>
      <c r="S29" s="380" t="e">
        <f>IF(S$15="",NA(),
IF(S15=WTW_Fuel_properties!$C$64,SUMPRODUCT(S20:S25,WTW_Fuel_properties!$L$58:$L$63),
VLOOKUP(S$15,WTW_Fuel_properties!$C$57:$X$63,COLUMN(WTW_Fuel_properties!$L$55)-COLUMN(WTW_Fuel_properties!$C$55)+1,FALSE)))</f>
        <v>#N/A</v>
      </c>
      <c r="T29" s="380" t="e">
        <f>IF(T$15="",NA(),
IF(T15=WTW_Fuel_properties!$C$64,SUMPRODUCT(T20:T25,WTW_Fuel_properties!$L$58:$L$63),
VLOOKUP(T$15,WTW_Fuel_properties!$C$57:$X$63,COLUMN(WTW_Fuel_properties!$L$55)-COLUMN(WTW_Fuel_properties!$C$55)+1,FALSE)))</f>
        <v>#N/A</v>
      </c>
      <c r="U29" s="380" t="e">
        <f>IF(U$15="",NA(),
IF(U15=WTW_Fuel_properties!$C$64,SUMPRODUCT(U20:U25,WTW_Fuel_properties!$L$58:$L$63),
VLOOKUP(U$15,WTW_Fuel_properties!$C$57:$X$63,COLUMN(WTW_Fuel_properties!$L$55)-COLUMN(WTW_Fuel_properties!$C$55)+1,FALSE)))</f>
        <v>#N/A</v>
      </c>
      <c r="V29" s="380" t="e">
        <f>IF(V$15="",NA(),
IF(V15=WTW_Fuel_properties!$C$64,SUMPRODUCT(V20:V25,WTW_Fuel_properties!$L$58:$L$63),
VLOOKUP(V$15,WTW_Fuel_properties!$C$57:$X$63,COLUMN(WTW_Fuel_properties!$L$55)-COLUMN(WTW_Fuel_properties!$C$55)+1,FALSE)))</f>
        <v>#N/A</v>
      </c>
      <c r="W29" s="380" t="e">
        <f>IF(W$15="",NA(),
IF(W15=WTW_Fuel_properties!$C$64,SUMPRODUCT(W20:W25,WTW_Fuel_properties!$L$58:$L$63),
VLOOKUP(W$15,WTW_Fuel_properties!$C$57:$X$63,COLUMN(WTW_Fuel_properties!$L$55)-COLUMN(WTW_Fuel_properties!$C$55)+1,FALSE)))</f>
        <v>#N/A</v>
      </c>
      <c r="X29" s="380" t="e">
        <f>IF(X$15="",NA(),
IF(X15=WTW_Fuel_properties!$C$64,SUMPRODUCT(X20:X25,WTW_Fuel_properties!$L$58:$L$63),
VLOOKUP(X$15,WTW_Fuel_properties!$C$57:$X$63,COLUMN(WTW_Fuel_properties!$L$55)-COLUMN(WTW_Fuel_properties!$C$55)+1,FALSE)))</f>
        <v>#N/A</v>
      </c>
      <c r="Y29" s="380" t="e">
        <f>IF(Y$15="",NA(),
IF(Y15=WTW_Fuel_properties!$C$64,SUMPRODUCT(Y20:Y25,WTW_Fuel_properties!$L$58:$L$63),
VLOOKUP(Y$15,WTW_Fuel_properties!$C$57:$X$63,COLUMN(WTW_Fuel_properties!$L$55)-COLUMN(WTW_Fuel_properties!$C$55)+1,FALSE)))</f>
        <v>#N/A</v>
      </c>
      <c r="Z29" s="380" t="e">
        <f>IF(Z$15="",NA(),
IF(Z15=WTW_Fuel_properties!$C$64,SUMPRODUCT(Z20:Z25,WTW_Fuel_properties!$L$58:$L$63),
VLOOKUP(Z$15,WTW_Fuel_properties!$C$57:$X$63,COLUMN(WTW_Fuel_properties!$L$55)-COLUMN(WTW_Fuel_properties!$C$55)+1,FALSE)))</f>
        <v>#N/A</v>
      </c>
      <c r="AA29" s="380" t="e">
        <f>IF(AA$15="",NA(),
IF(AA15=WTW_Fuel_properties!$C$64,SUMPRODUCT(AA20:AA25,WTW_Fuel_properties!$L$58:$L$63),
VLOOKUP(AA$15,WTW_Fuel_properties!$C$57:$X$63,COLUMN(WTW_Fuel_properties!$L$55)-COLUMN(WTW_Fuel_properties!$C$55)+1,FALSE)))</f>
        <v>#N/A</v>
      </c>
      <c r="AB29" s="380" t="e">
        <f>IF(AB$15="",NA(),
IF(AB15=WTW_Fuel_properties!$C$64,SUMPRODUCT(AB20:AB25,WTW_Fuel_properties!$L$58:$L$63),
VLOOKUP(AB$15,WTW_Fuel_properties!$C$57:$X$63,COLUMN(WTW_Fuel_properties!$L$55)-COLUMN(WTW_Fuel_properties!$C$55)+1,FALSE)))</f>
        <v>#N/A</v>
      </c>
      <c r="AC29" s="380" t="e">
        <f>IF(AC$15="",NA(),
IF(AC15=WTW_Fuel_properties!$C$64,SUMPRODUCT(AC20:AC25,WTW_Fuel_properties!$L$58:$L$63),
VLOOKUP(AC$15,WTW_Fuel_properties!$C$57:$X$63,COLUMN(WTW_Fuel_properties!$L$55)-COLUMN(WTW_Fuel_properties!$C$55)+1,FALSE)))</f>
        <v>#N/A</v>
      </c>
      <c r="AD29" s="380" t="e">
        <f>IF(AD$15="",NA(),
IF(AD15=WTW_Fuel_properties!$C$64,SUMPRODUCT(AD20:AD25,WTW_Fuel_properties!$L$58:$L$63),
VLOOKUP(AD$15,WTW_Fuel_properties!$C$57:$X$63,COLUMN(WTW_Fuel_properties!$L$55)-COLUMN(WTW_Fuel_properties!$C$55)+1,FALSE)))</f>
        <v>#N/A</v>
      </c>
      <c r="AE29" s="380" t="e">
        <f>IF(AE$15="",NA(),
IF(AE15=WTW_Fuel_properties!$C$64,SUMPRODUCT(AE20:AE25,WTW_Fuel_properties!$L$58:$L$63),
VLOOKUP(AE$15,WTW_Fuel_properties!$C$57:$X$63,COLUMN(WTW_Fuel_properties!$L$55)-COLUMN(WTW_Fuel_properties!$C$55)+1,FALSE)))</f>
        <v>#N/A</v>
      </c>
      <c r="AF29" s="380" t="e">
        <f>IF(AF$15="",NA(),
IF(AF15=WTW_Fuel_properties!$C$64,SUMPRODUCT(AF20:AF25,WTW_Fuel_properties!$L$58:$L$63),
VLOOKUP(AF$15,WTW_Fuel_properties!$C$57:$X$63,COLUMN(WTW_Fuel_properties!$L$55)-COLUMN(WTW_Fuel_properties!$C$55)+1,FALSE)))</f>
        <v>#N/A</v>
      </c>
      <c r="AG29" s="380" t="e">
        <f>IF(AG$15="",NA(),
IF(AG15=WTW_Fuel_properties!$C$64,SUMPRODUCT(AG20:AG25,WTW_Fuel_properties!$L$58:$L$63),
VLOOKUP(AG$15,WTW_Fuel_properties!$C$57:$X$63,COLUMN(WTW_Fuel_properties!$L$55)-COLUMN(WTW_Fuel_properties!$C$55)+1,FALSE)))</f>
        <v>#N/A</v>
      </c>
      <c r="AH29" s="380" t="e">
        <f>IF(AH$15="",NA(),
IF(AH15=WTW_Fuel_properties!$C$64,SUMPRODUCT(AH20:AH25,WTW_Fuel_properties!$L$58:$L$63),
VLOOKUP(AH$15,WTW_Fuel_properties!$C$57:$X$63,COLUMN(WTW_Fuel_properties!$L$55)-COLUMN(WTW_Fuel_properties!$C$55)+1,FALSE)))</f>
        <v>#N/A</v>
      </c>
      <c r="AI29" s="380" t="e">
        <f>IF(AI$15="",NA(),
IF(AI15=WTW_Fuel_properties!$C$64,SUMPRODUCT(AI20:AI25,WTW_Fuel_properties!$L$58:$L$63),
VLOOKUP(AI$15,WTW_Fuel_properties!$C$57:$X$63,COLUMN(WTW_Fuel_properties!$L$55)-COLUMN(WTW_Fuel_properties!$C$55)+1,FALSE)))</f>
        <v>#N/A</v>
      </c>
      <c r="AJ29" s="380" t="e">
        <f>IF(AJ$15="",NA(),
IF(AJ15=WTW_Fuel_properties!$C$64,SUMPRODUCT(AJ20:AJ25,WTW_Fuel_properties!$L$58:$L$63),
VLOOKUP(AJ$15,WTW_Fuel_properties!$C$57:$X$63,COLUMN(WTW_Fuel_properties!$L$55)-COLUMN(WTW_Fuel_properties!$C$55)+1,FALSE)))</f>
        <v>#N/A</v>
      </c>
      <c r="AK29" s="380" t="e">
        <f>IF(AK$15="",NA(),
IF(AK15=WTW_Fuel_properties!$C$64,SUMPRODUCT(AK20:AK25,WTW_Fuel_properties!$L$58:$L$63),
VLOOKUP(AK$15,WTW_Fuel_properties!$C$57:$X$63,COLUMN(WTW_Fuel_properties!$L$55)-COLUMN(WTW_Fuel_properties!$C$55)+1,FALSE)))</f>
        <v>#N/A</v>
      </c>
      <c r="AL29" s="380" t="e">
        <f>IF(AL$15="",NA(),
IF(AL15=WTW_Fuel_properties!$C$64,SUMPRODUCT(AL20:AL25,WTW_Fuel_properties!$L$58:$L$63),
VLOOKUP(AL$15,WTW_Fuel_properties!$C$57:$X$63,COLUMN(WTW_Fuel_properties!$L$55)-COLUMN(WTW_Fuel_properties!$C$55)+1,FALSE)))</f>
        <v>#N/A</v>
      </c>
      <c r="AM29" s="380" t="e">
        <f>IF(AM$15="",NA(),
IF(AM15=WTW_Fuel_properties!$C$64,SUMPRODUCT(AM20:AM25,WTW_Fuel_properties!$L$58:$L$63),
VLOOKUP(AM$15,WTW_Fuel_properties!$C$57:$X$63,COLUMN(WTW_Fuel_properties!$L$55)-COLUMN(WTW_Fuel_properties!$C$55)+1,FALSE)))</f>
        <v>#N/A</v>
      </c>
      <c r="AN29" s="380" t="e">
        <f>IF(AN$15="",NA(),
IF(AN15=WTW_Fuel_properties!$C$64,SUMPRODUCT(AN20:AN25,WTW_Fuel_properties!$L$58:$L$63),
VLOOKUP(AN$15,WTW_Fuel_properties!$C$57:$X$63,COLUMN(WTW_Fuel_properties!$L$55)-COLUMN(WTW_Fuel_properties!$C$55)+1,FALSE)))</f>
        <v>#N/A</v>
      </c>
      <c r="AO29" s="380" t="e">
        <f>IF(AO$15="",NA(),
IF(AO15=WTW_Fuel_properties!$C$64,SUMPRODUCT(AO20:AO25,WTW_Fuel_properties!$L$58:$L$63),
VLOOKUP(AO$15,WTW_Fuel_properties!$C$57:$X$63,COLUMN(WTW_Fuel_properties!$L$55)-COLUMN(WTW_Fuel_properties!$C$55)+1,FALSE)))</f>
        <v>#N/A</v>
      </c>
      <c r="AP29" s="380" t="e">
        <f>IF(AP$15="",NA(),
IF(AP15=WTW_Fuel_properties!$C$64,SUMPRODUCT(AP20:AP25,WTW_Fuel_properties!$L$58:$L$63),
VLOOKUP(AP$15,WTW_Fuel_properties!$C$57:$X$63,COLUMN(WTW_Fuel_properties!$L$55)-COLUMN(WTW_Fuel_properties!$C$55)+1,FALSE)))</f>
        <v>#N/A</v>
      </c>
      <c r="AQ29" s="380" t="e">
        <f>IF(AQ$15="",NA(),
IF(AQ15=WTW_Fuel_properties!$C$64,SUMPRODUCT(AQ20:AQ25,WTW_Fuel_properties!$L$58:$L$63),
VLOOKUP(AQ$15,WTW_Fuel_properties!$C$57:$X$63,COLUMN(WTW_Fuel_properties!$L$55)-COLUMN(WTW_Fuel_properties!$C$55)+1,FALSE)))</f>
        <v>#N/A</v>
      </c>
      <c r="AR29" s="380" t="e">
        <f>IF(AR$15="",NA(),
IF(AR15=WTW_Fuel_properties!$C$64,SUMPRODUCT(AR20:AR25,WTW_Fuel_properties!$L$58:$L$63),
VLOOKUP(AR$15,WTW_Fuel_properties!$C$57:$X$63,COLUMN(WTW_Fuel_properties!$L$55)-COLUMN(WTW_Fuel_properties!$C$55)+1,FALSE)))</f>
        <v>#N/A</v>
      </c>
      <c r="AS29" s="380" t="e">
        <f>IF(AS$15="",NA(),
IF(AS15=WTW_Fuel_properties!$C$64,SUMPRODUCT(AS20:AS25,WTW_Fuel_properties!$L$58:$L$63),
VLOOKUP(AS$15,WTW_Fuel_properties!$C$57:$X$63,COLUMN(WTW_Fuel_properties!$L$55)-COLUMN(WTW_Fuel_properties!$C$55)+1,FALSE)))</f>
        <v>#N/A</v>
      </c>
      <c r="AT29" s="380" t="e">
        <f>IF(AT$15="",NA(),
IF(AT15=WTW_Fuel_properties!$C$64,SUMPRODUCT(AT20:AT25,WTW_Fuel_properties!$L$58:$L$63),
VLOOKUP(AT$15,WTW_Fuel_properties!$C$57:$X$63,COLUMN(WTW_Fuel_properties!$L$55)-COLUMN(WTW_Fuel_properties!$C$55)+1,FALSE)))</f>
        <v>#N/A</v>
      </c>
      <c r="AU29" s="380" t="e">
        <f>IF(AU$15="",NA(),
IF(AU15=WTW_Fuel_properties!$C$64,SUMPRODUCT(AU20:AU25,WTW_Fuel_properties!$L$58:$L$63),
VLOOKUP(AU$15,WTW_Fuel_properties!$C$57:$X$63,COLUMN(WTW_Fuel_properties!$L$55)-COLUMN(WTW_Fuel_properties!$C$55)+1,FALSE)))</f>
        <v>#N/A</v>
      </c>
      <c r="AV29" s="380" t="e">
        <f>IF(AV$15="",NA(),
IF(AV15=WTW_Fuel_properties!$C$64,SUMPRODUCT(AV20:AV25,WTW_Fuel_properties!$L$58:$L$63),
VLOOKUP(AV$15,WTW_Fuel_properties!$C$57:$X$63,COLUMN(WTW_Fuel_properties!$L$55)-COLUMN(WTW_Fuel_properties!$C$55)+1,FALSE)))</f>
        <v>#N/A</v>
      </c>
      <c r="AW29" s="380" t="e">
        <f>IF(AW$15="",NA(),
IF(AW15=WTW_Fuel_properties!$C$64,SUMPRODUCT(AW20:AW25,WTW_Fuel_properties!$L$58:$L$63),
VLOOKUP(AW$15,WTW_Fuel_properties!$C$57:$X$63,COLUMN(WTW_Fuel_properties!$L$55)-COLUMN(WTW_Fuel_properties!$C$55)+1,FALSE)))</f>
        <v>#N/A</v>
      </c>
      <c r="AX29" s="380" t="e">
        <f>IF(AX$15="",NA(),
IF(AX15=WTW_Fuel_properties!$C$64,SUMPRODUCT(AX20:AX25,WTW_Fuel_properties!$L$58:$L$63),
VLOOKUP(AX$15,WTW_Fuel_properties!$C$57:$X$63,COLUMN(WTW_Fuel_properties!$L$55)-COLUMN(WTW_Fuel_properties!$C$55)+1,FALSE)))</f>
        <v>#N/A</v>
      </c>
      <c r="AY29" s="380">
        <f>IF(AY$15="",NA(),
IF(AY15=WTW_Fuel_properties!$C$64,SUMPRODUCT(AY20:AY25,WTW_Fuel_properties!$L$58:$L$63),
VLOOKUP(AY$15,WTW_Fuel_properties!$C$57:$X$63,COLUMN(WTW_Fuel_properties!$L$55)-COLUMN(WTW_Fuel_properties!$C$55)+1,FALSE)))</f>
        <v>3.6485504233065282</v>
      </c>
      <c r="AZ29" s="380">
        <f>IF(AZ$15="",NA(),
IF(AZ15=WTW_Fuel_properties!$C$64,SUMPRODUCT(AZ20:AZ25,WTW_Fuel_properties!$L$58:$L$63),
VLOOKUP(AZ$15,WTW_Fuel_properties!$C$57:$X$63,COLUMN(WTW_Fuel_properties!$L$55)-COLUMN(WTW_Fuel_properties!$C$55)+1,FALSE)))</f>
        <v>1.6815904073344159</v>
      </c>
      <c r="BA29" s="380">
        <f>IF(BA$15="",NA(),
IF(BA15=WTW_Fuel_properties!$C$64,SUMPRODUCT(BA20:BA25,WTW_Fuel_properties!$L$58:$L$63),
VLOOKUP(BA$15,WTW_Fuel_properties!$C$57:$X$63,COLUMN(WTW_Fuel_properties!$L$55)-COLUMN(WTW_Fuel_properties!$C$55)+1,FALSE)))</f>
        <v>4.1486011258058486</v>
      </c>
      <c r="BB29" s="380">
        <f>IF(BB$15="",NA(),
IF(BB15=WTW_Fuel_properties!$C$64,SUMPRODUCT(BB20:BB25,WTW_Fuel_properties!$L$58:$L$63),
VLOOKUP(BB$15,WTW_Fuel_properties!$C$57:$X$63,COLUMN(WTW_Fuel_properties!$L$55)-COLUMN(WTW_Fuel_properties!$C$55)+1,FALSE)))</f>
        <v>0.79364041901389903</v>
      </c>
      <c r="BC29" s="380" t="e">
        <f>IF(BC$15="",NA(),
IF(BC15=WTW_Fuel_properties!$C$64,SUMPRODUCT(BC20:BC25,WTW_Fuel_properties!$L$58:$L$63),
VLOOKUP(BC$15,WTW_Fuel_properties!$C$57:$X$63,COLUMN(WTW_Fuel_properties!$L$55)-COLUMN(WTW_Fuel_properties!$C$55)+1,FALSE)))</f>
        <v>#N/A</v>
      </c>
      <c r="BD29" s="380" t="e">
        <f>IF(BD$15="",NA(),
IF(BD15=WTW_Fuel_properties!$C$64,SUMPRODUCT(BD20:BD25,WTW_Fuel_properties!$L$58:$L$63),
VLOOKUP(BD$15,WTW_Fuel_properties!$C$57:$X$63,COLUMN(WTW_Fuel_properties!$L$55)-COLUMN(WTW_Fuel_properties!$C$55)+1,FALSE)))</f>
        <v>#N/A</v>
      </c>
      <c r="BE29" s="380" t="e">
        <f>IF(BE$15="",NA(),
IF(BE15=WTW_Fuel_properties!$C$64,SUMPRODUCT(BE20:BE25,WTW_Fuel_properties!$L$58:$L$63),
VLOOKUP(BE$15,WTW_Fuel_properties!$C$57:$X$63,COLUMN(WTW_Fuel_properties!$L$55)-COLUMN(WTW_Fuel_properties!$C$55)+1,FALSE)))</f>
        <v>#N/A</v>
      </c>
      <c r="BF29" s="380" t="e">
        <f>IF(BF$15="",NA(),
IF(BF15=WTW_Fuel_properties!$C$64,SUMPRODUCT(BF20:BF25,WTW_Fuel_properties!$L$58:$L$63),
VLOOKUP(BF$15,WTW_Fuel_properties!$C$57:$X$63,COLUMN(WTW_Fuel_properties!$L$55)-COLUMN(WTW_Fuel_properties!$C$55)+1,FALSE)))</f>
        <v>#N/A</v>
      </c>
      <c r="BG29" s="380" t="e">
        <f>IF(BG$15="",NA(),
IF(BG15=WTW_Fuel_properties!$C$64,SUMPRODUCT(BG20:BG25,WTW_Fuel_properties!$L$58:$L$63),
VLOOKUP(BG$15,WTW_Fuel_properties!$C$57:$X$63,COLUMN(WTW_Fuel_properties!$L$55)-COLUMN(WTW_Fuel_properties!$C$55)+1,FALSE)))</f>
        <v>#N/A</v>
      </c>
      <c r="BH29" s="380" t="e">
        <f>IF(BH$15="",NA(),
IF(BH15=WTW_Fuel_properties!$C$64,SUMPRODUCT(BH20:BH25,WTW_Fuel_properties!$L$58:$L$63),
VLOOKUP(BH$15,WTW_Fuel_properties!$C$57:$X$63,COLUMN(WTW_Fuel_properties!$L$55)-COLUMN(WTW_Fuel_properties!$C$55)+1,FALSE)))</f>
        <v>#N/A</v>
      </c>
      <c r="BI29" s="380" t="e">
        <f>IF(BI$15="",NA(),
IF(BI15=WTW_Fuel_properties!$C$64,SUMPRODUCT(BI20:BI25,WTW_Fuel_properties!$L$58:$L$63),
VLOOKUP(BI$15,WTW_Fuel_properties!$C$57:$X$63,COLUMN(WTW_Fuel_properties!$L$55)-COLUMN(WTW_Fuel_properties!$C$55)+1,FALSE)))</f>
        <v>#N/A</v>
      </c>
      <c r="BJ29" s="380" t="e">
        <f>IF(BJ$15="",NA(),
IF(BJ15=WTW_Fuel_properties!$C$64,SUMPRODUCT(BJ20:BJ25,WTW_Fuel_properties!$L$58:$L$63),
VLOOKUP(BJ$15,WTW_Fuel_properties!$C$57:$X$63,COLUMN(WTW_Fuel_properties!$L$55)-COLUMN(WTW_Fuel_properties!$C$55)+1,FALSE)))</f>
        <v>#N/A</v>
      </c>
      <c r="BK29" s="380" t="e">
        <f>IF(BK$15="",NA(),
IF(BK15=WTW_Fuel_properties!$C$64,SUMPRODUCT(BK20:BK25,WTW_Fuel_properties!$L$58:$L$63),
VLOOKUP(BK$15,WTW_Fuel_properties!$C$57:$X$63,COLUMN(WTW_Fuel_properties!$L$55)-COLUMN(WTW_Fuel_properties!$C$55)+1,FALSE)))</f>
        <v>#N/A</v>
      </c>
      <c r="BL29" s="380" t="e">
        <f>IF(BL$15="",NA(),
IF(BL15=WTW_Fuel_properties!$C$64,SUMPRODUCT(BL20:BL25,WTW_Fuel_properties!$L$58:$L$63),
VLOOKUP(BL$15,WTW_Fuel_properties!$C$57:$X$63,COLUMN(WTW_Fuel_properties!$L$55)-COLUMN(WTW_Fuel_properties!$C$55)+1,FALSE)))</f>
        <v>#N/A</v>
      </c>
      <c r="BM29" s="380" t="e">
        <f>IF(BM$15="",NA(),
IF(BM15=WTW_Fuel_properties!$C$64,SUMPRODUCT(BM20:BM25,WTW_Fuel_properties!$L$58:$L$63),
VLOOKUP(BM$15,WTW_Fuel_properties!$C$57:$X$63,COLUMN(WTW_Fuel_properties!$L$55)-COLUMN(WTW_Fuel_properties!$C$55)+1,FALSE)))</f>
        <v>#N/A</v>
      </c>
      <c r="BN29" s="380" t="e">
        <f>IF(BN$15="",NA(),
IF(BN15=WTW_Fuel_properties!$C$64,SUMPRODUCT(BN20:BN25,WTW_Fuel_properties!$L$58:$L$63),
VLOOKUP(BN$15,WTW_Fuel_properties!$C$57:$X$63,COLUMN(WTW_Fuel_properties!$L$55)-COLUMN(WTW_Fuel_properties!$C$55)+1,FALSE)))</f>
        <v>#N/A</v>
      </c>
      <c r="BO29" s="380" t="e">
        <f>IF(BO$15="",NA(),
IF(BO15=WTW_Fuel_properties!$C$64,SUMPRODUCT(BO20:BO25,WTW_Fuel_properties!$L$58:$L$63),
VLOOKUP(BO$15,WTW_Fuel_properties!$C$57:$X$63,COLUMN(WTW_Fuel_properties!$L$55)-COLUMN(WTW_Fuel_properties!$C$55)+1,FALSE)))</f>
        <v>#N/A</v>
      </c>
      <c r="BP29" s="380" t="e">
        <f>IF(BP$15="",NA(),
IF(BP15=WTW_Fuel_properties!$C$64,SUMPRODUCT(BP20:BP25,WTW_Fuel_properties!$L$58:$L$63),
VLOOKUP(BP$15,WTW_Fuel_properties!$C$57:$X$63,COLUMN(WTW_Fuel_properties!$L$55)-COLUMN(WTW_Fuel_properties!$C$55)+1,FALSE)))</f>
        <v>#N/A</v>
      </c>
      <c r="BQ29" s="380" t="e">
        <f>IF(BQ$15="",NA(),
IF(BQ15=WTW_Fuel_properties!$C$64,SUMPRODUCT(BQ20:BQ25,WTW_Fuel_properties!$L$58:$L$63),
VLOOKUP(BQ$15,WTW_Fuel_properties!$C$57:$X$63,COLUMN(WTW_Fuel_properties!$L$55)-COLUMN(WTW_Fuel_properties!$C$55)+1,FALSE)))</f>
        <v>#N/A</v>
      </c>
      <c r="BR29" s="380" t="e">
        <f>IF(BR$15="",NA(),
IF(BR15=WTW_Fuel_properties!$C$64,SUMPRODUCT(BR20:BR25,WTW_Fuel_properties!$L$58:$L$63),
VLOOKUP(BR$15,WTW_Fuel_properties!$C$57:$X$63,COLUMN(WTW_Fuel_properties!$L$55)-COLUMN(WTW_Fuel_properties!$C$55)+1,FALSE)))</f>
        <v>#N/A</v>
      </c>
      <c r="BS29" s="380" t="e">
        <f>IF(BS$15="",NA(),
IF(BS15=WTW_Fuel_properties!$C$64,SUMPRODUCT(BS20:BS25,WTW_Fuel_properties!$L$58:$L$63),
VLOOKUP(BS$15,WTW_Fuel_properties!$C$57:$X$63,COLUMN(WTW_Fuel_properties!$L$55)-COLUMN(WTW_Fuel_properties!$C$55)+1,FALSE)))</f>
        <v>#N/A</v>
      </c>
      <c r="BT29" s="380" t="e">
        <f>IF(BT$15="",NA(),
IF(BT15=WTW_Fuel_properties!$C$64,SUMPRODUCT(BT20:BT25,WTW_Fuel_properties!$L$58:$L$63),
VLOOKUP(BT$15,WTW_Fuel_properties!$C$57:$X$63,COLUMN(WTW_Fuel_properties!$L$55)-COLUMN(WTW_Fuel_properties!$C$55)+1,FALSE)))</f>
        <v>#N/A</v>
      </c>
      <c r="BU29" s="380" t="e">
        <f>IF(BU$15="",NA(),
IF(BU15=WTW_Fuel_properties!$C$64,SUMPRODUCT(BU20:BU25,WTW_Fuel_properties!$L$58:$L$63),
VLOOKUP(BU$15,WTW_Fuel_properties!$C$57:$X$63,COLUMN(WTW_Fuel_properties!$L$55)-COLUMN(WTW_Fuel_properties!$C$55)+1,FALSE)))</f>
        <v>#N/A</v>
      </c>
      <c r="BV29" s="380" t="e">
        <f>IF(BV$15="",NA(),
IF(BV15=WTW_Fuel_properties!$C$64,SUMPRODUCT(BV20:BV25,WTW_Fuel_properties!$L$58:$L$63),
VLOOKUP(BV$15,WTW_Fuel_properties!$C$57:$X$63,COLUMN(WTW_Fuel_properties!$L$55)-COLUMN(WTW_Fuel_properties!$C$55)+1,FALSE)))</f>
        <v>#N/A</v>
      </c>
      <c r="BW29" s="380" t="e">
        <f>IF(BW$15="",NA(),
IF(BW15=WTW_Fuel_properties!$C$64,SUMPRODUCT(BW20:BW25,WTW_Fuel_properties!$L$58:$L$63),
VLOOKUP(BW$15,WTW_Fuel_properties!$C$57:$X$63,COLUMN(WTW_Fuel_properties!$L$55)-COLUMN(WTW_Fuel_properties!$C$55)+1,FALSE)))</f>
        <v>#N/A</v>
      </c>
      <c r="BX29" s="380" t="e">
        <f>IF(BX$15="",NA(),
IF(BX15=WTW_Fuel_properties!$C$64,SUMPRODUCT(BX20:BX25,WTW_Fuel_properties!$L$58:$L$63),
VLOOKUP(BX$15,WTW_Fuel_properties!$C$57:$X$63,COLUMN(WTW_Fuel_properties!$L$55)-COLUMN(WTW_Fuel_properties!$C$55)+1,FALSE)))</f>
        <v>#N/A</v>
      </c>
      <c r="BY29" s="380" t="e">
        <f>IF(BY$15="",NA(),
IF(BY15=WTW_Fuel_properties!$C$64,SUMPRODUCT(BY20:BY25,WTW_Fuel_properties!$L$58:$L$63),
VLOOKUP(BY$15,WTW_Fuel_properties!$C$57:$X$63,COLUMN(WTW_Fuel_properties!$L$55)-COLUMN(WTW_Fuel_properties!$C$55)+1,FALSE)))</f>
        <v>#N/A</v>
      </c>
      <c r="BZ29" s="380" t="e">
        <f>IF(BZ$15="",NA(),
IF(BZ15=WTW_Fuel_properties!$C$64,SUMPRODUCT(BZ20:BZ25,WTW_Fuel_properties!$L$58:$L$63),
VLOOKUP(BZ$15,WTW_Fuel_properties!$C$57:$X$63,COLUMN(WTW_Fuel_properties!$L$55)-COLUMN(WTW_Fuel_properties!$C$55)+1,FALSE)))</f>
        <v>#N/A</v>
      </c>
      <c r="CA29" s="380" t="e">
        <f>IF(CA$15="",NA(),
IF(CA15=WTW_Fuel_properties!$C$64,SUMPRODUCT(CA20:CA25,WTW_Fuel_properties!$L$58:$L$63),
VLOOKUP(CA$15,WTW_Fuel_properties!$C$57:$X$63,COLUMN(WTW_Fuel_properties!$L$55)-COLUMN(WTW_Fuel_properties!$C$55)+1,FALSE)))</f>
        <v>#N/A</v>
      </c>
      <c r="CB29" s="380" t="e">
        <f>IF(CB$15="",NA(),
IF(CB15=WTW_Fuel_properties!$C$64,SUMPRODUCT(CB20:CB25,WTW_Fuel_properties!$L$58:$L$63),
VLOOKUP(CB$15,WTW_Fuel_properties!$C$57:$X$63,COLUMN(WTW_Fuel_properties!$L$55)-COLUMN(WTW_Fuel_properties!$C$55)+1,FALSE)))</f>
        <v>#N/A</v>
      </c>
      <c r="CC29" s="380" t="e">
        <f>IF(CC$15="",NA(),
IF(CC15=WTW_Fuel_properties!$C$64,SUMPRODUCT(CC20:CC25,WTW_Fuel_properties!$L$58:$L$63),
VLOOKUP(CC$15,WTW_Fuel_properties!$C$57:$X$63,COLUMN(WTW_Fuel_properties!$L$55)-COLUMN(WTW_Fuel_properties!$C$55)+1,FALSE)))</f>
        <v>#N/A</v>
      </c>
      <c r="CD29" s="380">
        <f>IF(CD$15="",NA(),
IF(CD15=WTW_Fuel_properties!$C$64,SUMPRODUCT(CD20:CD25,WTW_Fuel_properties!$L$58:$L$63),
VLOOKUP(CD$15,WTW_Fuel_properties!$C$57:$X$63,COLUMN(WTW_Fuel_properties!$L$55)-COLUMN(WTW_Fuel_properties!$C$55)+1,FALSE)))</f>
        <v>3.6485504233065282</v>
      </c>
      <c r="CE29" s="380">
        <f>IF(CE$15="",NA(),
IF(CE15=WTW_Fuel_properties!$C$64,SUMPRODUCT(CE20:CE25,WTW_Fuel_properties!$L$58:$L$63),
VLOOKUP(CE$15,WTW_Fuel_properties!$C$57:$X$63,COLUMN(WTW_Fuel_properties!$L$55)-COLUMN(WTW_Fuel_properties!$C$55)+1,FALSE)))</f>
        <v>1.6815904073344159</v>
      </c>
      <c r="CF29" s="380">
        <f>IF(CF$15="",NA(),
IF(CF15=WTW_Fuel_properties!$C$64,SUMPRODUCT(CF20:CF25,WTW_Fuel_properties!$L$58:$L$63),
VLOOKUP(CF$15,WTW_Fuel_properties!$C$57:$X$63,COLUMN(WTW_Fuel_properties!$L$55)-COLUMN(WTW_Fuel_properties!$C$55)+1,FALSE)))</f>
        <v>4.1486011258058486</v>
      </c>
      <c r="CG29" s="380">
        <f>IF(CG$15="",NA(),
IF(CG15=WTW_Fuel_properties!$C$64,SUMPRODUCT(CG20:CG25,WTW_Fuel_properties!$L$58:$L$63),
VLOOKUP(CG$15,WTW_Fuel_properties!$C$57:$X$63,COLUMN(WTW_Fuel_properties!$L$55)-COLUMN(WTW_Fuel_properties!$C$55)+1,FALSE)))</f>
        <v>0.79364041901389903</v>
      </c>
      <c r="CH29" s="380" t="e">
        <f>IF(CH$15="",NA(),
IF(CH15=WTW_Fuel_properties!$C$64,SUMPRODUCT(CH20:CH25,WTW_Fuel_properties!$L$58:$L$63),
VLOOKUP(CH$15,WTW_Fuel_properties!$C$57:$X$63,COLUMN(WTW_Fuel_properties!$L$55)-COLUMN(WTW_Fuel_properties!$C$55)+1,FALSE)))</f>
        <v>#N/A</v>
      </c>
      <c r="CI29" s="380" t="e">
        <f>IF(CI$15="",NA(),
IF(CI15=WTW_Fuel_properties!$C$64,SUMPRODUCT(CI20:CI25,WTW_Fuel_properties!$L$58:$L$63),
VLOOKUP(CI$15,WTW_Fuel_properties!$C$57:$X$63,COLUMN(WTW_Fuel_properties!$L$55)-COLUMN(WTW_Fuel_properties!$C$55)+1,FALSE)))</f>
        <v>#N/A</v>
      </c>
      <c r="CJ29" s="380" t="e">
        <f>IF(CJ$15="",NA(),
IF(CJ15=WTW_Fuel_properties!$C$64,SUMPRODUCT(CJ20:CJ25,WTW_Fuel_properties!$L$58:$L$63),
VLOOKUP(CJ$15,WTW_Fuel_properties!$C$57:$X$63,COLUMN(WTW_Fuel_properties!$L$55)-COLUMN(WTW_Fuel_properties!$C$55)+1,FALSE)))</f>
        <v>#N/A</v>
      </c>
      <c r="CK29" s="380" t="e">
        <f>IF(CK$15="",NA(),
IF(CK15=WTW_Fuel_properties!$C$64,SUMPRODUCT(CK20:CK25,WTW_Fuel_properties!$L$58:$L$63),
VLOOKUP(CK$15,WTW_Fuel_properties!$C$57:$X$63,COLUMN(WTW_Fuel_properties!$L$55)-COLUMN(WTW_Fuel_properties!$C$55)+1,FALSE)))</f>
        <v>#N/A</v>
      </c>
      <c r="CL29" s="380" t="e">
        <f>IF(CL$15="",NA(),
IF(CL15=WTW_Fuel_properties!$C$64,SUMPRODUCT(CL20:CL25,WTW_Fuel_properties!$L$58:$L$63),
VLOOKUP(CL$15,WTW_Fuel_properties!$C$57:$X$63,COLUMN(WTW_Fuel_properties!$L$55)-COLUMN(WTW_Fuel_properties!$C$55)+1,FALSE)))</f>
        <v>#N/A</v>
      </c>
      <c r="CM29" s="380">
        <f>IF(CM$15="",NA(),
IF(CM15=WTW_Fuel_properties!$C$64,SUMPRODUCT(CM20:CM25,WTW_Fuel_properties!$L$58:$L$63),
VLOOKUP(CM$15,WTW_Fuel_properties!$C$57:$X$63,COLUMN(WTW_Fuel_properties!$L$55)-COLUMN(WTW_Fuel_properties!$C$55)+1,FALSE)))</f>
        <v>0.79364041901389903</v>
      </c>
      <c r="CN29" s="380" t="e">
        <f>IF(CN$15="",NA(),
IF(CN15=WTW_Fuel_properties!$C$64,SUMPRODUCT(CN20:CN25,WTW_Fuel_properties!$L$58:$L$63),
VLOOKUP(CN$15,WTW_Fuel_properties!$C$57:$X$63,COLUMN(WTW_Fuel_properties!$L$55)-COLUMN(WTW_Fuel_properties!$C$55)+1,FALSE)))</f>
        <v>#N/A</v>
      </c>
      <c r="CO29" s="380" t="e">
        <f>IF(CO$15="",NA(),
IF(CO15=WTW_Fuel_properties!$C$64,SUMPRODUCT(CO20:CO25,WTW_Fuel_properties!$L$58:$L$63),
VLOOKUP(CO$15,WTW_Fuel_properties!$C$57:$X$63,COLUMN(WTW_Fuel_properties!$L$55)-COLUMN(WTW_Fuel_properties!$C$55)+1,FALSE)))</f>
        <v>#N/A</v>
      </c>
      <c r="CP29" s="380" t="e">
        <f>IF(CP$15="",NA(),
IF(CP15=WTW_Fuel_properties!$C$64,SUMPRODUCT(CP20:CP25,WTW_Fuel_properties!$L$58:$L$63),
VLOOKUP(CP$15,WTW_Fuel_properties!$C$57:$X$63,COLUMN(WTW_Fuel_properties!$L$55)-COLUMN(WTW_Fuel_properties!$C$55)+1,FALSE)))</f>
        <v>#N/A</v>
      </c>
      <c r="CQ29" s="380" t="e">
        <f>IF(CQ$15="",NA(),
IF(CQ15=WTW_Fuel_properties!$C$64,SUMPRODUCT(CQ20:CQ25,WTW_Fuel_properties!$L$58:$L$63),
VLOOKUP(CQ$15,WTW_Fuel_properties!$C$57:$X$63,COLUMN(WTW_Fuel_properties!$L$55)-COLUMN(WTW_Fuel_properties!$C$55)+1,FALSE)))</f>
        <v>#N/A</v>
      </c>
      <c r="CR29" s="380">
        <f>IF(CR$15="",NA(),
IF(CR15=WTW_Fuel_properties!$C$64,SUMPRODUCT(CR20:CR25,WTW_Fuel_properties!$L$58:$L$63),
VLOOKUP(CR$15,WTW_Fuel_properties!$C$57:$X$63,COLUMN(WTW_Fuel_properties!$L$55)-COLUMN(WTW_Fuel_properties!$C$55)+1,FALSE)))</f>
        <v>0.79364041901389903</v>
      </c>
      <c r="CS29" s="380" t="e">
        <f>IF(CS$15="",NA(),
IF(CS15=WTW_Fuel_properties!$C$64,SUMPRODUCT(CS20:CS25,WTW_Fuel_properties!$L$58:$L$63),
VLOOKUP(CS$15,WTW_Fuel_properties!$C$57:$X$63,COLUMN(WTW_Fuel_properties!$L$55)-COLUMN(WTW_Fuel_properties!$C$55)+1,FALSE)))</f>
        <v>#N/A</v>
      </c>
      <c r="CT29" s="380" t="e">
        <f>IF(CT$15="",NA(),
IF(CT15=WTW_Fuel_properties!$C$64,SUMPRODUCT(CT20:CT25,WTW_Fuel_properties!$L$58:$L$63),
VLOOKUP(CT$15,WTW_Fuel_properties!$C$57:$X$63,COLUMN(WTW_Fuel_properties!$L$55)-COLUMN(WTW_Fuel_properties!$C$55)+1,FALSE)))</f>
        <v>#N/A</v>
      </c>
      <c r="CU29" s="380" t="e">
        <f>IF(CU$15="",NA(),
IF(CU15=WTW_Fuel_properties!$C$64,SUMPRODUCT(CU20:CU25,WTW_Fuel_properties!$L$58:$L$63),
VLOOKUP(CU$15,WTW_Fuel_properties!$C$57:$X$63,COLUMN(WTW_Fuel_properties!$L$55)-COLUMN(WTW_Fuel_properties!$C$55)+1,FALSE)))</f>
        <v>#N/A</v>
      </c>
      <c r="CV29" s="380" t="e">
        <f>IF(CV$15="",NA(),
IF(CV15=WTW_Fuel_properties!$C$64,SUMPRODUCT(CV20:CV25,WTW_Fuel_properties!$L$58:$L$63),
VLOOKUP(CV$15,WTW_Fuel_properties!$C$57:$X$63,COLUMN(WTW_Fuel_properties!$L$55)-COLUMN(WTW_Fuel_properties!$C$55)+1,FALSE)))</f>
        <v>#N/A</v>
      </c>
      <c r="CW29" s="380" t="e">
        <f>IF(CW$15="",NA(),
IF(CW15=WTW_Fuel_properties!$C$64,SUMPRODUCT(CW20:CW25,WTW_Fuel_properties!$L$58:$L$63),
VLOOKUP(CW$15,WTW_Fuel_properties!$C$57:$X$63,COLUMN(WTW_Fuel_properties!$L$55)-COLUMN(WTW_Fuel_properties!$C$55)+1,FALSE)))</f>
        <v>#N/A</v>
      </c>
      <c r="CX29" s="380">
        <f>IF(CX$15="",NA(),
IF(CX15=WTW_Fuel_properties!$C$64,SUMPRODUCT(CX20:CX25,WTW_Fuel_properties!$L$58:$L$63),
VLOOKUP(CX$15,WTW_Fuel_properties!$C$57:$X$63,COLUMN(WTW_Fuel_properties!$L$55)-COLUMN(WTW_Fuel_properties!$C$55)+1,FALSE)))</f>
        <v>0.79364041901389903</v>
      </c>
      <c r="CY29" s="380" t="e">
        <f>IF(CY$15="",NA(),
IF(CY15=WTW_Fuel_properties!$C$64,SUMPRODUCT(CY20:CY25,WTW_Fuel_properties!$L$58:$L$63),
VLOOKUP(CY$15,WTW_Fuel_properties!$C$57:$X$63,COLUMN(WTW_Fuel_properties!$L$55)-COLUMN(WTW_Fuel_properties!$C$55)+1,FALSE)))</f>
        <v>#N/A</v>
      </c>
      <c r="CZ29" s="380" t="e">
        <f>IF(CZ$15="",NA(),
IF(CZ15=WTW_Fuel_properties!$C$64,SUMPRODUCT(CZ20:CZ25,WTW_Fuel_properties!$L$58:$L$63),
VLOOKUP(CZ$15,WTW_Fuel_properties!$C$57:$X$63,COLUMN(WTW_Fuel_properties!$L$55)-COLUMN(WTW_Fuel_properties!$C$55)+1,FALSE)))</f>
        <v>#N/A</v>
      </c>
      <c r="DA29" s="380" t="e">
        <f>IF(DA$15="",NA(),
IF(DA15=WTW_Fuel_properties!$C$64,SUMPRODUCT(DA20:DA25,WTW_Fuel_properties!$L$58:$L$63),
VLOOKUP(DA$15,WTW_Fuel_properties!$C$57:$X$63,COLUMN(WTW_Fuel_properties!$L$55)-COLUMN(WTW_Fuel_properties!$C$55)+1,FALSE)))</f>
        <v>#N/A</v>
      </c>
      <c r="DB29" s="380" t="e">
        <f>IF(DB$15="",NA(),
IF(DB15=WTW_Fuel_properties!$C$64,SUMPRODUCT(DB20:DB25,WTW_Fuel_properties!$L$58:$L$63),
VLOOKUP(DB$15,WTW_Fuel_properties!$C$57:$X$63,COLUMN(WTW_Fuel_properties!$L$55)-COLUMN(WTW_Fuel_properties!$C$55)+1,FALSE)))</f>
        <v>#N/A</v>
      </c>
      <c r="DC29" s="380" t="e">
        <f>IF(DC$15="",NA(),
IF(DC15=WTW_Fuel_properties!$C$64,SUMPRODUCT(DC20:DC25,WTW_Fuel_properties!$L$58:$L$63),
VLOOKUP(DC$15,WTW_Fuel_properties!$C$57:$X$63,COLUMN(WTW_Fuel_properties!$L$55)-COLUMN(WTW_Fuel_properties!$C$55)+1,FALSE)))</f>
        <v>#N/A</v>
      </c>
      <c r="DD29" s="380">
        <f>IF(DD$15="",NA(),
IF(DD15=WTW_Fuel_properties!$C$64,SUMPRODUCT(DD20:DD25,WTW_Fuel_properties!$L$58:$L$63),
VLOOKUP(DD$15,WTW_Fuel_properties!$C$57:$X$63,COLUMN(WTW_Fuel_properties!$L$55)-COLUMN(WTW_Fuel_properties!$C$55)+1,FALSE)))</f>
        <v>0.79364041901389903</v>
      </c>
      <c r="DE29" s="380" t="e">
        <f>IF(DE$15="",NA(),
IF(DE15=WTW_Fuel_properties!$C$64,SUMPRODUCT(DE20:DE25,WTW_Fuel_properties!$L$58:$L$63),
VLOOKUP(DE$15,WTW_Fuel_properties!$C$57:$X$63,COLUMN(WTW_Fuel_properties!$L$55)-COLUMN(WTW_Fuel_properties!$C$55)+1,FALSE)))</f>
        <v>#N/A</v>
      </c>
      <c r="DF29" s="380" t="e">
        <f>IF(DF$15="",NA(),
IF(DF15=WTW_Fuel_properties!$C$64,SUMPRODUCT(DF20:DF25,WTW_Fuel_properties!$L$58:$L$63),
VLOOKUP(DF$15,WTW_Fuel_properties!$C$57:$X$63,COLUMN(WTW_Fuel_properties!$L$55)-COLUMN(WTW_Fuel_properties!$C$55)+1,FALSE)))</f>
        <v>#N/A</v>
      </c>
      <c r="DG29" s="380"/>
      <c r="DH29" s="380" t="e">
        <f>IF(DH$15="",NA(),
IF(DH15=WTW_Fuel_properties!$C$64,SUMPRODUCT(DH20:DH25,WTW_Fuel_properties!$L$58:$L$63),
VLOOKUP(DH$15,WTW_Fuel_properties!$C$57:$X$63,COLUMN(WTW_Fuel_properties!$L$55)-COLUMN(WTW_Fuel_properties!$C$55)+1,FALSE)))</f>
        <v>#N/A</v>
      </c>
      <c r="DI29" s="380" t="e">
        <f>IF(DI$15="",NA(),
IF(DI15=WTW_Fuel_properties!$C$64,SUMPRODUCT(DI20:DI25,WTW_Fuel_properties!$L$58:$L$63),
VLOOKUP(DI$15,WTW_Fuel_properties!$C$57:$X$63,COLUMN(WTW_Fuel_properties!$L$55)-COLUMN(WTW_Fuel_properties!$C$55)+1,FALSE)))</f>
        <v>#N/A</v>
      </c>
      <c r="DJ29" s="380">
        <f>IF(DJ$15="",NA(),
IF(DJ15=WTW_Fuel_properties!$C$64,SUMPRODUCT(DJ20:DJ25,WTW_Fuel_properties!$L$58:$L$63),
VLOOKUP(DJ$15,WTW_Fuel_properties!$C$57:$X$63,COLUMN(WTW_Fuel_properties!$L$55)-COLUMN(WTW_Fuel_properties!$C$55)+1,FALSE)))</f>
        <v>0.79364041901389903</v>
      </c>
      <c r="DK29" s="380" t="e">
        <f>IF(DK$15="",NA(),
IF(DK15=WTW_Fuel_properties!$C$64,SUMPRODUCT(DK20:DK25,WTW_Fuel_properties!$L$58:$L$63),
VLOOKUP(DK$15,WTW_Fuel_properties!$C$57:$X$63,COLUMN(WTW_Fuel_properties!$L$55)-COLUMN(WTW_Fuel_properties!$C$55)+1,FALSE)))</f>
        <v>#N/A</v>
      </c>
      <c r="DL29" s="380" t="e">
        <f>IF(DL$15="",NA(),
IF(DL15=WTW_Fuel_properties!$C$64,SUMPRODUCT(DL20:DL25,WTW_Fuel_properties!$L$58:$L$63),
VLOOKUP(DL$15,WTW_Fuel_properties!$C$57:$X$63,COLUMN(WTW_Fuel_properties!$L$55)-COLUMN(WTW_Fuel_properties!$C$55)+1,FALSE)))</f>
        <v>#N/A</v>
      </c>
      <c r="DM29" s="380" t="e">
        <f>IF(DM$15="",NA(),
IF(DM15=WTW_Fuel_properties!$C$64,SUMPRODUCT(DM20:DM25,WTW_Fuel_properties!$L$58:$L$63),
VLOOKUP(DM$15,WTW_Fuel_properties!$C$57:$X$63,COLUMN(WTW_Fuel_properties!$L$55)-COLUMN(WTW_Fuel_properties!$C$55)+1,FALSE)))</f>
        <v>#N/A</v>
      </c>
      <c r="DN29" s="380" t="e">
        <f>IF(DN$15="",NA(),
IF(DN15=WTW_Fuel_properties!$C$64,SUMPRODUCT(DN20:DN25,WTW_Fuel_properties!$L$58:$L$63),
VLOOKUP(DN$15,WTW_Fuel_properties!$C$57:$X$63,COLUMN(WTW_Fuel_properties!$L$55)-COLUMN(WTW_Fuel_properties!$C$55)+1,FALSE)))</f>
        <v>#N/A</v>
      </c>
      <c r="DO29" s="380" t="e">
        <f>IF(DO$15="",NA(),
IF(DO15=WTW_Fuel_properties!$C$64,SUMPRODUCT(DO20:DO25,WTW_Fuel_properties!$L$58:$L$63),
VLOOKUP(DO$15,WTW_Fuel_properties!$C$57:$X$63,COLUMN(WTW_Fuel_properties!$L$55)-COLUMN(WTW_Fuel_properties!$C$55)+1,FALSE)))</f>
        <v>#N/A</v>
      </c>
      <c r="DP29" s="380" t="e">
        <f>IF(DP$15="",NA(),
IF(DP15=WTW_Fuel_properties!$C$64,SUMPRODUCT(DP20:DP25,WTW_Fuel_properties!$L$58:$L$63),
VLOOKUP(DP$15,WTW_Fuel_properties!$C$57:$X$63,COLUMN(WTW_Fuel_properties!$L$55)-COLUMN(WTW_Fuel_properties!$C$55)+1,FALSE)))</f>
        <v>#N/A</v>
      </c>
      <c r="DQ29" s="380" t="e">
        <f>IF(DQ$15="",NA(),
IF(DQ15=WTW_Fuel_properties!$C$64,SUMPRODUCT(DQ20:DQ25,WTW_Fuel_properties!$L$58:$L$63),
VLOOKUP(DQ$15,WTW_Fuel_properties!$C$57:$X$63,COLUMN(WTW_Fuel_properties!$L$55)-COLUMN(WTW_Fuel_properties!$C$55)+1,FALSE)))</f>
        <v>#N/A</v>
      </c>
      <c r="DR29" s="380" t="e">
        <f>IF(DR$15="",NA(),
IF(DR15=WTW_Fuel_properties!$C$64,SUMPRODUCT(DR20:DR25,WTW_Fuel_properties!$L$58:$L$63),
VLOOKUP(DR$15,WTW_Fuel_properties!$C$57:$X$63,COLUMN(WTW_Fuel_properties!$L$55)-COLUMN(WTW_Fuel_properties!$C$55)+1,FALSE)))</f>
        <v>#N/A</v>
      </c>
      <c r="DS29" s="380" t="e">
        <f>IF(DS$15="",NA(),
IF(DS15=WTW_Fuel_properties!$C$64,SUMPRODUCT(DS20:DS25,WTW_Fuel_properties!$L$58:$L$63),
VLOOKUP(DS$15,WTW_Fuel_properties!$C$57:$X$63,COLUMN(WTW_Fuel_properties!$L$55)-COLUMN(WTW_Fuel_properties!$C$55)+1,FALSE)))</f>
        <v>#N/A</v>
      </c>
      <c r="DT29" s="380" t="e">
        <f>IF(DT$15="",NA(),
IF(DT15=WTW_Fuel_properties!$C$64,SUMPRODUCT(DT20:DT25,WTW_Fuel_properties!$L$58:$L$63),
VLOOKUP(DT$15,WTW_Fuel_properties!$C$57:$X$63,COLUMN(WTW_Fuel_properties!$L$55)-COLUMN(WTW_Fuel_properties!$C$55)+1,FALSE)))</f>
        <v>#N/A</v>
      </c>
      <c r="DU29" s="380" t="e">
        <f>IF(DU$15="",NA(),
IF(DU15=WTW_Fuel_properties!$C$64,SUMPRODUCT(DU20:DU25,WTW_Fuel_properties!$L$58:$L$63),
VLOOKUP(DU$15,WTW_Fuel_properties!$C$57:$X$63,COLUMN(WTW_Fuel_properties!$L$55)-COLUMN(WTW_Fuel_properties!$C$55)+1,FALSE)))</f>
        <v>#N/A</v>
      </c>
      <c r="DV29" s="380">
        <f>IF(DV$15="",NA(),
IF(DV15=WTW_Fuel_properties!$C$64,SUMPRODUCT(DV20:DV25,WTW_Fuel_properties!$L$58:$L$63),
VLOOKUP(DV$15,WTW_Fuel_properties!$C$57:$X$63,COLUMN(WTW_Fuel_properties!$L$55)-COLUMN(WTW_Fuel_properties!$C$55)+1,FALSE)))</f>
        <v>1.6815904073344159</v>
      </c>
      <c r="DW29" s="380">
        <f>IF(DW$15="",NA(),
IF(DW15=WTW_Fuel_properties!$C$64,SUMPRODUCT(DW20:DW25,WTW_Fuel_properties!$L$58:$L$63),
VLOOKUP(DW$15,WTW_Fuel_properties!$C$57:$X$63,COLUMN(WTW_Fuel_properties!$L$55)-COLUMN(WTW_Fuel_properties!$C$55)+1,FALSE)))</f>
        <v>0.79364041901389903</v>
      </c>
      <c r="DX29" s="380" t="e">
        <f>IF(DX$15="",NA(),
IF(DX15=WTW_Fuel_properties!$C$64,SUMPRODUCT(DX20:DX25,WTW_Fuel_properties!$L$58:$L$63),
VLOOKUP(DX$15,WTW_Fuel_properties!$C$57:$X$63,COLUMN(WTW_Fuel_properties!$L$55)-COLUMN(WTW_Fuel_properties!$C$55)+1,FALSE)))</f>
        <v>#N/A</v>
      </c>
      <c r="DY29" s="380" t="e">
        <f>IF(DY$15="",NA(),
IF(DY15=WTW_Fuel_properties!$C$64,SUMPRODUCT(DY20:DY25,WTW_Fuel_properties!$L$58:$L$63),
VLOOKUP(DY$15,WTW_Fuel_properties!$C$57:$X$63,COLUMN(WTW_Fuel_properties!$L$55)-COLUMN(WTW_Fuel_properties!$C$55)+1,FALSE)))</f>
        <v>#N/A</v>
      </c>
      <c r="DZ29" s="380" t="e">
        <f>IF(DZ$15="",NA(),
IF(DZ15=WTW_Fuel_properties!$C$64,SUMPRODUCT(DZ20:DZ25,WTW_Fuel_properties!$L$58:$L$63),
VLOOKUP(DZ$15,WTW_Fuel_properties!$C$57:$X$63,COLUMN(WTW_Fuel_properties!$L$55)-COLUMN(WTW_Fuel_properties!$C$55)+1,FALSE)))</f>
        <v>#N/A</v>
      </c>
      <c r="EA29" s="380" t="e">
        <f>IF(EA$15="",NA(),
IF(EA15=WTW_Fuel_properties!$C$64,SUMPRODUCT(EA20:EA25,WTW_Fuel_properties!$L$58:$L$63),
VLOOKUP(EA$15,WTW_Fuel_properties!$C$57:$X$63,COLUMN(WTW_Fuel_properties!$L$55)-COLUMN(WTW_Fuel_properties!$C$55)+1,FALSE)))</f>
        <v>#N/A</v>
      </c>
      <c r="EB29" s="380" t="e">
        <f>IF(EB$15="",NA(),
IF(EB15=WTW_Fuel_properties!$C$64,SUMPRODUCT(EB20:EB25,WTW_Fuel_properties!$L$58:$L$63),
VLOOKUP(EB$15,WTW_Fuel_properties!$C$57:$X$63,COLUMN(WTW_Fuel_properties!$L$55)-COLUMN(WTW_Fuel_properties!$C$55)+1,FALSE)))</f>
        <v>#N/A</v>
      </c>
      <c r="EC29" s="380" t="e">
        <f>IF(EC$15="",NA(),
IF(EC15=WTW_Fuel_properties!$C$64,SUMPRODUCT(EC20:EC25,WTW_Fuel_properties!$L$58:$L$63),
VLOOKUP(EC$15,WTW_Fuel_properties!$C$57:$X$63,COLUMN(WTW_Fuel_properties!$L$55)-COLUMN(WTW_Fuel_properties!$C$55)+1,FALSE)))</f>
        <v>#N/A</v>
      </c>
      <c r="ED29" s="380" t="e">
        <f>IF(ED$15="",NA(),
IF(ED15=WTW_Fuel_properties!$C$64,SUMPRODUCT(ED20:ED25,WTW_Fuel_properties!$L$58:$L$63),
VLOOKUP(ED$15,WTW_Fuel_properties!$C$57:$X$63,COLUMN(WTW_Fuel_properties!$L$55)-COLUMN(WTW_Fuel_properties!$C$55)+1,FALSE)))</f>
        <v>#N/A</v>
      </c>
    </row>
    <row r="31" spans="1:156" x14ac:dyDescent="0.3">
      <c r="A31" s="21" t="s">
        <v>338</v>
      </c>
      <c r="B31" s="124" t="s">
        <v>337</v>
      </c>
      <c r="C31" s="21" t="s">
        <v>848</v>
      </c>
      <c r="D31" s="23" t="e">
        <f>IF(D$14="",NA(),VLOOKUP(D$14,WTW_Fuel_properties!$A$75:$C$90,3,FALSE))</f>
        <v>#N/A</v>
      </c>
      <c r="E31" s="23" t="e">
        <f>IF(E$14="",NA(),VLOOKUP(E$14,WTW_Fuel_properties!$A$75:$C$90,3,FALSE))</f>
        <v>#N/A</v>
      </c>
      <c r="F31" s="23" t="e">
        <f>IF(F$14="",NA(),VLOOKUP(F$14,WTW_Fuel_properties!$A$75:$C$90,3,FALSE))</f>
        <v>#N/A</v>
      </c>
      <c r="G31" s="23" t="e">
        <f>IF(G$14="",NA(),VLOOKUP(G$14,WTW_Fuel_properties!$A$75:$C$90,3,FALSE))</f>
        <v>#N/A</v>
      </c>
      <c r="H31" s="23" t="e">
        <f>IF(H$14="",NA(),VLOOKUP(H$14,WTW_Fuel_properties!$A$75:$C$90,3,FALSE))</f>
        <v>#N/A</v>
      </c>
      <c r="I31" s="23" t="e">
        <f>IF(I$14="",NA(),VLOOKUP(I$14,WTW_Fuel_properties!$A$75:$C$90,3,FALSE))</f>
        <v>#N/A</v>
      </c>
      <c r="J31" s="23" t="e">
        <f>IF(J$14="",NA(),VLOOKUP(J$14,WTW_Fuel_properties!$A$75:$C$90,3,FALSE))</f>
        <v>#N/A</v>
      </c>
      <c r="K31" s="23" t="e">
        <f>IF(K$14="",NA(),VLOOKUP(K$14,WTW_Fuel_properties!$A$75:$C$90,3,FALSE))</f>
        <v>#N/A</v>
      </c>
      <c r="L31" s="23" t="e">
        <f>IF(L$14="",NA(),VLOOKUP(L$14,WTW_Fuel_properties!$A$75:$C$90,3,FALSE))</f>
        <v>#N/A</v>
      </c>
      <c r="M31" s="23" t="e">
        <f>IF(M$14="",NA(),VLOOKUP(M$14,WTW_Fuel_properties!$A$75:$C$90,3,FALSE))</f>
        <v>#N/A</v>
      </c>
      <c r="N31" s="23" t="e">
        <f>IF(N$14="",NA(),VLOOKUP(N$14,WTW_Fuel_properties!$A$75:$C$90,3,FALSE))</f>
        <v>#N/A</v>
      </c>
      <c r="O31" s="23" t="e">
        <f>IF(O$14="",NA(),VLOOKUP(O$14,WTW_Fuel_properties!$A$75:$C$90,3,FALSE))</f>
        <v>#N/A</v>
      </c>
      <c r="P31" s="23" t="e">
        <f>IF(P$14="",NA(),VLOOKUP(P$14,WTW_Fuel_properties!$A$75:$C$90,3,FALSE))</f>
        <v>#N/A</v>
      </c>
      <c r="Q31" s="23" t="e">
        <f>IF(Q$14="",NA(),VLOOKUP(Q$14,WTW_Fuel_properties!$A$75:$C$90,3,FALSE))</f>
        <v>#N/A</v>
      </c>
      <c r="R31" s="23" t="e">
        <f>IF(R$14="",NA(),VLOOKUP(R$14,WTW_Fuel_properties!$A$75:$C$90,3,FALSE))</f>
        <v>#N/A</v>
      </c>
      <c r="S31" s="23" t="e">
        <f>IF(S$14="",NA(),VLOOKUP(S$14,WTW_Fuel_properties!$A$75:$C$90,3,FALSE))</f>
        <v>#N/A</v>
      </c>
      <c r="T31" s="23" t="e">
        <f>IF(T$14="",NA(),VLOOKUP(T$14,WTW_Fuel_properties!$A$75:$C$90,3,FALSE))</f>
        <v>#N/A</v>
      </c>
      <c r="U31" s="23" t="e">
        <f>IF(U$14="",NA(),VLOOKUP(U$14,WTW_Fuel_properties!$A$75:$C$90,3,FALSE))</f>
        <v>#N/A</v>
      </c>
      <c r="V31" s="23" t="e">
        <f>IF(V$14="",NA(),VLOOKUP(V$14,WTW_Fuel_properties!$A$75:$C$90,3,FALSE))</f>
        <v>#N/A</v>
      </c>
      <c r="W31" s="23" t="e">
        <f>IF(W$14="",NA(),VLOOKUP(W$14,WTW_Fuel_properties!$A$75:$C$90,3,FALSE))</f>
        <v>#N/A</v>
      </c>
      <c r="X31" s="23" t="e">
        <f>IF(X$14="",NA(),VLOOKUP(X$14,WTW_Fuel_properties!$A$75:$C$90,3,FALSE))</f>
        <v>#N/A</v>
      </c>
      <c r="Y31" s="23" t="e">
        <f>IF(Y$14="",NA(),VLOOKUP(Y$14,WTW_Fuel_properties!$A$75:$C$90,3,FALSE))</f>
        <v>#N/A</v>
      </c>
      <c r="Z31" s="23" t="e">
        <f>IF(Z$14="",NA(),VLOOKUP(Z$14,WTW_Fuel_properties!$A$75:$C$90,3,FALSE))</f>
        <v>#N/A</v>
      </c>
      <c r="AA31" s="23" t="e">
        <f>IF(AA$14="",NA(),VLOOKUP(AA$14,WTW_Fuel_properties!$A$75:$C$90,3,FALSE))</f>
        <v>#N/A</v>
      </c>
      <c r="AB31" s="23" t="e">
        <f>IF(AB$14="",NA(),VLOOKUP(AB$14,WTW_Fuel_properties!$A$75:$C$90,3,FALSE))</f>
        <v>#N/A</v>
      </c>
      <c r="AC31" s="23" t="e">
        <f>IF(AC$14="",NA(),VLOOKUP(AC$14,WTW_Fuel_properties!$A$75:$C$90,3,FALSE))</f>
        <v>#N/A</v>
      </c>
      <c r="AD31" s="23" t="e">
        <f>IF(AD$14="",NA(),VLOOKUP(AD$14,WTW_Fuel_properties!$A$75:$C$90,3,FALSE))</f>
        <v>#N/A</v>
      </c>
      <c r="AE31" s="23" t="e">
        <f>IF(AE$14="",NA(),VLOOKUP(AE$14,WTW_Fuel_properties!$A$75:$C$90,3,FALSE))</f>
        <v>#N/A</v>
      </c>
      <c r="AF31" s="23" t="e">
        <f>IF(AF$14="",NA(),VLOOKUP(AF$14,WTW_Fuel_properties!$A$75:$C$90,3,FALSE))</f>
        <v>#N/A</v>
      </c>
      <c r="AG31" s="23" t="e">
        <f>IF(AG$14="",NA(),VLOOKUP(AG$14,WTW_Fuel_properties!$A$75:$C$90,3,FALSE))</f>
        <v>#N/A</v>
      </c>
      <c r="AH31" s="23" t="e">
        <f>IF(AH$14="",NA(),VLOOKUP(AH$14,WTW_Fuel_properties!$A$75:$C$90,3,FALSE))</f>
        <v>#N/A</v>
      </c>
      <c r="AI31" s="23" t="e">
        <f>IF(AI$14="",NA(),VLOOKUP(AI$14,WTW_Fuel_properties!$A$75:$C$90,3,FALSE))</f>
        <v>#N/A</v>
      </c>
      <c r="AJ31" s="23" t="e">
        <f>IF(AJ$14="",NA(),VLOOKUP(AJ$14,WTW_Fuel_properties!$A$75:$C$90,3,FALSE))</f>
        <v>#N/A</v>
      </c>
      <c r="AK31" s="23">
        <f>IF(AK$14="",NA(),VLOOKUP(AK$14,WTW_Fuel_properties!$A$75:$C$90,3,FALSE))</f>
        <v>2.7712969199999997</v>
      </c>
      <c r="AL31" s="23" t="e">
        <f>IF(AL$14="",NA(),VLOOKUP(AL$14,WTW_Fuel_properties!$A$75:$C$90,3,FALSE))</f>
        <v>#N/A</v>
      </c>
      <c r="AM31" s="23">
        <f>IF(AM$14="",NA(),VLOOKUP(AM$14,WTW_Fuel_properties!$A$75:$C$90,3,FALSE))</f>
        <v>2.7712969199999997</v>
      </c>
      <c r="AN31" s="23" t="e">
        <f>IF(AN$14="",NA(),VLOOKUP(AN$14,WTW_Fuel_properties!$A$75:$C$90,3,FALSE))</f>
        <v>#N/A</v>
      </c>
      <c r="AO31" s="23">
        <f>IF(AO$14="",NA(),VLOOKUP(AO$14,WTW_Fuel_properties!$A$75:$C$90,3,FALSE))</f>
        <v>2.7712969199999997</v>
      </c>
      <c r="AP31" s="23">
        <f>IF(AP$14="",NA(),VLOOKUP(AP$14,WTW_Fuel_properties!$A$75:$C$90,3,FALSE))</f>
        <v>2.7712969199999997</v>
      </c>
      <c r="AQ31" s="23">
        <f>IF(AQ$14="",NA(),VLOOKUP(AQ$14,WTW_Fuel_properties!$A$75:$C$90,3,FALSE))</f>
        <v>2.7712969199999997</v>
      </c>
      <c r="AR31" s="23" t="e">
        <f>IF(AR$14="",NA(),VLOOKUP(AR$14,WTW_Fuel_properties!$A$75:$C$90,3,FALSE))</f>
        <v>#N/A</v>
      </c>
      <c r="AS31" s="23" t="e">
        <f>IF(AS$14="",NA(),VLOOKUP(AS$14,WTW_Fuel_properties!$A$75:$C$90,3,FALSE))</f>
        <v>#N/A</v>
      </c>
      <c r="AT31" s="23" t="e">
        <f>IF(AT$14="",NA(),VLOOKUP(AT$14,WTW_Fuel_properties!$A$75:$C$90,3,FALSE))</f>
        <v>#N/A</v>
      </c>
      <c r="AU31" s="23" t="e">
        <f>IF(AU$14="",NA(),VLOOKUP(AU$14,WTW_Fuel_properties!$A$75:$C$90,3,FALSE))</f>
        <v>#N/A</v>
      </c>
      <c r="AV31" s="23" t="e">
        <f>IF(AV$14="",NA(),VLOOKUP(AV$14,WTW_Fuel_properties!$A$75:$C$90,3,FALSE))</f>
        <v>#N/A</v>
      </c>
      <c r="AW31" s="23" t="e">
        <f>IF(AW$14="",NA(),VLOOKUP(AW$14,WTW_Fuel_properties!$A$75:$C$90,3,FALSE))</f>
        <v>#N/A</v>
      </c>
      <c r="AX31" s="23" t="e">
        <f>IF(AX$14="",NA(),VLOOKUP(AX$14,WTW_Fuel_properties!$A$75:$C$90,3,FALSE))</f>
        <v>#N/A</v>
      </c>
      <c r="AY31" s="23" t="e">
        <f>IF(AY$14="",NA(),VLOOKUP(AY$14,WTW_Fuel_properties!$A$75:$C$90,3,FALSE))</f>
        <v>#N/A</v>
      </c>
      <c r="AZ31" s="23" t="e">
        <f>IF(AZ$14="",NA(),VLOOKUP(AZ$14,WTW_Fuel_properties!$A$75:$C$90,3,FALSE))</f>
        <v>#N/A</v>
      </c>
      <c r="BA31" s="23" t="e">
        <f>IF(BA$14="",NA(),VLOOKUP(BA$14,WTW_Fuel_properties!$A$75:$C$90,3,FALSE))</f>
        <v>#N/A</v>
      </c>
      <c r="BB31" s="23" t="e">
        <f>IF(BB$14="",NA(),VLOOKUP(BB$14,WTW_Fuel_properties!$A$75:$C$90,3,FALSE))</f>
        <v>#N/A</v>
      </c>
      <c r="BC31" s="23">
        <f>IF(BC$14="",NA(),VLOOKUP(BC$14,WTW_Fuel_properties!$A$75:$C$90,3,FALSE))</f>
        <v>2.7712969199999997</v>
      </c>
      <c r="BD31" s="23">
        <f>IF(BD$14="",NA(),VLOOKUP(BD$14,WTW_Fuel_properties!$A$75:$C$90,3,FALSE))</f>
        <v>2.7712969199999997</v>
      </c>
      <c r="BE31" s="23">
        <f>IF(BE$14="",NA(),VLOOKUP(BE$14,WTW_Fuel_properties!$A$75:$C$90,3,FALSE))</f>
        <v>2.7712969199999997</v>
      </c>
      <c r="BF31" s="23">
        <f>IF(BF$14="",NA(),VLOOKUP(BF$14,WTW_Fuel_properties!$A$75:$C$90,3,FALSE))</f>
        <v>2.7712969199999997</v>
      </c>
      <c r="BG31" s="23">
        <f>IF(BG$14="",NA(),VLOOKUP(BG$14,WTW_Fuel_properties!$A$75:$C$90,3,FALSE))</f>
        <v>2.7712969199999997</v>
      </c>
      <c r="BH31" s="23">
        <f>IF(BH$14="",NA(),VLOOKUP(BH$14,WTW_Fuel_properties!$A$75:$C$90,3,FALSE))</f>
        <v>2.7712969199999997</v>
      </c>
      <c r="BI31" s="23">
        <f>IF(BI$14="",NA(),VLOOKUP(BI$14,WTW_Fuel_properties!$A$75:$C$90,3,FALSE))</f>
        <v>2.7712969199999997</v>
      </c>
      <c r="BJ31" s="23">
        <f>IF(BJ$14="",NA(),VLOOKUP(BJ$14,WTW_Fuel_properties!$A$75:$C$90,3,FALSE))</f>
        <v>2.7712969199999997</v>
      </c>
      <c r="BK31" s="23">
        <f>IF(BK$14="",NA(),VLOOKUP(BK$14,WTW_Fuel_properties!$A$75:$C$90,3,FALSE))</f>
        <v>2.7712969199999997</v>
      </c>
      <c r="BL31" s="23" t="e">
        <f>IF(BL$14="",NA(),VLOOKUP(BL$14,WTW_Fuel_properties!$A$75:$C$90,3,FALSE))</f>
        <v>#N/A</v>
      </c>
      <c r="BM31" s="23" t="e">
        <f>IF(BM$14="",NA(),VLOOKUP(BM$14,WTW_Fuel_properties!$A$75:$C$90,3,FALSE))</f>
        <v>#N/A</v>
      </c>
      <c r="BN31" s="23" t="e">
        <f>IF(BN$14="",NA(),VLOOKUP(BN$14,WTW_Fuel_properties!$A$75:$C$90,3,FALSE))</f>
        <v>#N/A</v>
      </c>
      <c r="BO31" s="23" t="e">
        <f>IF(BO$14="",NA(),VLOOKUP(BO$14,WTW_Fuel_properties!$A$75:$C$90,3,FALSE))</f>
        <v>#N/A</v>
      </c>
      <c r="BP31" s="23" t="e">
        <f>IF(BP$14="",NA(),VLOOKUP(BP$14,WTW_Fuel_properties!$A$75:$C$90,3,FALSE))</f>
        <v>#N/A</v>
      </c>
      <c r="BQ31" s="23" t="e">
        <f>IF(BQ$14="",NA(),VLOOKUP(BQ$14,WTW_Fuel_properties!$A$75:$C$90,3,FALSE))</f>
        <v>#N/A</v>
      </c>
      <c r="BR31" s="23" t="e">
        <f>IF(BR$14="",NA(),VLOOKUP(BR$14,WTW_Fuel_properties!$A$75:$C$90,3,FALSE))</f>
        <v>#N/A</v>
      </c>
      <c r="BS31" s="23" t="e">
        <f>IF(BS$14="",NA(),VLOOKUP(BS$14,WTW_Fuel_properties!$A$75:$C$90,3,FALSE))</f>
        <v>#N/A</v>
      </c>
      <c r="BT31" s="23" t="e">
        <f>IF(BT$14="",NA(),VLOOKUP(BT$14,WTW_Fuel_properties!$A$75:$C$90,3,FALSE))</f>
        <v>#N/A</v>
      </c>
      <c r="BU31" s="23" t="e">
        <f>IF(BU$14="",NA(),VLOOKUP(BU$14,WTW_Fuel_properties!$A$75:$C$90,3,FALSE))</f>
        <v>#N/A</v>
      </c>
      <c r="BV31" s="23" t="e">
        <f>IF(BV$14="",NA(),VLOOKUP(BV$14,WTW_Fuel_properties!$A$75:$C$90,3,FALSE))</f>
        <v>#N/A</v>
      </c>
      <c r="BW31" s="23" t="e">
        <f>IF(BW$14="",NA(),VLOOKUP(BW$14,WTW_Fuel_properties!$A$75:$C$90,3,FALSE))</f>
        <v>#N/A</v>
      </c>
      <c r="BX31" s="23" t="e">
        <f>IF(BX$14="",NA(),VLOOKUP(BX$14,WTW_Fuel_properties!$A$75:$C$90,3,FALSE))</f>
        <v>#N/A</v>
      </c>
      <c r="BY31" s="23" t="e">
        <f>IF(BY$14="",NA(),VLOOKUP(BY$14,WTW_Fuel_properties!$A$75:$C$90,3,FALSE))</f>
        <v>#N/A</v>
      </c>
      <c r="BZ31" s="23" t="e">
        <f>IF(BZ$14="",NA(),VLOOKUP(BZ$14,WTW_Fuel_properties!$A$75:$C$90,3,FALSE))</f>
        <v>#N/A</v>
      </c>
      <c r="CA31" s="23" t="e">
        <f>IF(CA$14="",NA(),VLOOKUP(CA$14,WTW_Fuel_properties!$A$75:$C$90,3,FALSE))</f>
        <v>#N/A</v>
      </c>
      <c r="CB31" s="23" t="e">
        <f>IF(CB$14="",NA(),VLOOKUP(CB$14,WTW_Fuel_properties!$A$75:$C$90,3,FALSE))</f>
        <v>#N/A</v>
      </c>
      <c r="CC31" s="23" t="e">
        <f>IF(CC$14="",NA(),VLOOKUP(CC$14,WTW_Fuel_properties!$A$75:$C$90,3,FALSE))</f>
        <v>#N/A</v>
      </c>
      <c r="CD31" s="23" t="e">
        <f>IF(CD$14="",NA(),VLOOKUP(CD$14,WTW_Fuel_properties!$A$75:$C$90,3,FALSE))</f>
        <v>#N/A</v>
      </c>
      <c r="CE31" s="23" t="e">
        <f>IF(CE$14="",NA(),VLOOKUP(CE$14,WTW_Fuel_properties!$A$75:$C$90,3,FALSE))</f>
        <v>#N/A</v>
      </c>
      <c r="CF31" s="23" t="e">
        <f>IF(CF$14="",NA(),VLOOKUP(CF$14,WTW_Fuel_properties!$A$75:$C$90,3,FALSE))</f>
        <v>#N/A</v>
      </c>
      <c r="CG31" s="23" t="e">
        <f>IF(CG$14="",NA(),VLOOKUP(CG$14,WTW_Fuel_properties!$A$75:$C$90,3,FALSE))</f>
        <v>#N/A</v>
      </c>
      <c r="CH31" s="23">
        <f>IF(CH$14="",NA(),VLOOKUP(CH$14,WTW_Fuel_properties!$A$75:$C$90,3,FALSE))</f>
        <v>2.7712969199999997</v>
      </c>
      <c r="CI31" s="23">
        <f>IF(CI$14="",NA(),VLOOKUP(CI$14,WTW_Fuel_properties!$A$75:$C$90,3,FALSE))</f>
        <v>2.7712969199999997</v>
      </c>
      <c r="CJ31" s="23">
        <f>IF(CJ$14="",NA(),VLOOKUP(CJ$14,WTW_Fuel_properties!$A$75:$C$90,3,FALSE))</f>
        <v>2.7712969199999997</v>
      </c>
      <c r="CK31" s="23" t="e">
        <f>IF(CK$14="",NA(),VLOOKUP(CK$14,WTW_Fuel_properties!$A$75:$C$90,3,FALSE))</f>
        <v>#N/A</v>
      </c>
      <c r="CL31" s="23" t="e">
        <f>IF(CL$14="",NA(),VLOOKUP(CL$14,WTW_Fuel_properties!$A$75:$C$90,3,FALSE))</f>
        <v>#N/A</v>
      </c>
      <c r="CM31" s="23" t="e">
        <f>IF(CM$14="",NA(),VLOOKUP(CM$14,WTW_Fuel_properties!$A$75:$C$90,3,FALSE))</f>
        <v>#N/A</v>
      </c>
      <c r="CN31" s="23">
        <f>IF(CN$14="",NA(),VLOOKUP(CN$14,WTW_Fuel_properties!$A$75:$C$90,3,FALSE))</f>
        <v>2.7712969199999997</v>
      </c>
      <c r="CO31" s="23">
        <f>IF(CO$14="",NA(),VLOOKUP(CO$14,WTW_Fuel_properties!$A$75:$C$90,3,FALSE))</f>
        <v>2.7712969199999997</v>
      </c>
      <c r="CP31" s="23">
        <f>IF(CP$14="",NA(),VLOOKUP(CP$14,WTW_Fuel_properties!$A$75:$C$90,3,FALSE))</f>
        <v>2.7712969199999997</v>
      </c>
      <c r="CQ31" s="23" t="e">
        <f>IF(CQ$14="",NA(),VLOOKUP(CQ$14,WTW_Fuel_properties!$A$75:$C$90,3,FALSE))</f>
        <v>#N/A</v>
      </c>
      <c r="CR31" s="23" t="e">
        <f>IF(CR$14="",NA(),VLOOKUP(CR$14,WTW_Fuel_properties!$A$75:$C$90,3,FALSE))</f>
        <v>#N/A</v>
      </c>
      <c r="CS31" s="23">
        <f>IF(CS$14="",NA(),VLOOKUP(CS$14,WTW_Fuel_properties!$A$75:$C$90,3,FALSE))</f>
        <v>2.7712969199999997</v>
      </c>
      <c r="CT31" s="23">
        <f>IF(CT$14="",NA(),VLOOKUP(CT$14,WTW_Fuel_properties!$A$75:$C$90,3,FALSE))</f>
        <v>2.7712969199999997</v>
      </c>
      <c r="CU31" s="23">
        <f>IF(CU$14="",NA(),VLOOKUP(CU$14,WTW_Fuel_properties!$A$75:$C$90,3,FALSE))</f>
        <v>2.7712969199999997</v>
      </c>
      <c r="CV31" s="23" t="e">
        <f>IF(CV$14="",NA(),VLOOKUP(CV$14,WTW_Fuel_properties!$A$75:$C$90,3,FALSE))</f>
        <v>#N/A</v>
      </c>
      <c r="CW31" s="23" t="e">
        <f>IF(CW$14="",NA(),VLOOKUP(CW$14,WTW_Fuel_properties!$A$75:$C$90,3,FALSE))</f>
        <v>#N/A</v>
      </c>
      <c r="CX31" s="23" t="e">
        <f>IF(CX$14="",NA(),VLOOKUP(CX$14,WTW_Fuel_properties!$A$75:$C$90,3,FALSE))</f>
        <v>#N/A</v>
      </c>
      <c r="CY31" s="23">
        <f>IF(CY$14="",NA(),VLOOKUP(CY$14,WTW_Fuel_properties!$A$75:$C$90,3,FALSE))</f>
        <v>2.7712969199999997</v>
      </c>
      <c r="CZ31" s="23">
        <f>IF(CZ$14="",NA(),VLOOKUP(CZ$14,WTW_Fuel_properties!$A$75:$C$90,3,FALSE))</f>
        <v>2.7712969199999997</v>
      </c>
      <c r="DA31" s="23">
        <f>IF(DA$14="",NA(),VLOOKUP(DA$14,WTW_Fuel_properties!$A$75:$C$90,3,FALSE))</f>
        <v>2.7712969199999997</v>
      </c>
      <c r="DB31" s="23" t="e">
        <f>IF(DB$14="",NA(),VLOOKUP(DB$14,WTW_Fuel_properties!$A$75:$C$90,3,FALSE))</f>
        <v>#N/A</v>
      </c>
      <c r="DC31" s="23" t="e">
        <f>IF(DC$14="",NA(),VLOOKUP(DC$14,WTW_Fuel_properties!$A$75:$C$90,3,FALSE))</f>
        <v>#N/A</v>
      </c>
      <c r="DD31" s="23" t="e">
        <f>IF(DD$14="",NA(),VLOOKUP(DD$14,WTW_Fuel_properties!$A$75:$C$90,3,FALSE))</f>
        <v>#N/A</v>
      </c>
      <c r="DE31" s="23">
        <f>IF(DE$14="",NA(),VLOOKUP(DE$14,WTW_Fuel_properties!$A$75:$C$90,3,FALSE))</f>
        <v>2.7712969199999997</v>
      </c>
      <c r="DF31" s="23">
        <f>IF(DF$14="",NA(),VLOOKUP(DF$14,WTW_Fuel_properties!$A$75:$C$90,3,FALSE))</f>
        <v>2.7712969199999997</v>
      </c>
      <c r="DG31" s="23"/>
      <c r="DH31" s="23" t="e">
        <f>IF(DH$14="",NA(),VLOOKUP(DH$14,WTW_Fuel_properties!$A$75:$C$90,3,FALSE))</f>
        <v>#N/A</v>
      </c>
      <c r="DI31" s="23" t="e">
        <f>IF(DI$14="",NA(),VLOOKUP(DI$14,WTW_Fuel_properties!$A$75:$C$90,3,FALSE))</f>
        <v>#N/A</v>
      </c>
      <c r="DJ31" s="23" t="e">
        <f>IF(DJ$14="",NA(),VLOOKUP(DJ$14,WTW_Fuel_properties!$A$75:$C$90,3,FALSE))</f>
        <v>#N/A</v>
      </c>
      <c r="DK31" s="23">
        <f>IF(DK$14="",NA(),VLOOKUP(DK$14,WTW_Fuel_properties!$A$75:$C$90,3,FALSE))</f>
        <v>2.9834686533333334</v>
      </c>
      <c r="DL31" s="23">
        <f>IF(DL$14="",NA(),VLOOKUP(DL$14,WTW_Fuel_properties!$A$75:$C$90,3,FALSE))</f>
        <v>2.9834686533333334</v>
      </c>
      <c r="DM31" s="23">
        <f>IF(DM$14="",NA(),VLOOKUP(DM$14,WTW_Fuel_properties!$A$75:$C$90,3,FALSE))</f>
        <v>2.9834686533333334</v>
      </c>
      <c r="DN31" s="23">
        <f>IF(DN$14="",NA(),VLOOKUP(DN$14,WTW_Fuel_properties!$A$75:$C$90,3,FALSE))</f>
        <v>2.9834686533333334</v>
      </c>
      <c r="DO31" s="23">
        <f>IF(DO$14="",NA(),VLOOKUP(DO$14,WTW_Fuel_properties!$A$75:$C$90,3,FALSE))</f>
        <v>2.9834686533333334</v>
      </c>
      <c r="DP31" s="23">
        <f>IF(DP$14="",NA(),VLOOKUP(DP$14,WTW_Fuel_properties!$A$75:$C$90,3,FALSE))</f>
        <v>2.9834686533333334</v>
      </c>
      <c r="DQ31" s="23">
        <f>IF(DQ$14="",NA(),VLOOKUP(DQ$14,WTW_Fuel_properties!$A$75:$C$90,3,FALSE))</f>
        <v>2.9834686533333334</v>
      </c>
      <c r="DR31" s="23">
        <f>IF(DR$14="",NA(),VLOOKUP(DR$14,WTW_Fuel_properties!$A$75:$C$90,3,FALSE))</f>
        <v>2.9834686533333334</v>
      </c>
      <c r="DS31" s="23" t="e">
        <f>IF(DS$14="",NA(),VLOOKUP(DS$14,WTW_Fuel_properties!$A$75:$C$90,3,FALSE))</f>
        <v>#N/A</v>
      </c>
      <c r="DT31" s="23" t="e">
        <f>IF(DT$14="",NA(),VLOOKUP(DT$14,WTW_Fuel_properties!$A$75:$C$90,3,FALSE))</f>
        <v>#N/A</v>
      </c>
      <c r="DU31" s="23" t="e">
        <f>IF(DU$14="",NA(),VLOOKUP(DU$14,WTW_Fuel_properties!$A$75:$C$90,3,FALSE))</f>
        <v>#N/A</v>
      </c>
      <c r="DV31" s="23" t="e">
        <f>IF(DV$14="",NA(),VLOOKUP(DV$14,WTW_Fuel_properties!$A$75:$C$90,3,FALSE))</f>
        <v>#N/A</v>
      </c>
      <c r="DW31" s="23" t="e">
        <f>IF(DW$14="",NA(),VLOOKUP(DW$14,WTW_Fuel_properties!$A$75:$C$90,3,FALSE))</f>
        <v>#N/A</v>
      </c>
      <c r="DX31" s="23" t="e">
        <f>IF(DX$14="",NA(),VLOOKUP(DX$14,WTW_Fuel_properties!$A$75:$C$90,3,FALSE))</f>
        <v>#N/A</v>
      </c>
      <c r="DY31" s="23" t="e">
        <f>IF(DY$14="",NA(),VLOOKUP(DY$14,WTW_Fuel_properties!$A$75:$C$90,3,FALSE))</f>
        <v>#N/A</v>
      </c>
      <c r="DZ31" s="23" t="e">
        <f>IF(DZ$14="",NA(),VLOOKUP(DZ$14,WTW_Fuel_properties!$A$75:$C$90,3,FALSE))</f>
        <v>#N/A</v>
      </c>
      <c r="EA31" s="23" t="e">
        <f>IF(EA$14="",NA(),VLOOKUP(EA$14,WTW_Fuel_properties!$A$75:$C$90,3,FALSE))</f>
        <v>#N/A</v>
      </c>
      <c r="EB31" s="23" t="e">
        <f>IF(EB$14="",NA(),VLOOKUP(EB$14,WTW_Fuel_properties!$A$75:$C$90,3,FALSE))</f>
        <v>#N/A</v>
      </c>
      <c r="EC31" s="23" t="e">
        <f>IF(EC$14="",NA(),VLOOKUP(EC$14,WTW_Fuel_properties!$A$75:$C$90,3,FALSE))</f>
        <v>#N/A</v>
      </c>
      <c r="ED31" s="23" t="e">
        <f>IF(ED$14="",NA(),VLOOKUP(ED$14,WTW_Fuel_properties!$A$75:$C$90,3,FALSE))</f>
        <v>#N/A</v>
      </c>
    </row>
    <row r="32" spans="1:156" x14ac:dyDescent="0.3">
      <c r="A32" s="21" t="s">
        <v>844</v>
      </c>
      <c r="B32" s="21" t="s">
        <v>336</v>
      </c>
      <c r="C32" s="21" t="s">
        <v>331</v>
      </c>
      <c r="D32" s="115">
        <f>(D20*WTW_Fuel_properties!$E$45+D21*WTW_Fuel_properties!$E$46+D22*WTW_Fuel_properties!$E$47+D23*WTW_Fuel_properties!$E$48+D24*WTW_Fuel_properties!$E$49+D25*WTW_Fuel_properties!$E$50)</f>
        <v>129.44706090339383</v>
      </c>
      <c r="E32" s="115">
        <f>(E20*WTW_Fuel_properties!$E$45+E21*WTW_Fuel_properties!$E$46+E22*WTW_Fuel_properties!$E$47+E23*WTW_Fuel_properties!$E$48+E24*WTW_Fuel_properties!$E$49+E25*WTW_Fuel_properties!$E$50)</f>
        <v>1061.7962990402461</v>
      </c>
      <c r="F32" s="115">
        <f>(F20*WTW_Fuel_properties!$E$45+F21*WTW_Fuel_properties!$E$46+F22*WTW_Fuel_properties!$E$47+F23*WTW_Fuel_properties!$E$48+F24*WTW_Fuel_properties!$E$49+F25*WTW_Fuel_properties!$E$50)</f>
        <v>0</v>
      </c>
      <c r="G32" s="115">
        <f>(G20*WTW_Fuel_properties!$E$45+G21*WTW_Fuel_properties!$E$46+G22*WTW_Fuel_properties!$E$47+G23*WTW_Fuel_properties!$E$48+G24*WTW_Fuel_properties!$E$49+G25*WTW_Fuel_properties!$E$50)</f>
        <v>129.44706090339383</v>
      </c>
      <c r="H32" s="115">
        <f>(H20*WTW_Fuel_properties!$E$45+H21*WTW_Fuel_properties!$E$46+H22*WTW_Fuel_properties!$E$47+H23*WTW_Fuel_properties!$E$48+H24*WTW_Fuel_properties!$E$49+H25*WTW_Fuel_properties!$E$50)</f>
        <v>129.44706090339383</v>
      </c>
      <c r="I32" s="115">
        <f>(I20*WTW_Fuel_properties!$E$45+I21*WTW_Fuel_properties!$E$46+I22*WTW_Fuel_properties!$E$47+I23*WTW_Fuel_properties!$E$48+I24*WTW_Fuel_properties!$E$49+I25*WTW_Fuel_properties!$E$50)</f>
        <v>129.44706090339383</v>
      </c>
      <c r="J32" s="115">
        <f>(J20*WTW_Fuel_properties!$E$45+J21*WTW_Fuel_properties!$E$46+J22*WTW_Fuel_properties!$E$47+J23*WTW_Fuel_properties!$E$48+J24*WTW_Fuel_properties!$E$49+J25*WTW_Fuel_properties!$E$50)</f>
        <v>129.44706090339383</v>
      </c>
      <c r="K32" s="115">
        <f>(K20*WTW_Fuel_properties!$E$45+K21*WTW_Fuel_properties!$E$46+K22*WTW_Fuel_properties!$E$47+K23*WTW_Fuel_properties!$E$48+K24*WTW_Fuel_properties!$E$49+K25*WTW_Fuel_properties!$E$50)</f>
        <v>129.44706090339383</v>
      </c>
      <c r="L32" s="115">
        <f>(L20*WTW_Fuel_properties!$E$45+L21*WTW_Fuel_properties!$E$46+L22*WTW_Fuel_properties!$E$47+L23*WTW_Fuel_properties!$E$48+L24*WTW_Fuel_properties!$E$49+L25*WTW_Fuel_properties!$E$50)</f>
        <v>129.44706090339383</v>
      </c>
      <c r="M32" s="115">
        <f>(M20*WTW_Fuel_properties!$E$45+M21*WTW_Fuel_properties!$E$46+M22*WTW_Fuel_properties!$E$47+M23*WTW_Fuel_properties!$E$48+M24*WTW_Fuel_properties!$E$49+M25*WTW_Fuel_properties!$E$50)</f>
        <v>129.44706090339383</v>
      </c>
      <c r="N32" s="115">
        <f>(N20*WTW_Fuel_properties!$E$45+N21*WTW_Fuel_properties!$E$46+N22*WTW_Fuel_properties!$E$47+N23*WTW_Fuel_properties!$E$48+N24*WTW_Fuel_properties!$E$49+N25*WTW_Fuel_properties!$E$50)</f>
        <v>129.44706090339383</v>
      </c>
      <c r="O32" s="115">
        <f>(O20*WTW_Fuel_properties!$E$45+O21*WTW_Fuel_properties!$E$46+O22*WTW_Fuel_properties!$E$47+O23*WTW_Fuel_properties!$E$48+O24*WTW_Fuel_properties!$E$49+O25*WTW_Fuel_properties!$E$50)</f>
        <v>129.44706090339383</v>
      </c>
      <c r="P32" s="115">
        <f>(P20*WTW_Fuel_properties!$E$45+P21*WTW_Fuel_properties!$E$46+P22*WTW_Fuel_properties!$E$47+P23*WTW_Fuel_properties!$E$48+P24*WTW_Fuel_properties!$E$49+P25*WTW_Fuel_properties!$E$50)</f>
        <v>129.44706090339383</v>
      </c>
      <c r="Q32" s="115">
        <f>(Q20*WTW_Fuel_properties!$E$45+Q21*WTW_Fuel_properties!$E$46+Q22*WTW_Fuel_properties!$E$47+Q23*WTW_Fuel_properties!$E$48+Q24*WTW_Fuel_properties!$E$49+Q25*WTW_Fuel_properties!$E$50)</f>
        <v>129.44706090339383</v>
      </c>
      <c r="R32" s="115">
        <f>(R20*WTW_Fuel_properties!$E$45+R21*WTW_Fuel_properties!$E$46+R22*WTW_Fuel_properties!$E$47+R23*WTW_Fuel_properties!$E$48+R24*WTW_Fuel_properties!$E$49+R25*WTW_Fuel_properties!$E$50)</f>
        <v>129.44706090339383</v>
      </c>
      <c r="S32" s="115">
        <f>(S20*WTW_Fuel_properties!$E$45+S21*WTW_Fuel_properties!$E$46+S22*WTW_Fuel_properties!$E$47+S23*WTW_Fuel_properties!$E$48+S24*WTW_Fuel_properties!$E$49+S25*WTW_Fuel_properties!$E$50)</f>
        <v>129.44706090339383</v>
      </c>
      <c r="T32" s="115">
        <f>(T20*WTW_Fuel_properties!$E$45+T21*WTW_Fuel_properties!$E$46+T22*WTW_Fuel_properties!$E$47+T23*WTW_Fuel_properties!$E$48+T24*WTW_Fuel_properties!$E$49+T25*WTW_Fuel_properties!$E$50)</f>
        <v>129.44706090339383</v>
      </c>
      <c r="U32" s="115">
        <f>(U20*WTW_Fuel_properties!$E$45+U21*WTW_Fuel_properties!$E$46+U22*WTW_Fuel_properties!$E$47+U23*WTW_Fuel_properties!$E$48+U24*WTW_Fuel_properties!$E$49+U25*WTW_Fuel_properties!$E$50)</f>
        <v>1061.7962990402461</v>
      </c>
      <c r="V32" s="115">
        <f>(V20*WTW_Fuel_properties!$E$45+V21*WTW_Fuel_properties!$E$46+V22*WTW_Fuel_properties!$E$47+V23*WTW_Fuel_properties!$E$48+V24*WTW_Fuel_properties!$E$49+V25*WTW_Fuel_properties!$E$50)</f>
        <v>0</v>
      </c>
      <c r="W32" s="115">
        <f>(W20*WTW_Fuel_properties!$E$45+W21*WTW_Fuel_properties!$E$46+W22*WTW_Fuel_properties!$E$47+W23*WTW_Fuel_properties!$E$48+W24*WTW_Fuel_properties!$E$49+W25*WTW_Fuel_properties!$E$50)</f>
        <v>129.44706090339383</v>
      </c>
      <c r="X32" s="115">
        <f>(X20*WTW_Fuel_properties!$E$45+X21*WTW_Fuel_properties!$E$46+X22*WTW_Fuel_properties!$E$47+X23*WTW_Fuel_properties!$E$48+X24*WTW_Fuel_properties!$E$49+X25*WTW_Fuel_properties!$E$50)</f>
        <v>0</v>
      </c>
      <c r="Y32" s="115">
        <f>(Y20*WTW_Fuel_properties!$E$45+Y21*WTW_Fuel_properties!$E$46+Y22*WTW_Fuel_properties!$E$47+Y23*WTW_Fuel_properties!$E$48+Y24*WTW_Fuel_properties!$E$49+Y25*WTW_Fuel_properties!$E$50)</f>
        <v>0</v>
      </c>
      <c r="Z32" s="115">
        <f>(Z20*WTW_Fuel_properties!$E$45+Z21*WTW_Fuel_properties!$E$46+Z22*WTW_Fuel_properties!$E$47+Z23*WTW_Fuel_properties!$E$48+Z24*WTW_Fuel_properties!$E$49+Z25*WTW_Fuel_properties!$E$50)</f>
        <v>129.44706090339383</v>
      </c>
      <c r="AA32" s="115">
        <f>(AA20*WTW_Fuel_properties!$E$45+AA21*WTW_Fuel_properties!$E$46+AA22*WTW_Fuel_properties!$E$47+AA23*WTW_Fuel_properties!$E$48+AA24*WTW_Fuel_properties!$E$49+AA25*WTW_Fuel_properties!$E$50)</f>
        <v>129.44706090339383</v>
      </c>
      <c r="AB32" s="115">
        <f>(AB20*WTW_Fuel_properties!$E$45+AB21*WTW_Fuel_properties!$E$46+AB22*WTW_Fuel_properties!$E$47+AB23*WTW_Fuel_properties!$E$48+AB24*WTW_Fuel_properties!$E$49+AB25*WTW_Fuel_properties!$E$50)</f>
        <v>129.44706090339383</v>
      </c>
      <c r="AC32" s="115">
        <f>(AC20*WTW_Fuel_properties!$E$45+AC21*WTW_Fuel_properties!$E$46+AC22*WTW_Fuel_properties!$E$47+AC23*WTW_Fuel_properties!$E$48+AC24*WTW_Fuel_properties!$E$49+AC25*WTW_Fuel_properties!$E$50)</f>
        <v>129.44706090339383</v>
      </c>
      <c r="AD32" s="115">
        <f>(AD20*WTW_Fuel_properties!$E$45+AD21*WTW_Fuel_properties!$E$46+AD22*WTW_Fuel_properties!$E$47+AD23*WTW_Fuel_properties!$E$48+AD24*WTW_Fuel_properties!$E$49+AD25*WTW_Fuel_properties!$E$50)</f>
        <v>129.44706090339383</v>
      </c>
      <c r="AE32" s="115">
        <f>(AE20*WTW_Fuel_properties!$E$45+AE21*WTW_Fuel_properties!$E$46+AE22*WTW_Fuel_properties!$E$47+AE23*WTW_Fuel_properties!$E$48+AE24*WTW_Fuel_properties!$E$49+AE25*WTW_Fuel_properties!$E$50)</f>
        <v>129.44706090339383</v>
      </c>
      <c r="AF32" s="115">
        <f>(AF20*WTW_Fuel_properties!$E$45+AF21*WTW_Fuel_properties!$E$46+AF22*WTW_Fuel_properties!$E$47+AF23*WTW_Fuel_properties!$E$48+AF24*WTW_Fuel_properties!$E$49+AF25*WTW_Fuel_properties!$E$50)</f>
        <v>516.34580661357211</v>
      </c>
      <c r="AG32" s="115">
        <f>(AG20*WTW_Fuel_properties!$E$45+AG21*WTW_Fuel_properties!$E$46+AG22*WTW_Fuel_properties!$E$47+AG23*WTW_Fuel_properties!$E$48+AG24*WTW_Fuel_properties!$E$49+AG25*WTW_Fuel_properties!$E$50)</f>
        <v>129.44706090339383</v>
      </c>
      <c r="AH32" s="115">
        <f>(AH20*WTW_Fuel_properties!$E$45+AH21*WTW_Fuel_properties!$E$46+AH22*WTW_Fuel_properties!$E$47+AH23*WTW_Fuel_properties!$E$48+AH24*WTW_Fuel_properties!$E$49+AH25*WTW_Fuel_properties!$E$50)</f>
        <v>129.44706090339383</v>
      </c>
      <c r="AI32" s="115">
        <f>(AI20*WTW_Fuel_properties!$E$45+AI21*WTW_Fuel_properties!$E$46+AI22*WTW_Fuel_properties!$E$47+AI23*WTW_Fuel_properties!$E$48+AI24*WTW_Fuel_properties!$E$49+AI25*WTW_Fuel_properties!$E$50)</f>
        <v>129.44706090339383</v>
      </c>
      <c r="AJ32" s="115">
        <f>(AJ20*WTW_Fuel_properties!$E$45+AJ21*WTW_Fuel_properties!$E$46+AJ22*WTW_Fuel_properties!$E$47+AJ23*WTW_Fuel_properties!$E$48+AJ24*WTW_Fuel_properties!$E$49+AJ25*WTW_Fuel_properties!$E$50)</f>
        <v>129.44706090339383</v>
      </c>
      <c r="AK32" s="115">
        <f>(AK20*WTW_Fuel_properties!$E$45+AK21*WTW_Fuel_properties!$E$46+AK22*WTW_Fuel_properties!$E$47+AK23*WTW_Fuel_properties!$E$48+AK24*WTW_Fuel_properties!$E$49+AK25*WTW_Fuel_properties!$E$50)</f>
        <v>129.44706090339383</v>
      </c>
      <c r="AL32" s="115">
        <f>(AL20*WTW_Fuel_properties!$E$45+AL21*WTW_Fuel_properties!$E$46+AL22*WTW_Fuel_properties!$E$47+AL23*WTW_Fuel_properties!$E$48+AL24*WTW_Fuel_properties!$E$49+AL25*WTW_Fuel_properties!$E$50)</f>
        <v>129.44706090339383</v>
      </c>
      <c r="AM32" s="115">
        <f>(AM20*WTW_Fuel_properties!$E$45+AM21*WTW_Fuel_properties!$E$46+AM22*WTW_Fuel_properties!$E$47+AM23*WTW_Fuel_properties!$E$48+AM24*WTW_Fuel_properties!$E$49+AM25*WTW_Fuel_properties!$E$50)</f>
        <v>129.44706090339383</v>
      </c>
      <c r="AN32" s="115">
        <f>(AN20*WTW_Fuel_properties!$E$45+AN21*WTW_Fuel_properties!$E$46+AN22*WTW_Fuel_properties!$E$47+AN23*WTW_Fuel_properties!$E$48+AN24*WTW_Fuel_properties!$E$49+AN25*WTW_Fuel_properties!$E$50)</f>
        <v>129.44706090339383</v>
      </c>
      <c r="AO32" s="115">
        <f>(AO20*WTW_Fuel_properties!$E$45+AO21*WTW_Fuel_properties!$E$46+AO22*WTW_Fuel_properties!$E$47+AO23*WTW_Fuel_properties!$E$48+AO24*WTW_Fuel_properties!$E$49+AO25*WTW_Fuel_properties!$E$50)</f>
        <v>129.44706090339383</v>
      </c>
      <c r="AP32" s="115">
        <f>(AP20*WTW_Fuel_properties!$E$45+AP21*WTW_Fuel_properties!$E$46+AP22*WTW_Fuel_properties!$E$47+AP23*WTW_Fuel_properties!$E$48+AP24*WTW_Fuel_properties!$E$49+AP25*WTW_Fuel_properties!$E$50)</f>
        <v>129.44706090339383</v>
      </c>
      <c r="AQ32" s="115">
        <f>(AQ20*WTW_Fuel_properties!$E$45+AQ21*WTW_Fuel_properties!$E$46+AQ22*WTW_Fuel_properties!$E$47+AQ23*WTW_Fuel_properties!$E$48+AQ24*WTW_Fuel_properties!$E$49+AQ25*WTW_Fuel_properties!$E$50)</f>
        <v>129.44706090339383</v>
      </c>
      <c r="AR32" s="115">
        <f>(AR20*WTW_Fuel_properties!$E$45+AR21*WTW_Fuel_properties!$E$46+AR22*WTW_Fuel_properties!$E$47+AR23*WTW_Fuel_properties!$E$48+AR24*WTW_Fuel_properties!$E$49+AR25*WTW_Fuel_properties!$E$50)</f>
        <v>129.44706090339383</v>
      </c>
      <c r="AS32" s="115">
        <f>(AS20*WTW_Fuel_properties!$E$45+AS21*WTW_Fuel_properties!$E$46+AS22*WTW_Fuel_properties!$E$47+AS23*WTW_Fuel_properties!$E$48+AS24*WTW_Fuel_properties!$E$49+AS25*WTW_Fuel_properties!$E$50)</f>
        <v>1061.7962990402461</v>
      </c>
      <c r="AT32" s="115">
        <f>(AT20*WTW_Fuel_properties!$E$45+AT21*WTW_Fuel_properties!$E$46+AT22*WTW_Fuel_properties!$E$47+AT23*WTW_Fuel_properties!$E$48+AT24*WTW_Fuel_properties!$E$49+AT25*WTW_Fuel_properties!$E$50)</f>
        <v>0</v>
      </c>
      <c r="AU32" s="115">
        <f>(AU20*WTW_Fuel_properties!$E$45+AU21*WTW_Fuel_properties!$E$46+AU22*WTW_Fuel_properties!$E$47+AU23*WTW_Fuel_properties!$E$48+AU24*WTW_Fuel_properties!$E$49+AU25*WTW_Fuel_properties!$E$50)</f>
        <v>129.44706090339383</v>
      </c>
      <c r="AV32" s="115">
        <f>(AV20*WTW_Fuel_properties!$E$45+AV21*WTW_Fuel_properties!$E$46+AV22*WTW_Fuel_properties!$E$47+AV23*WTW_Fuel_properties!$E$48+AV24*WTW_Fuel_properties!$E$49+AV25*WTW_Fuel_properties!$E$50)</f>
        <v>129.44706090339383</v>
      </c>
      <c r="AW32" s="115">
        <f>(AW20*WTW_Fuel_properties!$E$45+AW21*WTW_Fuel_properties!$E$46+AW22*WTW_Fuel_properties!$E$47+AW23*WTW_Fuel_properties!$E$48+AW24*WTW_Fuel_properties!$E$49+AW25*WTW_Fuel_properties!$E$50)</f>
        <v>129.44706090339383</v>
      </c>
      <c r="AX32" s="115">
        <f>(AX20*WTW_Fuel_properties!$E$45+AX21*WTW_Fuel_properties!$E$46+AX22*WTW_Fuel_properties!$E$47+AX23*WTW_Fuel_properties!$E$48+AX24*WTW_Fuel_properties!$E$49+AX25*WTW_Fuel_properties!$E$50)</f>
        <v>129.44706090339383</v>
      </c>
      <c r="AY32" s="115">
        <f>(AY20*WTW_Fuel_properties!$E$45+AY21*WTW_Fuel_properties!$E$46+AY22*WTW_Fuel_properties!$E$47+AY23*WTW_Fuel_properties!$E$48+AY24*WTW_Fuel_properties!$E$49+AY25*WTW_Fuel_properties!$E$50)</f>
        <v>129.44706090339383</v>
      </c>
      <c r="AZ32" s="115">
        <f>(AZ20*WTW_Fuel_properties!$E$45+AZ21*WTW_Fuel_properties!$E$46+AZ22*WTW_Fuel_properties!$E$47+AZ23*WTW_Fuel_properties!$E$48+AZ24*WTW_Fuel_properties!$E$49+AZ25*WTW_Fuel_properties!$E$50)</f>
        <v>129.44706090339383</v>
      </c>
      <c r="BA32" s="115">
        <f>(BA20*WTW_Fuel_properties!$E$45+BA21*WTW_Fuel_properties!$E$46+BA22*WTW_Fuel_properties!$E$47+BA23*WTW_Fuel_properties!$E$48+BA24*WTW_Fuel_properties!$E$49+BA25*WTW_Fuel_properties!$E$50)</f>
        <v>129.44706090339383</v>
      </c>
      <c r="BB32" s="115">
        <f>(BB20*WTW_Fuel_properties!$E$45+BB21*WTW_Fuel_properties!$E$46+BB22*WTW_Fuel_properties!$E$47+BB23*WTW_Fuel_properties!$E$48+BB24*WTW_Fuel_properties!$E$49+BB25*WTW_Fuel_properties!$E$50)</f>
        <v>129.44706090339383</v>
      </c>
      <c r="BC32" s="115">
        <f>(BC20*WTW_Fuel_properties!$E$45+BC21*WTW_Fuel_properties!$E$46+BC22*WTW_Fuel_properties!$E$47+BC23*WTW_Fuel_properties!$E$48+BC24*WTW_Fuel_properties!$E$49+BC25*WTW_Fuel_properties!$E$50)</f>
        <v>129.44706090339383</v>
      </c>
      <c r="BD32" s="115">
        <f>(BD20*WTW_Fuel_properties!$E$45+BD21*WTW_Fuel_properties!$E$46+BD22*WTW_Fuel_properties!$E$47+BD23*WTW_Fuel_properties!$E$48+BD24*WTW_Fuel_properties!$E$49+BD25*WTW_Fuel_properties!$E$50)</f>
        <v>129.44706090339383</v>
      </c>
      <c r="BE32" s="115">
        <f>(BE20*WTW_Fuel_properties!$E$45+BE21*WTW_Fuel_properties!$E$46+BE22*WTW_Fuel_properties!$E$47+BE23*WTW_Fuel_properties!$E$48+BE24*WTW_Fuel_properties!$E$49+BE25*WTW_Fuel_properties!$E$50)</f>
        <v>129.44706090339383</v>
      </c>
      <c r="BF32" s="115">
        <f>(BF20*WTW_Fuel_properties!$E$45+BF21*WTW_Fuel_properties!$E$46+BF22*WTW_Fuel_properties!$E$47+BF23*WTW_Fuel_properties!$E$48+BF24*WTW_Fuel_properties!$E$49+BF25*WTW_Fuel_properties!$E$50)</f>
        <v>129.44706090339383</v>
      </c>
      <c r="BG32" s="115">
        <f>(BG20*WTW_Fuel_properties!$E$45+BG21*WTW_Fuel_properties!$E$46+BG22*WTW_Fuel_properties!$E$47+BG23*WTW_Fuel_properties!$E$48+BG24*WTW_Fuel_properties!$E$49+BG25*WTW_Fuel_properties!$E$50)</f>
        <v>129.44706090339383</v>
      </c>
      <c r="BH32" s="115">
        <f>(BH20*WTW_Fuel_properties!$E$45+BH21*WTW_Fuel_properties!$E$46+BH22*WTW_Fuel_properties!$E$47+BH23*WTW_Fuel_properties!$E$48+BH24*WTW_Fuel_properties!$E$49+BH25*WTW_Fuel_properties!$E$50)</f>
        <v>129.44706090339383</v>
      </c>
      <c r="BI32" s="115">
        <f>(BI20*WTW_Fuel_properties!$E$45+BI21*WTW_Fuel_properties!$E$46+BI22*WTW_Fuel_properties!$E$47+BI23*WTW_Fuel_properties!$E$48+BI24*WTW_Fuel_properties!$E$49+BI25*WTW_Fuel_properties!$E$50)</f>
        <v>129.44706090339383</v>
      </c>
      <c r="BJ32" s="115">
        <f>(BJ20*WTW_Fuel_properties!$E$45+BJ21*WTW_Fuel_properties!$E$46+BJ22*WTW_Fuel_properties!$E$47+BJ23*WTW_Fuel_properties!$E$48+BJ24*WTW_Fuel_properties!$E$49+BJ25*WTW_Fuel_properties!$E$50)</f>
        <v>129.44706090339383</v>
      </c>
      <c r="BK32" s="115">
        <f>(BK20*WTW_Fuel_properties!$E$45+BK21*WTW_Fuel_properties!$E$46+BK22*WTW_Fuel_properties!$E$47+BK23*WTW_Fuel_properties!$E$48+BK24*WTW_Fuel_properties!$E$49+BK25*WTW_Fuel_properties!$E$50)</f>
        <v>129.44706090339383</v>
      </c>
      <c r="BL32" s="115">
        <f>(BL20*WTW_Fuel_properties!$E$45+BL21*WTW_Fuel_properties!$E$46+BL22*WTW_Fuel_properties!$E$47+BL23*WTW_Fuel_properties!$E$48+BL24*WTW_Fuel_properties!$E$49+BL25*WTW_Fuel_properties!$E$50)</f>
        <v>129.44706090339383</v>
      </c>
      <c r="BM32" s="115">
        <f>(BM20*WTW_Fuel_properties!$E$45+BM21*WTW_Fuel_properties!$E$46+BM22*WTW_Fuel_properties!$E$47+BM23*WTW_Fuel_properties!$E$48+BM24*WTW_Fuel_properties!$E$49+BM25*WTW_Fuel_properties!$E$50)</f>
        <v>129.44706090339383</v>
      </c>
      <c r="BN32" s="115">
        <f>(BN20*WTW_Fuel_properties!$E$45+BN21*WTW_Fuel_properties!$E$46+BN22*WTW_Fuel_properties!$E$47+BN23*WTW_Fuel_properties!$E$48+BN24*WTW_Fuel_properties!$E$49+BN25*WTW_Fuel_properties!$E$50)</f>
        <v>129.44706090339383</v>
      </c>
      <c r="BO32" s="115">
        <f>(BO20*WTW_Fuel_properties!$E$45+BO21*WTW_Fuel_properties!$E$46+BO22*WTW_Fuel_properties!$E$47+BO23*WTW_Fuel_properties!$E$48+BO24*WTW_Fuel_properties!$E$49+BO25*WTW_Fuel_properties!$E$50)</f>
        <v>1061.7962990402461</v>
      </c>
      <c r="BP32" s="115">
        <f>(BP20*WTW_Fuel_properties!$E$45+BP21*WTW_Fuel_properties!$E$46+BP22*WTW_Fuel_properties!$E$47+BP23*WTW_Fuel_properties!$E$48+BP24*WTW_Fuel_properties!$E$49+BP25*WTW_Fuel_properties!$E$50)</f>
        <v>0</v>
      </c>
      <c r="BQ32" s="115">
        <f>(BQ20*WTW_Fuel_properties!$E$45+BQ21*WTW_Fuel_properties!$E$46+BQ22*WTW_Fuel_properties!$E$47+BQ23*WTW_Fuel_properties!$E$48+BQ24*WTW_Fuel_properties!$E$49+BQ25*WTW_Fuel_properties!$E$50)</f>
        <v>129.44706090339383</v>
      </c>
      <c r="BR32" s="115">
        <f>(BR20*WTW_Fuel_properties!$E$45+BR21*WTW_Fuel_properties!$E$46+BR22*WTW_Fuel_properties!$E$47+BR23*WTW_Fuel_properties!$E$48+BR24*WTW_Fuel_properties!$E$49+BR25*WTW_Fuel_properties!$E$50)</f>
        <v>129.44706090339383</v>
      </c>
      <c r="BS32" s="115">
        <f>(BS20*WTW_Fuel_properties!$E$45+BS21*WTW_Fuel_properties!$E$46+BS22*WTW_Fuel_properties!$E$47+BS23*WTW_Fuel_properties!$E$48+BS24*WTW_Fuel_properties!$E$49+BS25*WTW_Fuel_properties!$E$50)</f>
        <v>129.44706090339383</v>
      </c>
      <c r="BT32" s="115">
        <f>(BT20*WTW_Fuel_properties!$E$45+BT21*WTW_Fuel_properties!$E$46+BT22*WTW_Fuel_properties!$E$47+BT23*WTW_Fuel_properties!$E$48+BT24*WTW_Fuel_properties!$E$49+BT25*WTW_Fuel_properties!$E$50)</f>
        <v>129.44706090339383</v>
      </c>
      <c r="BU32" s="115">
        <f>(BU20*WTW_Fuel_properties!$E$45+BU21*WTW_Fuel_properties!$E$46+BU22*WTW_Fuel_properties!$E$47+BU23*WTW_Fuel_properties!$E$48+BU24*WTW_Fuel_properties!$E$49+BU25*WTW_Fuel_properties!$E$50)</f>
        <v>129.44706090339383</v>
      </c>
      <c r="BV32" s="115">
        <f>(BV20*WTW_Fuel_properties!$E$45+BV21*WTW_Fuel_properties!$E$46+BV22*WTW_Fuel_properties!$E$47+BV23*WTW_Fuel_properties!$E$48+BV24*WTW_Fuel_properties!$E$49+BV25*WTW_Fuel_properties!$E$50)</f>
        <v>129.44706090339383</v>
      </c>
      <c r="BW32" s="115">
        <f>(BW20*WTW_Fuel_properties!$E$45+BW21*WTW_Fuel_properties!$E$46+BW22*WTW_Fuel_properties!$E$47+BW23*WTW_Fuel_properties!$E$48+BW24*WTW_Fuel_properties!$E$49+BW25*WTW_Fuel_properties!$E$50)</f>
        <v>129.44706090339383</v>
      </c>
      <c r="BX32" s="115">
        <f>(BX20*WTW_Fuel_properties!$E$45+BX21*WTW_Fuel_properties!$E$46+BX22*WTW_Fuel_properties!$E$47+BX23*WTW_Fuel_properties!$E$48+BX24*WTW_Fuel_properties!$E$49+BX25*WTW_Fuel_properties!$E$50)</f>
        <v>1061.7962990402461</v>
      </c>
      <c r="BY32" s="115">
        <f>(BY20*WTW_Fuel_properties!$E$45+BY21*WTW_Fuel_properties!$E$46+BY22*WTW_Fuel_properties!$E$47+BY23*WTW_Fuel_properties!$E$48+BY24*WTW_Fuel_properties!$E$49+BY25*WTW_Fuel_properties!$E$50)</f>
        <v>0</v>
      </c>
      <c r="BZ32" s="115">
        <f>(BZ20*WTW_Fuel_properties!$E$45+BZ21*WTW_Fuel_properties!$E$46+BZ22*WTW_Fuel_properties!$E$47+BZ23*WTW_Fuel_properties!$E$48+BZ24*WTW_Fuel_properties!$E$49+BZ25*WTW_Fuel_properties!$E$50)</f>
        <v>129.44706090339383</v>
      </c>
      <c r="CA32" s="115">
        <f>(CA20*WTW_Fuel_properties!$E$45+CA21*WTW_Fuel_properties!$E$46+CA22*WTW_Fuel_properties!$E$47+CA23*WTW_Fuel_properties!$E$48+CA24*WTW_Fuel_properties!$E$49+CA25*WTW_Fuel_properties!$E$50)</f>
        <v>129.44706090339383</v>
      </c>
      <c r="CB32" s="115">
        <f>(CB20*WTW_Fuel_properties!$E$45+CB21*WTW_Fuel_properties!$E$46+CB22*WTW_Fuel_properties!$E$47+CB23*WTW_Fuel_properties!$E$48+CB24*WTW_Fuel_properties!$E$49+CB25*WTW_Fuel_properties!$E$50)</f>
        <v>129.44706090339383</v>
      </c>
      <c r="CC32" s="115">
        <f>(CC20*WTW_Fuel_properties!$E$45+CC21*WTW_Fuel_properties!$E$46+CC22*WTW_Fuel_properties!$E$47+CC23*WTW_Fuel_properties!$E$48+CC24*WTW_Fuel_properties!$E$49+CC25*WTW_Fuel_properties!$E$50)</f>
        <v>129.44706090339383</v>
      </c>
      <c r="CD32" s="115">
        <f>(CD20*WTW_Fuel_properties!$E$45+CD21*WTW_Fuel_properties!$E$46+CD22*WTW_Fuel_properties!$E$47+CD23*WTW_Fuel_properties!$E$48+CD24*WTW_Fuel_properties!$E$49+CD25*WTW_Fuel_properties!$E$50)</f>
        <v>129.44706090339383</v>
      </c>
      <c r="CE32" s="115">
        <f>(CE20*WTW_Fuel_properties!$E$45+CE21*WTW_Fuel_properties!$E$46+CE22*WTW_Fuel_properties!$E$47+CE23*WTW_Fuel_properties!$E$48+CE24*WTW_Fuel_properties!$E$49+CE25*WTW_Fuel_properties!$E$50)</f>
        <v>129.44706090339383</v>
      </c>
      <c r="CF32" s="115">
        <f>(CF20*WTW_Fuel_properties!$E$45+CF21*WTW_Fuel_properties!$E$46+CF22*WTW_Fuel_properties!$E$47+CF23*WTW_Fuel_properties!$E$48+CF24*WTW_Fuel_properties!$E$49+CF25*WTW_Fuel_properties!$E$50)</f>
        <v>129.44706090339383</v>
      </c>
      <c r="CG32" s="115">
        <f>(CG20*WTW_Fuel_properties!$E$45+CG21*WTW_Fuel_properties!$E$46+CG22*WTW_Fuel_properties!$E$47+CG23*WTW_Fuel_properties!$E$48+CG24*WTW_Fuel_properties!$E$49+CG25*WTW_Fuel_properties!$E$50)</f>
        <v>129.44706090339383</v>
      </c>
      <c r="CH32" s="115">
        <f>(CH20*WTW_Fuel_properties!$E$45+CH21*WTW_Fuel_properties!$E$46+CH22*WTW_Fuel_properties!$E$47+CH23*WTW_Fuel_properties!$E$48+CH24*WTW_Fuel_properties!$E$49+CH25*WTW_Fuel_properties!$E$50)</f>
        <v>129.44706090339383</v>
      </c>
      <c r="CI32" s="115">
        <f>(CI20*WTW_Fuel_properties!$E$45+CI21*WTW_Fuel_properties!$E$46+CI22*WTW_Fuel_properties!$E$47+CI23*WTW_Fuel_properties!$E$48+CI24*WTW_Fuel_properties!$E$49+CI25*WTW_Fuel_properties!$E$50)</f>
        <v>129.44706090339383</v>
      </c>
      <c r="CJ32" s="115">
        <f>(CJ20*WTW_Fuel_properties!$E$45+CJ21*WTW_Fuel_properties!$E$46+CJ22*WTW_Fuel_properties!$E$47+CJ23*WTW_Fuel_properties!$E$48+CJ24*WTW_Fuel_properties!$E$49+CJ25*WTW_Fuel_properties!$E$50)</f>
        <v>129.44706090339383</v>
      </c>
      <c r="CK32" s="115">
        <f>(CK20*WTW_Fuel_properties!$E$45+CK21*WTW_Fuel_properties!$E$46+CK22*WTW_Fuel_properties!$E$47+CK23*WTW_Fuel_properties!$E$48+CK24*WTW_Fuel_properties!$E$49+CK25*WTW_Fuel_properties!$E$50)</f>
        <v>129.44706090339383</v>
      </c>
      <c r="CL32" s="115">
        <f>(CL20*WTW_Fuel_properties!$E$45+CL21*WTW_Fuel_properties!$E$46+CL22*WTW_Fuel_properties!$E$47+CL23*WTW_Fuel_properties!$E$48+CL24*WTW_Fuel_properties!$E$49+CL25*WTW_Fuel_properties!$E$50)</f>
        <v>129.44706090339383</v>
      </c>
      <c r="CM32" s="115">
        <f>(CM20*WTW_Fuel_properties!$E$45+CM21*WTW_Fuel_properties!$E$46+CM22*WTW_Fuel_properties!$E$47+CM23*WTW_Fuel_properties!$E$48+CM24*WTW_Fuel_properties!$E$49+CM25*WTW_Fuel_properties!$E$50)</f>
        <v>129.44706090339383</v>
      </c>
      <c r="CN32" s="115">
        <f>(CN20*WTW_Fuel_properties!$E$45+CN21*WTW_Fuel_properties!$E$46+CN22*WTW_Fuel_properties!$E$47+CN23*WTW_Fuel_properties!$E$48+CN24*WTW_Fuel_properties!$E$49+CN25*WTW_Fuel_properties!$E$50)</f>
        <v>129.44706090339383</v>
      </c>
      <c r="CO32" s="115">
        <f>(CO20*WTW_Fuel_properties!$E$45+CO21*WTW_Fuel_properties!$E$46+CO22*WTW_Fuel_properties!$E$47+CO23*WTW_Fuel_properties!$E$48+CO24*WTW_Fuel_properties!$E$49+CO25*WTW_Fuel_properties!$E$50)</f>
        <v>129.44706090339383</v>
      </c>
      <c r="CP32" s="115">
        <f>(CP20*WTW_Fuel_properties!$E$45+CP21*WTW_Fuel_properties!$E$46+CP22*WTW_Fuel_properties!$E$47+CP23*WTW_Fuel_properties!$E$48+CP24*WTW_Fuel_properties!$E$49+CP25*WTW_Fuel_properties!$E$50)</f>
        <v>129.44706090339383</v>
      </c>
      <c r="CQ32" s="115">
        <f>(CQ20*WTW_Fuel_properties!$E$45+CQ21*WTW_Fuel_properties!$E$46+CQ22*WTW_Fuel_properties!$E$47+CQ23*WTW_Fuel_properties!$E$48+CQ24*WTW_Fuel_properties!$E$49+CQ25*WTW_Fuel_properties!$E$50)</f>
        <v>129.44706090339383</v>
      </c>
      <c r="CR32" s="115">
        <f>(CR20*WTW_Fuel_properties!$E$45+CR21*WTW_Fuel_properties!$E$46+CR22*WTW_Fuel_properties!$E$47+CR23*WTW_Fuel_properties!$E$48+CR24*WTW_Fuel_properties!$E$49+CR25*WTW_Fuel_properties!$E$50)</f>
        <v>129.44706090339383</v>
      </c>
      <c r="CS32" s="115">
        <f>(CS20*WTW_Fuel_properties!$E$45+CS21*WTW_Fuel_properties!$E$46+CS22*WTW_Fuel_properties!$E$47+CS23*WTW_Fuel_properties!$E$48+CS24*WTW_Fuel_properties!$E$49+CS25*WTW_Fuel_properties!$E$50)</f>
        <v>129.44706090339383</v>
      </c>
      <c r="CT32" s="115">
        <f>(CT20*WTW_Fuel_properties!$E$45+CT21*WTW_Fuel_properties!$E$46+CT22*WTW_Fuel_properties!$E$47+CT23*WTW_Fuel_properties!$E$48+CT24*WTW_Fuel_properties!$E$49+CT25*WTW_Fuel_properties!$E$50)</f>
        <v>129.44706090339383</v>
      </c>
      <c r="CU32" s="115">
        <f>(CU20*WTW_Fuel_properties!$E$45+CU21*WTW_Fuel_properties!$E$46+CU22*WTW_Fuel_properties!$E$47+CU23*WTW_Fuel_properties!$E$48+CU24*WTW_Fuel_properties!$E$49+CU25*WTW_Fuel_properties!$E$50)</f>
        <v>129.44706090339383</v>
      </c>
      <c r="CV32" s="115">
        <f>(CV20*WTW_Fuel_properties!$E$45+CV21*WTW_Fuel_properties!$E$46+CV22*WTW_Fuel_properties!$E$47+CV23*WTW_Fuel_properties!$E$48+CV24*WTW_Fuel_properties!$E$49+CV25*WTW_Fuel_properties!$E$50)</f>
        <v>129.44706090339383</v>
      </c>
      <c r="CW32" s="115">
        <f>(CW20*WTW_Fuel_properties!$E$45+CW21*WTW_Fuel_properties!$E$46+CW22*WTW_Fuel_properties!$E$47+CW23*WTW_Fuel_properties!$E$48+CW24*WTW_Fuel_properties!$E$49+CW25*WTW_Fuel_properties!$E$50)</f>
        <v>129.44706090339383</v>
      </c>
      <c r="CX32" s="115">
        <f>(CX20*WTW_Fuel_properties!$E$45+CX21*WTW_Fuel_properties!$E$46+CX22*WTW_Fuel_properties!$E$47+CX23*WTW_Fuel_properties!$E$48+CX24*WTW_Fuel_properties!$E$49+CX25*WTW_Fuel_properties!$E$50)</f>
        <v>129.44706090339383</v>
      </c>
      <c r="CY32" s="115">
        <f>(CY20*WTW_Fuel_properties!$E$45+CY21*WTW_Fuel_properties!$E$46+CY22*WTW_Fuel_properties!$E$47+CY23*WTW_Fuel_properties!$E$48+CY24*WTW_Fuel_properties!$E$49+CY25*WTW_Fuel_properties!$E$50)</f>
        <v>129.44706090339383</v>
      </c>
      <c r="CZ32" s="115">
        <f>(CZ20*WTW_Fuel_properties!$E$45+CZ21*WTW_Fuel_properties!$E$46+CZ22*WTW_Fuel_properties!$E$47+CZ23*WTW_Fuel_properties!$E$48+CZ24*WTW_Fuel_properties!$E$49+CZ25*WTW_Fuel_properties!$E$50)</f>
        <v>129.44706090339383</v>
      </c>
      <c r="DA32" s="115">
        <f>(DA20*WTW_Fuel_properties!$E$45+DA21*WTW_Fuel_properties!$E$46+DA22*WTW_Fuel_properties!$E$47+DA23*WTW_Fuel_properties!$E$48+DA24*WTW_Fuel_properties!$E$49+DA25*WTW_Fuel_properties!$E$50)</f>
        <v>129.44706090339383</v>
      </c>
      <c r="DB32" s="115">
        <f>(DB20*WTW_Fuel_properties!$E$45+DB21*WTW_Fuel_properties!$E$46+DB22*WTW_Fuel_properties!$E$47+DB23*WTW_Fuel_properties!$E$48+DB24*WTW_Fuel_properties!$E$49+DB25*WTW_Fuel_properties!$E$50)</f>
        <v>129.44706090339383</v>
      </c>
      <c r="DC32" s="115">
        <f>(DC20*WTW_Fuel_properties!$E$45+DC21*WTW_Fuel_properties!$E$46+DC22*WTW_Fuel_properties!$E$47+DC23*WTW_Fuel_properties!$E$48+DC24*WTW_Fuel_properties!$E$49+DC25*WTW_Fuel_properties!$E$50)</f>
        <v>129.44706090339383</v>
      </c>
      <c r="DD32" s="115">
        <f>(DD20*WTW_Fuel_properties!$E$45+DD21*WTW_Fuel_properties!$E$46+DD22*WTW_Fuel_properties!$E$47+DD23*WTW_Fuel_properties!$E$48+DD24*WTW_Fuel_properties!$E$49+DD25*WTW_Fuel_properties!$E$50)</f>
        <v>129.44706090339383</v>
      </c>
      <c r="DE32" s="115">
        <f>(DE20*WTW_Fuel_properties!$E$45+DE21*WTW_Fuel_properties!$E$46+DE22*WTW_Fuel_properties!$E$47+DE23*WTW_Fuel_properties!$E$48+DE24*WTW_Fuel_properties!$E$49+DE25*WTW_Fuel_properties!$E$50)</f>
        <v>129.44706090339383</v>
      </c>
      <c r="DF32" s="115">
        <f>(DF20*WTW_Fuel_properties!$E$45+DF21*WTW_Fuel_properties!$E$46+DF22*WTW_Fuel_properties!$E$47+DF23*WTW_Fuel_properties!$E$48+DF24*WTW_Fuel_properties!$E$49+DF25*WTW_Fuel_properties!$E$50)</f>
        <v>129.44706090339383</v>
      </c>
      <c r="DG32" s="115"/>
      <c r="DH32" s="115">
        <f>(DH20*WTW_Fuel_properties!$E$45+DH21*WTW_Fuel_properties!$E$46+DH22*WTW_Fuel_properties!$E$47+DH23*WTW_Fuel_properties!$E$48+DH24*WTW_Fuel_properties!$E$49+DH25*WTW_Fuel_properties!$E$50)</f>
        <v>129.44706090339383</v>
      </c>
      <c r="DI32" s="115">
        <f>(DI20*WTW_Fuel_properties!$E$45+DI21*WTW_Fuel_properties!$E$46+DI22*WTW_Fuel_properties!$E$47+DI23*WTW_Fuel_properties!$E$48+DI24*WTW_Fuel_properties!$E$49+DI25*WTW_Fuel_properties!$E$50)</f>
        <v>129.44706090339383</v>
      </c>
      <c r="DJ32" s="115">
        <f>(DJ20*WTW_Fuel_properties!$E$45+DJ21*WTW_Fuel_properties!$E$46+DJ22*WTW_Fuel_properties!$E$47+DJ23*WTW_Fuel_properties!$E$48+DJ24*WTW_Fuel_properties!$E$49+DJ25*WTW_Fuel_properties!$E$50)</f>
        <v>129.44706090339383</v>
      </c>
      <c r="DK32" s="115">
        <f>(DK20*WTW_Fuel_properties!$E$45+DK21*WTW_Fuel_properties!$E$46+DK22*WTW_Fuel_properties!$E$47+DK23*WTW_Fuel_properties!$E$48+DK24*WTW_Fuel_properties!$E$49+DK25*WTW_Fuel_properties!$E$50)</f>
        <v>129.44706090339383</v>
      </c>
      <c r="DL32" s="115">
        <f>(DL20*WTW_Fuel_properties!$E$45+DL21*WTW_Fuel_properties!$E$46+DL22*WTW_Fuel_properties!$E$47+DL23*WTW_Fuel_properties!$E$48+DL24*WTW_Fuel_properties!$E$49+DL25*WTW_Fuel_properties!$E$50)</f>
        <v>129.44706090339383</v>
      </c>
      <c r="DM32" s="115">
        <f>(DM20*WTW_Fuel_properties!$E$45+DM21*WTW_Fuel_properties!$E$46+DM22*WTW_Fuel_properties!$E$47+DM23*WTW_Fuel_properties!$E$48+DM24*WTW_Fuel_properties!$E$49+DM25*WTW_Fuel_properties!$E$50)</f>
        <v>129.44706090339383</v>
      </c>
      <c r="DN32" s="115">
        <f>(DN20*WTW_Fuel_properties!$E$45+DN21*WTW_Fuel_properties!$E$46+DN22*WTW_Fuel_properties!$E$47+DN23*WTW_Fuel_properties!$E$48+DN24*WTW_Fuel_properties!$E$49+DN25*WTW_Fuel_properties!$E$50)</f>
        <v>129.44706090339383</v>
      </c>
      <c r="DO32" s="115">
        <f>(DO20*WTW_Fuel_properties!$E$45+DO21*WTW_Fuel_properties!$E$46+DO22*WTW_Fuel_properties!$E$47+DO23*WTW_Fuel_properties!$E$48+DO24*WTW_Fuel_properties!$E$49+DO25*WTW_Fuel_properties!$E$50)</f>
        <v>129.44706090339383</v>
      </c>
      <c r="DP32" s="115">
        <f>(DP20*WTW_Fuel_properties!$E$45+DP21*WTW_Fuel_properties!$E$46+DP22*WTW_Fuel_properties!$E$47+DP23*WTW_Fuel_properties!$E$48+DP24*WTW_Fuel_properties!$E$49+DP25*WTW_Fuel_properties!$E$50)</f>
        <v>129.44706090339383</v>
      </c>
      <c r="DQ32" s="115">
        <f>(DQ20*WTW_Fuel_properties!$E$45+DQ21*WTW_Fuel_properties!$E$46+DQ22*WTW_Fuel_properties!$E$47+DQ23*WTW_Fuel_properties!$E$48+DQ24*WTW_Fuel_properties!$E$49+DQ25*WTW_Fuel_properties!$E$50)</f>
        <v>129.44706090339383</v>
      </c>
      <c r="DR32" s="115">
        <f>(DR20*WTW_Fuel_properties!$E$45+DR21*WTW_Fuel_properties!$E$46+DR22*WTW_Fuel_properties!$E$47+DR23*WTW_Fuel_properties!$E$48+DR24*WTW_Fuel_properties!$E$49+DR25*WTW_Fuel_properties!$E$50)</f>
        <v>129.44706090339383</v>
      </c>
      <c r="DS32" s="115">
        <f>(DS20*WTW_Fuel_properties!$E$45+DS21*WTW_Fuel_properties!$E$46+DS22*WTW_Fuel_properties!$E$47+DS23*WTW_Fuel_properties!$E$48+DS24*WTW_Fuel_properties!$E$49+DS25*WTW_Fuel_properties!$E$50)</f>
        <v>0</v>
      </c>
      <c r="DT32" s="115">
        <f>(DT20*WTW_Fuel_properties!$E$45+DT21*WTW_Fuel_properties!$E$46+DT22*WTW_Fuel_properties!$E$47+DT23*WTW_Fuel_properties!$E$48+DT24*WTW_Fuel_properties!$E$49+DT25*WTW_Fuel_properties!$E$50)</f>
        <v>129.44706090339383</v>
      </c>
      <c r="DU32" s="115">
        <f>(DU20*WTW_Fuel_properties!$E$45+DU21*WTW_Fuel_properties!$E$46+DU22*WTW_Fuel_properties!$E$47+DU23*WTW_Fuel_properties!$E$48+DU24*WTW_Fuel_properties!$E$49+DU25*WTW_Fuel_properties!$E$50)</f>
        <v>129.44706090339383</v>
      </c>
      <c r="DV32" s="115">
        <f>(DV20*WTW_Fuel_properties!$E$45+DV21*WTW_Fuel_properties!$E$46+DV22*WTW_Fuel_properties!$E$47+DV23*WTW_Fuel_properties!$E$48+DV24*WTW_Fuel_properties!$E$49+DV25*WTW_Fuel_properties!$E$50)</f>
        <v>129.44706090339383</v>
      </c>
      <c r="DW32" s="115">
        <f>(DW20*WTW_Fuel_properties!$E$45+DW21*WTW_Fuel_properties!$E$46+DW22*WTW_Fuel_properties!$E$47+DW23*WTW_Fuel_properties!$E$48+DW24*WTW_Fuel_properties!$E$49+DW25*WTW_Fuel_properties!$E$50)</f>
        <v>129.44706090339383</v>
      </c>
      <c r="DX32" s="115">
        <f>(DX20*WTW_Fuel_properties!$E$45+DX21*WTW_Fuel_properties!$E$46+DX22*WTW_Fuel_properties!$E$47+DX23*WTW_Fuel_properties!$E$48+DX24*WTW_Fuel_properties!$E$49+DX25*WTW_Fuel_properties!$E$50)</f>
        <v>129.44706090339383</v>
      </c>
      <c r="DY32" s="115">
        <f>(DY20*WTW_Fuel_properties!$E$45+DY21*WTW_Fuel_properties!$E$46+DY22*WTW_Fuel_properties!$E$47+DY23*WTW_Fuel_properties!$E$48+DY24*WTW_Fuel_properties!$E$49+DY25*WTW_Fuel_properties!$E$50)</f>
        <v>129.44706090339383</v>
      </c>
      <c r="DZ32" s="115">
        <f>(DZ20*WTW_Fuel_properties!$E$45+DZ21*WTW_Fuel_properties!$E$46+DZ22*WTW_Fuel_properties!$E$47+DZ23*WTW_Fuel_properties!$E$48+DZ24*WTW_Fuel_properties!$E$49+DZ25*WTW_Fuel_properties!$E$50)</f>
        <v>129.44706090339383</v>
      </c>
      <c r="EA32" s="115">
        <f>(EA20*WTW_Fuel_properties!$E$45+EA21*WTW_Fuel_properties!$E$46+EA22*WTW_Fuel_properties!$E$47+EA23*WTW_Fuel_properties!$E$48+EA24*WTW_Fuel_properties!$E$49+EA25*WTW_Fuel_properties!$E$50)</f>
        <v>129.44706090339383</v>
      </c>
      <c r="EB32" s="115">
        <f>(EB20*WTW_Fuel_properties!$E$45+EB21*WTW_Fuel_properties!$E$46+EB22*WTW_Fuel_properties!$E$47+EB23*WTW_Fuel_properties!$E$48+EB24*WTW_Fuel_properties!$E$49+EB25*WTW_Fuel_properties!$E$50)</f>
        <v>129.44706090339383</v>
      </c>
      <c r="EC32" s="115">
        <f>(EC20*WTW_Fuel_properties!$E$45+EC21*WTW_Fuel_properties!$E$46+EC22*WTW_Fuel_properties!$E$47+EC23*WTW_Fuel_properties!$E$48+EC24*WTW_Fuel_properties!$E$49+EC25*WTW_Fuel_properties!$E$50)</f>
        <v>129.44706090339383</v>
      </c>
      <c r="ED32" s="115">
        <f>(ED20*WTW_Fuel_properties!$E$45+ED21*WTW_Fuel_properties!$E$46+ED22*WTW_Fuel_properties!$E$47+ED23*WTW_Fuel_properties!$E$48+ED24*WTW_Fuel_properties!$E$49+ED25*WTW_Fuel_properties!$E$50)</f>
        <v>129.44706090339383</v>
      </c>
    </row>
    <row r="33" spans="1:134" x14ac:dyDescent="0.3">
      <c r="A33" s="21" t="s">
        <v>1127</v>
      </c>
      <c r="B33" s="124" t="s">
        <v>344</v>
      </c>
      <c r="C33" s="21" t="s">
        <v>331</v>
      </c>
      <c r="D33" s="380" t="e">
        <f>IF(D$15="",NA(),
IF(D15=WTW_Fuel_properties!$C$64,SUMPRODUCT(D20:D25,WTW_Fuel_properties!$X$58:$X$63),
VLOOKUP(D$15,WTW_Fuel_properties!$C$57:$X$63,COLUMN(WTW_Fuel_properties!$X$55)-COLUMN(WTW_Fuel_properties!$C$55)+1,FALSE)))</f>
        <v>#N/A</v>
      </c>
      <c r="E33" s="380" t="e">
        <f>IF(E$15="",NA(),
IF(E15=WTW_Fuel_properties!$C$64,SUMPRODUCT(E20:E25,WTW_Fuel_properties!$X$58:$X$63),
VLOOKUP(E$15,WTW_Fuel_properties!$C$57:$X$63,COLUMN(WTW_Fuel_properties!$X$55)-COLUMN(WTW_Fuel_properties!$C$55)+1,FALSE)))</f>
        <v>#N/A</v>
      </c>
      <c r="F33" s="380" t="e">
        <f>IF(F$15="",NA(),
IF(F15=WTW_Fuel_properties!$C$64,SUMPRODUCT(F20:F25,WTW_Fuel_properties!$X$58:$X$63),
VLOOKUP(F$15,WTW_Fuel_properties!$C$57:$X$63,COLUMN(WTW_Fuel_properties!$X$55)-COLUMN(WTW_Fuel_properties!$C$55)+1,FALSE)))</f>
        <v>#N/A</v>
      </c>
      <c r="G33" s="380" t="e">
        <f>IF(G$15="",NA(),
IF(G15=WTW_Fuel_properties!$C$64,SUMPRODUCT(G20:G25,WTW_Fuel_properties!$X$58:$X$63),
VLOOKUP(G$15,WTW_Fuel_properties!$C$57:$X$63,COLUMN(WTW_Fuel_properties!$X$55)-COLUMN(WTW_Fuel_properties!$C$55)+1,FALSE)))</f>
        <v>#N/A</v>
      </c>
      <c r="H33" s="380" t="e">
        <f>IF(H$15="",NA(),
IF(H15=WTW_Fuel_properties!$C$64,SUMPRODUCT(H20:H25,WTW_Fuel_properties!$X$58:$X$63),
VLOOKUP(H$15,WTW_Fuel_properties!$C$57:$X$63,COLUMN(WTW_Fuel_properties!$X$55)-COLUMN(WTW_Fuel_properties!$C$55)+1,FALSE)))</f>
        <v>#N/A</v>
      </c>
      <c r="I33" s="380" t="e">
        <f>IF(I$15="",NA(),
IF(I15=WTW_Fuel_properties!$C$64,SUMPRODUCT(I20:I25,WTW_Fuel_properties!$X$58:$X$63),
VLOOKUP(I$15,WTW_Fuel_properties!$C$57:$X$63,COLUMN(WTW_Fuel_properties!$X$55)-COLUMN(WTW_Fuel_properties!$C$55)+1,FALSE)))</f>
        <v>#N/A</v>
      </c>
      <c r="J33" s="380" t="e">
        <f>IF(J$15="",NA(),
IF(J15=WTW_Fuel_properties!$C$64,SUMPRODUCT(J20:J25,WTW_Fuel_properties!$X$58:$X$63),
VLOOKUP(J$15,WTW_Fuel_properties!$C$57:$X$63,COLUMN(WTW_Fuel_properties!$X$55)-COLUMN(WTW_Fuel_properties!$C$55)+1,FALSE)))</f>
        <v>#N/A</v>
      </c>
      <c r="K33" s="380" t="e">
        <f>IF(K$15="",NA(),
IF(K15=WTW_Fuel_properties!$C$64,SUMPRODUCT(K20:K25,WTW_Fuel_properties!$X$58:$X$63),
VLOOKUP(K$15,WTW_Fuel_properties!$C$57:$X$63,COLUMN(WTW_Fuel_properties!$X$55)-COLUMN(WTW_Fuel_properties!$C$55)+1,FALSE)))</f>
        <v>#N/A</v>
      </c>
      <c r="L33" s="380" t="e">
        <f>IF(L$15="",NA(),
IF(L15=WTW_Fuel_properties!$C$64,SUMPRODUCT(L20:L25,WTW_Fuel_properties!$X$58:$X$63),
VLOOKUP(L$15,WTW_Fuel_properties!$C$57:$X$63,COLUMN(WTW_Fuel_properties!$X$55)-COLUMN(WTW_Fuel_properties!$C$55)+1,FALSE)))</f>
        <v>#N/A</v>
      </c>
      <c r="M33" s="380" t="e">
        <f>IF(M$15="",NA(),
IF(M15=WTW_Fuel_properties!$C$64,SUMPRODUCT(M20:M25,WTW_Fuel_properties!$X$58:$X$63),
VLOOKUP(M$15,WTW_Fuel_properties!$C$57:$X$63,COLUMN(WTW_Fuel_properties!$X$55)-COLUMN(WTW_Fuel_properties!$C$55)+1,FALSE)))</f>
        <v>#N/A</v>
      </c>
      <c r="N33" s="380" t="e">
        <f>IF(N$15="",NA(),
IF(N15=WTW_Fuel_properties!$C$64,SUMPRODUCT(N20:N25,WTW_Fuel_properties!$X$58:$X$63),
VLOOKUP(N$15,WTW_Fuel_properties!$C$57:$X$63,COLUMN(WTW_Fuel_properties!$X$55)-COLUMN(WTW_Fuel_properties!$C$55)+1,FALSE)))</f>
        <v>#N/A</v>
      </c>
      <c r="O33" s="380" t="e">
        <f>IF(O$15="",NA(),
IF(O15=WTW_Fuel_properties!$C$64,SUMPRODUCT(O20:O25,WTW_Fuel_properties!$X$58:$X$63),
VLOOKUP(O$15,WTW_Fuel_properties!$C$57:$X$63,COLUMN(WTW_Fuel_properties!$X$55)-COLUMN(WTW_Fuel_properties!$C$55)+1,FALSE)))</f>
        <v>#N/A</v>
      </c>
      <c r="P33" s="380" t="e">
        <f>IF(P$15="",NA(),
IF(P15=WTW_Fuel_properties!$C$64,SUMPRODUCT(P20:P25,WTW_Fuel_properties!$X$58:$X$63),
VLOOKUP(P$15,WTW_Fuel_properties!$C$57:$X$63,COLUMN(WTW_Fuel_properties!$X$55)-COLUMN(WTW_Fuel_properties!$C$55)+1,FALSE)))</f>
        <v>#N/A</v>
      </c>
      <c r="Q33" s="380" t="e">
        <f>IF(Q$15="",NA(),
IF(Q15=WTW_Fuel_properties!$C$64,SUMPRODUCT(Q20:Q25,WTW_Fuel_properties!$X$58:$X$63),
VLOOKUP(Q$15,WTW_Fuel_properties!$C$57:$X$63,COLUMN(WTW_Fuel_properties!$X$55)-COLUMN(WTW_Fuel_properties!$C$55)+1,FALSE)))</f>
        <v>#N/A</v>
      </c>
      <c r="R33" s="380" t="e">
        <f>IF(R$15="",NA(),
IF(R15=WTW_Fuel_properties!$C$64,SUMPRODUCT(R20:R25,WTW_Fuel_properties!$X$58:$X$63),
VLOOKUP(R$15,WTW_Fuel_properties!$C$57:$X$63,COLUMN(WTW_Fuel_properties!$X$55)-COLUMN(WTW_Fuel_properties!$C$55)+1,FALSE)))</f>
        <v>#N/A</v>
      </c>
      <c r="S33" s="380" t="e">
        <f>IF(S$15="",NA(),
IF(S15=WTW_Fuel_properties!$C$64,SUMPRODUCT(S20:S25,WTW_Fuel_properties!$X$58:$X$63),
VLOOKUP(S$15,WTW_Fuel_properties!$C$57:$X$63,COLUMN(WTW_Fuel_properties!$X$55)-COLUMN(WTW_Fuel_properties!$C$55)+1,FALSE)))</f>
        <v>#N/A</v>
      </c>
      <c r="T33" s="380" t="e">
        <f>IF(T$15="",NA(),
IF(T15=WTW_Fuel_properties!$C$64,SUMPRODUCT(T20:T25,WTW_Fuel_properties!$X$58:$X$63),
VLOOKUP(T$15,WTW_Fuel_properties!$C$57:$X$63,COLUMN(WTW_Fuel_properties!$X$55)-COLUMN(WTW_Fuel_properties!$C$55)+1,FALSE)))</f>
        <v>#N/A</v>
      </c>
      <c r="U33" s="380" t="e">
        <f>IF(U$15="",NA(),
IF(U15=WTW_Fuel_properties!$C$64,SUMPRODUCT(U20:U25,WTW_Fuel_properties!$X$58:$X$63),
VLOOKUP(U$15,WTW_Fuel_properties!$C$57:$X$63,COLUMN(WTW_Fuel_properties!$X$55)-COLUMN(WTW_Fuel_properties!$C$55)+1,FALSE)))</f>
        <v>#N/A</v>
      </c>
      <c r="V33" s="380" t="e">
        <f>IF(V$15="",NA(),
IF(V15=WTW_Fuel_properties!$C$64,SUMPRODUCT(V20:V25,WTW_Fuel_properties!$X$58:$X$63),
VLOOKUP(V$15,WTW_Fuel_properties!$C$57:$X$63,COLUMN(WTW_Fuel_properties!$X$55)-COLUMN(WTW_Fuel_properties!$C$55)+1,FALSE)))</f>
        <v>#N/A</v>
      </c>
      <c r="W33" s="380" t="e">
        <f>IF(W$15="",NA(),
IF(W15=WTW_Fuel_properties!$C$64,SUMPRODUCT(W20:W25,WTW_Fuel_properties!$X$58:$X$63),
VLOOKUP(W$15,WTW_Fuel_properties!$C$57:$X$63,COLUMN(WTW_Fuel_properties!$X$55)-COLUMN(WTW_Fuel_properties!$C$55)+1,FALSE)))</f>
        <v>#N/A</v>
      </c>
      <c r="X33" s="380" t="e">
        <f>IF(X$15="",NA(),
IF(X15=WTW_Fuel_properties!$C$64,SUMPRODUCT(X20:X25,WTW_Fuel_properties!$X$58:$X$63),
VLOOKUP(X$15,WTW_Fuel_properties!$C$57:$X$63,COLUMN(WTW_Fuel_properties!$X$55)-COLUMN(WTW_Fuel_properties!$C$55)+1,FALSE)))</f>
        <v>#N/A</v>
      </c>
      <c r="Y33" s="380" t="e">
        <f>IF(Y$15="",NA(),
IF(Y15=WTW_Fuel_properties!$C$64,SUMPRODUCT(Y20:Y25,WTW_Fuel_properties!$X$58:$X$63),
VLOOKUP(Y$15,WTW_Fuel_properties!$C$57:$X$63,COLUMN(WTW_Fuel_properties!$X$55)-COLUMN(WTW_Fuel_properties!$C$55)+1,FALSE)))</f>
        <v>#N/A</v>
      </c>
      <c r="Z33" s="380" t="e">
        <f>IF(Z$15="",NA(),
IF(Z15=WTW_Fuel_properties!$C$64,SUMPRODUCT(Z20:Z25,WTW_Fuel_properties!$X$58:$X$63),
VLOOKUP(Z$15,WTW_Fuel_properties!$C$57:$X$63,COLUMN(WTW_Fuel_properties!$X$55)-COLUMN(WTW_Fuel_properties!$C$55)+1,FALSE)))</f>
        <v>#N/A</v>
      </c>
      <c r="AA33" s="380" t="e">
        <f>IF(AA$15="",NA(),
IF(AA15=WTW_Fuel_properties!$C$64,SUMPRODUCT(AA20:AA25,WTW_Fuel_properties!$X$58:$X$63),
VLOOKUP(AA$15,WTW_Fuel_properties!$C$57:$X$63,COLUMN(WTW_Fuel_properties!$X$55)-COLUMN(WTW_Fuel_properties!$C$55)+1,FALSE)))</f>
        <v>#N/A</v>
      </c>
      <c r="AB33" s="380" t="e">
        <f>IF(AB$15="",NA(),
IF(AB15=WTW_Fuel_properties!$C$64,SUMPRODUCT(AB20:AB25,WTW_Fuel_properties!$X$58:$X$63),
VLOOKUP(AB$15,WTW_Fuel_properties!$C$57:$X$63,COLUMN(WTW_Fuel_properties!$X$55)-COLUMN(WTW_Fuel_properties!$C$55)+1,FALSE)))</f>
        <v>#N/A</v>
      </c>
      <c r="AC33" s="380" t="e">
        <f>IF(AC$15="",NA(),
IF(AC15=WTW_Fuel_properties!$C$64,SUMPRODUCT(AC20:AC25,WTW_Fuel_properties!$X$58:$X$63),
VLOOKUP(AC$15,WTW_Fuel_properties!$C$57:$X$63,COLUMN(WTW_Fuel_properties!$X$55)-COLUMN(WTW_Fuel_properties!$C$55)+1,FALSE)))</f>
        <v>#N/A</v>
      </c>
      <c r="AD33" s="380" t="e">
        <f>IF(AD$15="",NA(),
IF(AD15=WTW_Fuel_properties!$C$64,SUMPRODUCT(AD20:AD25,WTW_Fuel_properties!$X$58:$X$63),
VLOOKUP(AD$15,WTW_Fuel_properties!$C$57:$X$63,COLUMN(WTW_Fuel_properties!$X$55)-COLUMN(WTW_Fuel_properties!$C$55)+1,FALSE)))</f>
        <v>#N/A</v>
      </c>
      <c r="AE33" s="380" t="e">
        <f>IF(AE$15="",NA(),
IF(AE15=WTW_Fuel_properties!$C$64,SUMPRODUCT(AE20:AE25,WTW_Fuel_properties!$X$58:$X$63),
VLOOKUP(AE$15,WTW_Fuel_properties!$C$57:$X$63,COLUMN(WTW_Fuel_properties!$X$55)-COLUMN(WTW_Fuel_properties!$C$55)+1,FALSE)))</f>
        <v>#N/A</v>
      </c>
      <c r="AF33" s="380" t="e">
        <f>IF(AF$15="",NA(),
IF(AF15=WTW_Fuel_properties!$C$64,SUMPRODUCT(AF20:AF25,WTW_Fuel_properties!$X$58:$X$63),
VLOOKUP(AF$15,WTW_Fuel_properties!$C$57:$X$63,COLUMN(WTW_Fuel_properties!$X$55)-COLUMN(WTW_Fuel_properties!$C$55)+1,FALSE)))</f>
        <v>#N/A</v>
      </c>
      <c r="AG33" s="380" t="e">
        <f>IF(AG$15="",NA(),
IF(AG15=WTW_Fuel_properties!$C$64,SUMPRODUCT(AG20:AG25,WTW_Fuel_properties!$X$58:$X$63),
VLOOKUP(AG$15,WTW_Fuel_properties!$C$57:$X$63,COLUMN(WTW_Fuel_properties!$X$55)-COLUMN(WTW_Fuel_properties!$C$55)+1,FALSE)))</f>
        <v>#N/A</v>
      </c>
      <c r="AH33" s="380" t="e">
        <f>IF(AH$15="",NA(),
IF(AH15=WTW_Fuel_properties!$C$64,SUMPRODUCT(AH20:AH25,WTW_Fuel_properties!$X$58:$X$63),
VLOOKUP(AH$15,WTW_Fuel_properties!$C$57:$X$63,COLUMN(WTW_Fuel_properties!$X$55)-COLUMN(WTW_Fuel_properties!$C$55)+1,FALSE)))</f>
        <v>#N/A</v>
      </c>
      <c r="AI33" s="380" t="e">
        <f>IF(AI$15="",NA(),
IF(AI15=WTW_Fuel_properties!$C$64,SUMPRODUCT(AI20:AI25,WTW_Fuel_properties!$X$58:$X$63),
VLOOKUP(AI$15,WTW_Fuel_properties!$C$57:$X$63,COLUMN(WTW_Fuel_properties!$X$55)-COLUMN(WTW_Fuel_properties!$C$55)+1,FALSE)))</f>
        <v>#N/A</v>
      </c>
      <c r="AJ33" s="380" t="e">
        <f>IF(AJ$15="",NA(),
IF(AJ15=WTW_Fuel_properties!$C$64,SUMPRODUCT(AJ20:AJ25,WTW_Fuel_properties!$X$58:$X$63),
VLOOKUP(AJ$15,WTW_Fuel_properties!$C$57:$X$63,COLUMN(WTW_Fuel_properties!$X$55)-COLUMN(WTW_Fuel_properties!$C$55)+1,FALSE)))</f>
        <v>#N/A</v>
      </c>
      <c r="AK33" s="380" t="e">
        <f>IF(AK$15="",NA(),
IF(AK15=WTW_Fuel_properties!$C$64,SUMPRODUCT(AK20:AK25,WTW_Fuel_properties!$X$58:$X$63),
VLOOKUP(AK$15,WTW_Fuel_properties!$C$57:$X$63,COLUMN(WTW_Fuel_properties!$X$55)-COLUMN(WTW_Fuel_properties!$C$55)+1,FALSE)))</f>
        <v>#N/A</v>
      </c>
      <c r="AL33" s="380" t="e">
        <f>IF(AL$15="",NA(),
IF(AL15=WTW_Fuel_properties!$C$64,SUMPRODUCT(AL20:AL25,WTW_Fuel_properties!$X$58:$X$63),
VLOOKUP(AL$15,WTW_Fuel_properties!$C$57:$X$63,COLUMN(WTW_Fuel_properties!$X$55)-COLUMN(WTW_Fuel_properties!$C$55)+1,FALSE)))</f>
        <v>#N/A</v>
      </c>
      <c r="AM33" s="380" t="e">
        <f>IF(AM$15="",NA(),
IF(AM15=WTW_Fuel_properties!$C$64,SUMPRODUCT(AM20:AM25,WTW_Fuel_properties!$X$58:$X$63),
VLOOKUP(AM$15,WTW_Fuel_properties!$C$57:$X$63,COLUMN(WTW_Fuel_properties!$X$55)-COLUMN(WTW_Fuel_properties!$C$55)+1,FALSE)))</f>
        <v>#N/A</v>
      </c>
      <c r="AN33" s="380" t="e">
        <f>IF(AN$15="",NA(),
IF(AN15=WTW_Fuel_properties!$C$64,SUMPRODUCT(AN20:AN25,WTW_Fuel_properties!$X$58:$X$63),
VLOOKUP(AN$15,WTW_Fuel_properties!$C$57:$X$63,COLUMN(WTW_Fuel_properties!$X$55)-COLUMN(WTW_Fuel_properties!$C$55)+1,FALSE)))</f>
        <v>#N/A</v>
      </c>
      <c r="AO33" s="380" t="e">
        <f>IF(AO$15="",NA(),
IF(AO15=WTW_Fuel_properties!$C$64,SUMPRODUCT(AO20:AO25,WTW_Fuel_properties!$X$58:$X$63),
VLOOKUP(AO$15,WTW_Fuel_properties!$C$57:$X$63,COLUMN(WTW_Fuel_properties!$X$55)-COLUMN(WTW_Fuel_properties!$C$55)+1,FALSE)))</f>
        <v>#N/A</v>
      </c>
      <c r="AP33" s="380" t="e">
        <f>IF(AP$15="",NA(),
IF(AP15=WTW_Fuel_properties!$C$64,SUMPRODUCT(AP20:AP25,WTW_Fuel_properties!$X$58:$X$63),
VLOOKUP(AP$15,WTW_Fuel_properties!$C$57:$X$63,COLUMN(WTW_Fuel_properties!$X$55)-COLUMN(WTW_Fuel_properties!$C$55)+1,FALSE)))</f>
        <v>#N/A</v>
      </c>
      <c r="AQ33" s="380" t="e">
        <f>IF(AQ$15="",NA(),
IF(AQ15=WTW_Fuel_properties!$C$64,SUMPRODUCT(AQ20:AQ25,WTW_Fuel_properties!$X$58:$X$63),
VLOOKUP(AQ$15,WTW_Fuel_properties!$C$57:$X$63,COLUMN(WTW_Fuel_properties!$X$55)-COLUMN(WTW_Fuel_properties!$C$55)+1,FALSE)))</f>
        <v>#N/A</v>
      </c>
      <c r="AR33" s="380" t="e">
        <f>IF(AR$15="",NA(),
IF(AR15=WTW_Fuel_properties!$C$64,SUMPRODUCT(AR20:AR25,WTW_Fuel_properties!$X$58:$X$63),
VLOOKUP(AR$15,WTW_Fuel_properties!$C$57:$X$63,COLUMN(WTW_Fuel_properties!$X$55)-COLUMN(WTW_Fuel_properties!$C$55)+1,FALSE)))</f>
        <v>#N/A</v>
      </c>
      <c r="AS33" s="380" t="e">
        <f>IF(AS$15="",NA(),
IF(AS15=WTW_Fuel_properties!$C$64,SUMPRODUCT(AS20:AS25,WTW_Fuel_properties!$X$58:$X$63),
VLOOKUP(AS$15,WTW_Fuel_properties!$C$57:$X$63,COLUMN(WTW_Fuel_properties!$X$55)-COLUMN(WTW_Fuel_properties!$C$55)+1,FALSE)))</f>
        <v>#N/A</v>
      </c>
      <c r="AT33" s="380" t="e">
        <f>IF(AT$15="",NA(),
IF(AT15=WTW_Fuel_properties!$C$64,SUMPRODUCT(AT20:AT25,WTW_Fuel_properties!$X$58:$X$63),
VLOOKUP(AT$15,WTW_Fuel_properties!$C$57:$X$63,COLUMN(WTW_Fuel_properties!$X$55)-COLUMN(WTW_Fuel_properties!$C$55)+1,FALSE)))</f>
        <v>#N/A</v>
      </c>
      <c r="AU33" s="380" t="e">
        <f>IF(AU$15="",NA(),
IF(AU15=WTW_Fuel_properties!$C$64,SUMPRODUCT(AU20:AU25,WTW_Fuel_properties!$X$58:$X$63),
VLOOKUP(AU$15,WTW_Fuel_properties!$C$57:$X$63,COLUMN(WTW_Fuel_properties!$X$55)-COLUMN(WTW_Fuel_properties!$C$55)+1,FALSE)))</f>
        <v>#N/A</v>
      </c>
      <c r="AV33" s="380" t="e">
        <f>IF(AV$15="",NA(),
IF(AV15=WTW_Fuel_properties!$C$64,SUMPRODUCT(AV20:AV25,WTW_Fuel_properties!$X$58:$X$63),
VLOOKUP(AV$15,WTW_Fuel_properties!$C$57:$X$63,COLUMN(WTW_Fuel_properties!$X$55)-COLUMN(WTW_Fuel_properties!$C$55)+1,FALSE)))</f>
        <v>#N/A</v>
      </c>
      <c r="AW33" s="380" t="e">
        <f>IF(AW$15="",NA(),
IF(AW15=WTW_Fuel_properties!$C$64,SUMPRODUCT(AW20:AW25,WTW_Fuel_properties!$X$58:$X$63),
VLOOKUP(AW$15,WTW_Fuel_properties!$C$57:$X$63,COLUMN(WTW_Fuel_properties!$X$55)-COLUMN(WTW_Fuel_properties!$C$55)+1,FALSE)))</f>
        <v>#N/A</v>
      </c>
      <c r="AX33" s="380" t="e">
        <f>IF(AX$15="",NA(),
IF(AX15=WTW_Fuel_properties!$C$64,SUMPRODUCT(AX20:AX25,WTW_Fuel_properties!$X$58:$X$63),
VLOOKUP(AX$15,WTW_Fuel_properties!$C$57:$X$63,COLUMN(WTW_Fuel_properties!$X$55)-COLUMN(WTW_Fuel_properties!$C$55)+1,FALSE)))</f>
        <v>#N/A</v>
      </c>
      <c r="AY33" s="380">
        <f>IF(AY$15="",NA(),
IF(AY15=WTW_Fuel_properties!$C$64,SUMPRODUCT(AY20:AY25,WTW_Fuel_properties!$X$58:$X$63),
VLOOKUP(AY$15,WTW_Fuel_properties!$C$57:$X$63,COLUMN(WTW_Fuel_properties!$X$55)-COLUMN(WTW_Fuel_properties!$C$55)+1,FALSE)))</f>
        <v>225.2566501069266</v>
      </c>
      <c r="AZ33" s="380">
        <f>IF(AZ$15="",NA(),
IF(AZ15=WTW_Fuel_properties!$C$64,SUMPRODUCT(AZ20:AZ25,WTW_Fuel_properties!$X$58:$X$63),
VLOOKUP(AZ$15,WTW_Fuel_properties!$C$57:$X$63,COLUMN(WTW_Fuel_properties!$X$55)-COLUMN(WTW_Fuel_properties!$C$55)+1,FALSE)))</f>
        <v>1.1577835800679008</v>
      </c>
      <c r="BA33" s="380">
        <f>IF(BA$15="",NA(),
IF(BA15=WTW_Fuel_properties!$C$64,SUMPRODUCT(BA20:BA25,WTW_Fuel_properties!$X$58:$X$63),
VLOOKUP(BA$15,WTW_Fuel_properties!$C$57:$X$63,COLUMN(WTW_Fuel_properties!$X$55)-COLUMN(WTW_Fuel_properties!$C$55)+1,FALSE)))</f>
        <v>57.923417401499783</v>
      </c>
      <c r="BB33" s="380">
        <f>IF(BB$15="",NA(),
IF(BB15=WTW_Fuel_properties!$C$64,SUMPRODUCT(BB20:BB25,WTW_Fuel_properties!$X$58:$X$63),
VLOOKUP(BB$15,WTW_Fuel_properties!$C$57:$X$63,COLUMN(WTW_Fuel_properties!$X$55)-COLUMN(WTW_Fuel_properties!$C$55)+1,FALSE)))</f>
        <v>114.40510338454405</v>
      </c>
      <c r="BC33" s="380" t="e">
        <f>IF(BC$15="",NA(),
IF(BC15=WTW_Fuel_properties!$C$64,SUMPRODUCT(BC20:BC25,WTW_Fuel_properties!$X$58:$X$63),
VLOOKUP(BC$15,WTW_Fuel_properties!$C$57:$X$63,COLUMN(WTW_Fuel_properties!$X$55)-COLUMN(WTW_Fuel_properties!$C$55)+1,FALSE)))</f>
        <v>#N/A</v>
      </c>
      <c r="BD33" s="380" t="e">
        <f>IF(BD$15="",NA(),
IF(BD15=WTW_Fuel_properties!$C$64,SUMPRODUCT(BD20:BD25,WTW_Fuel_properties!$X$58:$X$63),
VLOOKUP(BD$15,WTW_Fuel_properties!$C$57:$X$63,COLUMN(WTW_Fuel_properties!$X$55)-COLUMN(WTW_Fuel_properties!$C$55)+1,FALSE)))</f>
        <v>#N/A</v>
      </c>
      <c r="BE33" s="380" t="e">
        <f>IF(BE$15="",NA(),
IF(BE15=WTW_Fuel_properties!$C$64,SUMPRODUCT(BE20:BE25,WTW_Fuel_properties!$X$58:$X$63),
VLOOKUP(BE$15,WTW_Fuel_properties!$C$57:$X$63,COLUMN(WTW_Fuel_properties!$X$55)-COLUMN(WTW_Fuel_properties!$C$55)+1,FALSE)))</f>
        <v>#N/A</v>
      </c>
      <c r="BF33" s="380" t="e">
        <f>IF(BF$15="",NA(),
IF(BF15=WTW_Fuel_properties!$C$64,SUMPRODUCT(BF20:BF25,WTW_Fuel_properties!$X$58:$X$63),
VLOOKUP(BF$15,WTW_Fuel_properties!$C$57:$X$63,COLUMN(WTW_Fuel_properties!$X$55)-COLUMN(WTW_Fuel_properties!$C$55)+1,FALSE)))</f>
        <v>#N/A</v>
      </c>
      <c r="BG33" s="380" t="e">
        <f>IF(BG$15="",NA(),
IF(BG15=WTW_Fuel_properties!$C$64,SUMPRODUCT(BG20:BG25,WTW_Fuel_properties!$X$58:$X$63),
VLOOKUP(BG$15,WTW_Fuel_properties!$C$57:$X$63,COLUMN(WTW_Fuel_properties!$X$55)-COLUMN(WTW_Fuel_properties!$C$55)+1,FALSE)))</f>
        <v>#N/A</v>
      </c>
      <c r="BH33" s="380" t="e">
        <f>IF(BH$15="",NA(),
IF(BH15=WTW_Fuel_properties!$C$64,SUMPRODUCT(BH20:BH25,WTW_Fuel_properties!$X$58:$X$63),
VLOOKUP(BH$15,WTW_Fuel_properties!$C$57:$X$63,COLUMN(WTW_Fuel_properties!$X$55)-COLUMN(WTW_Fuel_properties!$C$55)+1,FALSE)))</f>
        <v>#N/A</v>
      </c>
      <c r="BI33" s="380" t="e">
        <f>IF(BI$15="",NA(),
IF(BI15=WTW_Fuel_properties!$C$64,SUMPRODUCT(BI20:BI25,WTW_Fuel_properties!$X$58:$X$63),
VLOOKUP(BI$15,WTW_Fuel_properties!$C$57:$X$63,COLUMN(WTW_Fuel_properties!$X$55)-COLUMN(WTW_Fuel_properties!$C$55)+1,FALSE)))</f>
        <v>#N/A</v>
      </c>
      <c r="BJ33" s="380" t="e">
        <f>IF(BJ$15="",NA(),
IF(BJ15=WTW_Fuel_properties!$C$64,SUMPRODUCT(BJ20:BJ25,WTW_Fuel_properties!$X$58:$X$63),
VLOOKUP(BJ$15,WTW_Fuel_properties!$C$57:$X$63,COLUMN(WTW_Fuel_properties!$X$55)-COLUMN(WTW_Fuel_properties!$C$55)+1,FALSE)))</f>
        <v>#N/A</v>
      </c>
      <c r="BK33" s="380" t="e">
        <f>IF(BK$15="",NA(),
IF(BK15=WTW_Fuel_properties!$C$64,SUMPRODUCT(BK20:BK25,WTW_Fuel_properties!$X$58:$X$63),
VLOOKUP(BK$15,WTW_Fuel_properties!$C$57:$X$63,COLUMN(WTW_Fuel_properties!$X$55)-COLUMN(WTW_Fuel_properties!$C$55)+1,FALSE)))</f>
        <v>#N/A</v>
      </c>
      <c r="BL33" s="380" t="e">
        <f>IF(BL$15="",NA(),
IF(BL15=WTW_Fuel_properties!$C$64,SUMPRODUCT(BL20:BL25,WTW_Fuel_properties!$X$58:$X$63),
VLOOKUP(BL$15,WTW_Fuel_properties!$C$57:$X$63,COLUMN(WTW_Fuel_properties!$X$55)-COLUMN(WTW_Fuel_properties!$C$55)+1,FALSE)))</f>
        <v>#N/A</v>
      </c>
      <c r="BM33" s="380" t="e">
        <f>IF(BM$15="",NA(),
IF(BM15=WTW_Fuel_properties!$C$64,SUMPRODUCT(BM20:BM25,WTW_Fuel_properties!$X$58:$X$63),
VLOOKUP(BM$15,WTW_Fuel_properties!$C$57:$X$63,COLUMN(WTW_Fuel_properties!$X$55)-COLUMN(WTW_Fuel_properties!$C$55)+1,FALSE)))</f>
        <v>#N/A</v>
      </c>
      <c r="BN33" s="380" t="e">
        <f>IF(BN$15="",NA(),
IF(BN15=WTW_Fuel_properties!$C$64,SUMPRODUCT(BN20:BN25,WTW_Fuel_properties!$X$58:$X$63),
VLOOKUP(BN$15,WTW_Fuel_properties!$C$57:$X$63,COLUMN(WTW_Fuel_properties!$X$55)-COLUMN(WTW_Fuel_properties!$C$55)+1,FALSE)))</f>
        <v>#N/A</v>
      </c>
      <c r="BO33" s="380" t="e">
        <f>IF(BO$15="",NA(),
IF(BO15=WTW_Fuel_properties!$C$64,SUMPRODUCT(BO20:BO25,WTW_Fuel_properties!$X$58:$X$63),
VLOOKUP(BO$15,WTW_Fuel_properties!$C$57:$X$63,COLUMN(WTW_Fuel_properties!$X$55)-COLUMN(WTW_Fuel_properties!$C$55)+1,FALSE)))</f>
        <v>#N/A</v>
      </c>
      <c r="BP33" s="380" t="e">
        <f>IF(BP$15="",NA(),
IF(BP15=WTW_Fuel_properties!$C$64,SUMPRODUCT(BP20:BP25,WTW_Fuel_properties!$X$58:$X$63),
VLOOKUP(BP$15,WTW_Fuel_properties!$C$57:$X$63,COLUMN(WTW_Fuel_properties!$X$55)-COLUMN(WTW_Fuel_properties!$C$55)+1,FALSE)))</f>
        <v>#N/A</v>
      </c>
      <c r="BQ33" s="380" t="e">
        <f>IF(BQ$15="",NA(),
IF(BQ15=WTW_Fuel_properties!$C$64,SUMPRODUCT(BQ20:BQ25,WTW_Fuel_properties!$X$58:$X$63),
VLOOKUP(BQ$15,WTW_Fuel_properties!$C$57:$X$63,COLUMN(WTW_Fuel_properties!$X$55)-COLUMN(WTW_Fuel_properties!$C$55)+1,FALSE)))</f>
        <v>#N/A</v>
      </c>
      <c r="BR33" s="380" t="e">
        <f>IF(BR$15="",NA(),
IF(BR15=WTW_Fuel_properties!$C$64,SUMPRODUCT(BR20:BR25,WTW_Fuel_properties!$X$58:$X$63),
VLOOKUP(BR$15,WTW_Fuel_properties!$C$57:$X$63,COLUMN(WTW_Fuel_properties!$X$55)-COLUMN(WTW_Fuel_properties!$C$55)+1,FALSE)))</f>
        <v>#N/A</v>
      </c>
      <c r="BS33" s="380" t="e">
        <f>IF(BS$15="",NA(),
IF(BS15=WTW_Fuel_properties!$C$64,SUMPRODUCT(BS20:BS25,WTW_Fuel_properties!$X$58:$X$63),
VLOOKUP(BS$15,WTW_Fuel_properties!$C$57:$X$63,COLUMN(WTW_Fuel_properties!$X$55)-COLUMN(WTW_Fuel_properties!$C$55)+1,FALSE)))</f>
        <v>#N/A</v>
      </c>
      <c r="BT33" s="380" t="e">
        <f>IF(BT$15="",NA(),
IF(BT15=WTW_Fuel_properties!$C$64,SUMPRODUCT(BT20:BT25,WTW_Fuel_properties!$X$58:$X$63),
VLOOKUP(BT$15,WTW_Fuel_properties!$C$57:$X$63,COLUMN(WTW_Fuel_properties!$X$55)-COLUMN(WTW_Fuel_properties!$C$55)+1,FALSE)))</f>
        <v>#N/A</v>
      </c>
      <c r="BU33" s="380" t="e">
        <f>IF(BU$15="",NA(),
IF(BU15=WTW_Fuel_properties!$C$64,SUMPRODUCT(BU20:BU25,WTW_Fuel_properties!$X$58:$X$63),
VLOOKUP(BU$15,WTW_Fuel_properties!$C$57:$X$63,COLUMN(WTW_Fuel_properties!$X$55)-COLUMN(WTW_Fuel_properties!$C$55)+1,FALSE)))</f>
        <v>#N/A</v>
      </c>
      <c r="BV33" s="380" t="e">
        <f>IF(BV$15="",NA(),
IF(BV15=WTW_Fuel_properties!$C$64,SUMPRODUCT(BV20:BV25,WTW_Fuel_properties!$X$58:$X$63),
VLOOKUP(BV$15,WTW_Fuel_properties!$C$57:$X$63,COLUMN(WTW_Fuel_properties!$X$55)-COLUMN(WTW_Fuel_properties!$C$55)+1,FALSE)))</f>
        <v>#N/A</v>
      </c>
      <c r="BW33" s="380" t="e">
        <f>IF(BW$15="",NA(),
IF(BW15=WTW_Fuel_properties!$C$64,SUMPRODUCT(BW20:BW25,WTW_Fuel_properties!$X$58:$X$63),
VLOOKUP(BW$15,WTW_Fuel_properties!$C$57:$X$63,COLUMN(WTW_Fuel_properties!$X$55)-COLUMN(WTW_Fuel_properties!$C$55)+1,FALSE)))</f>
        <v>#N/A</v>
      </c>
      <c r="BX33" s="380" t="e">
        <f>IF(BX$15="",NA(),
IF(BX15=WTW_Fuel_properties!$C$64,SUMPRODUCT(BX20:BX25,WTW_Fuel_properties!$X$58:$X$63),
VLOOKUP(BX$15,WTW_Fuel_properties!$C$57:$X$63,COLUMN(WTW_Fuel_properties!$X$55)-COLUMN(WTW_Fuel_properties!$C$55)+1,FALSE)))</f>
        <v>#N/A</v>
      </c>
      <c r="BY33" s="380" t="e">
        <f>IF(BY$15="",NA(),
IF(BY15=WTW_Fuel_properties!$C$64,SUMPRODUCT(BY20:BY25,WTW_Fuel_properties!$X$58:$X$63),
VLOOKUP(BY$15,WTW_Fuel_properties!$C$57:$X$63,COLUMN(WTW_Fuel_properties!$X$55)-COLUMN(WTW_Fuel_properties!$C$55)+1,FALSE)))</f>
        <v>#N/A</v>
      </c>
      <c r="BZ33" s="380" t="e">
        <f>IF(BZ$15="",NA(),
IF(BZ15=WTW_Fuel_properties!$C$64,SUMPRODUCT(BZ20:BZ25,WTW_Fuel_properties!$X$58:$X$63),
VLOOKUP(BZ$15,WTW_Fuel_properties!$C$57:$X$63,COLUMN(WTW_Fuel_properties!$X$55)-COLUMN(WTW_Fuel_properties!$C$55)+1,FALSE)))</f>
        <v>#N/A</v>
      </c>
      <c r="CA33" s="380" t="e">
        <f>IF(CA$15="",NA(),
IF(CA15=WTW_Fuel_properties!$C$64,SUMPRODUCT(CA20:CA25,WTW_Fuel_properties!$X$58:$X$63),
VLOOKUP(CA$15,WTW_Fuel_properties!$C$57:$X$63,COLUMN(WTW_Fuel_properties!$X$55)-COLUMN(WTW_Fuel_properties!$C$55)+1,FALSE)))</f>
        <v>#N/A</v>
      </c>
      <c r="CB33" s="380" t="e">
        <f>IF(CB$15="",NA(),
IF(CB15=WTW_Fuel_properties!$C$64,SUMPRODUCT(CB20:CB25,WTW_Fuel_properties!$X$58:$X$63),
VLOOKUP(CB$15,WTW_Fuel_properties!$C$57:$X$63,COLUMN(WTW_Fuel_properties!$X$55)-COLUMN(WTW_Fuel_properties!$C$55)+1,FALSE)))</f>
        <v>#N/A</v>
      </c>
      <c r="CC33" s="380" t="e">
        <f>IF(CC$15="",NA(),
IF(CC15=WTW_Fuel_properties!$C$64,SUMPRODUCT(CC20:CC25,WTW_Fuel_properties!$X$58:$X$63),
VLOOKUP(CC$15,WTW_Fuel_properties!$C$57:$X$63,COLUMN(WTW_Fuel_properties!$X$55)-COLUMN(WTW_Fuel_properties!$C$55)+1,FALSE)))</f>
        <v>#N/A</v>
      </c>
      <c r="CD33" s="380">
        <f>IF(CD$15="",NA(),
IF(CD15=WTW_Fuel_properties!$C$64,SUMPRODUCT(CD20:CD25,WTW_Fuel_properties!$X$58:$X$63),
VLOOKUP(CD$15,WTW_Fuel_properties!$C$57:$X$63,COLUMN(WTW_Fuel_properties!$X$55)-COLUMN(WTW_Fuel_properties!$C$55)+1,FALSE)))</f>
        <v>225.2566501069266</v>
      </c>
      <c r="CE33" s="380">
        <f>IF(CE$15="",NA(),
IF(CE15=WTW_Fuel_properties!$C$64,SUMPRODUCT(CE20:CE25,WTW_Fuel_properties!$X$58:$X$63),
VLOOKUP(CE$15,WTW_Fuel_properties!$C$57:$X$63,COLUMN(WTW_Fuel_properties!$X$55)-COLUMN(WTW_Fuel_properties!$C$55)+1,FALSE)))</f>
        <v>1.1577835800679008</v>
      </c>
      <c r="CF33" s="380">
        <f>IF(CF$15="",NA(),
IF(CF15=WTW_Fuel_properties!$C$64,SUMPRODUCT(CF20:CF25,WTW_Fuel_properties!$X$58:$X$63),
VLOOKUP(CF$15,WTW_Fuel_properties!$C$57:$X$63,COLUMN(WTW_Fuel_properties!$X$55)-COLUMN(WTW_Fuel_properties!$C$55)+1,FALSE)))</f>
        <v>57.923417401499783</v>
      </c>
      <c r="CG33" s="380">
        <f>IF(CG$15="",NA(),
IF(CG15=WTW_Fuel_properties!$C$64,SUMPRODUCT(CG20:CG25,WTW_Fuel_properties!$X$58:$X$63),
VLOOKUP(CG$15,WTW_Fuel_properties!$C$57:$X$63,COLUMN(WTW_Fuel_properties!$X$55)-COLUMN(WTW_Fuel_properties!$C$55)+1,FALSE)))</f>
        <v>114.40510338454405</v>
      </c>
      <c r="CH33" s="380" t="e">
        <f>IF(CH$15="",NA(),
IF(CH15=WTW_Fuel_properties!$C$64,SUMPRODUCT(CH20:CH25,WTW_Fuel_properties!$X$58:$X$63),
VLOOKUP(CH$15,WTW_Fuel_properties!$C$57:$X$63,COLUMN(WTW_Fuel_properties!$X$55)-COLUMN(WTW_Fuel_properties!$C$55)+1,FALSE)))</f>
        <v>#N/A</v>
      </c>
      <c r="CI33" s="380" t="e">
        <f>IF(CI$15="",NA(),
IF(CI15=WTW_Fuel_properties!$C$64,SUMPRODUCT(CI20:CI25,WTW_Fuel_properties!$X$58:$X$63),
VLOOKUP(CI$15,WTW_Fuel_properties!$C$57:$X$63,COLUMN(WTW_Fuel_properties!$X$55)-COLUMN(WTW_Fuel_properties!$C$55)+1,FALSE)))</f>
        <v>#N/A</v>
      </c>
      <c r="CJ33" s="380" t="e">
        <f>IF(CJ$15="",NA(),
IF(CJ15=WTW_Fuel_properties!$C$64,SUMPRODUCT(CJ20:CJ25,WTW_Fuel_properties!$X$58:$X$63),
VLOOKUP(CJ$15,WTW_Fuel_properties!$C$57:$X$63,COLUMN(WTW_Fuel_properties!$X$55)-COLUMN(WTW_Fuel_properties!$C$55)+1,FALSE)))</f>
        <v>#N/A</v>
      </c>
      <c r="CK33" s="380" t="e">
        <f>IF(CK$15="",NA(),
IF(CK15=WTW_Fuel_properties!$C$64,SUMPRODUCT(CK20:CK25,WTW_Fuel_properties!$X$58:$X$63),
VLOOKUP(CK$15,WTW_Fuel_properties!$C$57:$X$63,COLUMN(WTW_Fuel_properties!$X$55)-COLUMN(WTW_Fuel_properties!$C$55)+1,FALSE)))</f>
        <v>#N/A</v>
      </c>
      <c r="CL33" s="380" t="e">
        <f>IF(CL$15="",NA(),
IF(CL15=WTW_Fuel_properties!$C$64,SUMPRODUCT(CL20:CL25,WTW_Fuel_properties!$X$58:$X$63),
VLOOKUP(CL$15,WTW_Fuel_properties!$C$57:$X$63,COLUMN(WTW_Fuel_properties!$X$55)-COLUMN(WTW_Fuel_properties!$C$55)+1,FALSE)))</f>
        <v>#N/A</v>
      </c>
      <c r="CM33" s="380">
        <f>IF(CM$15="",NA(),
IF(CM15=WTW_Fuel_properties!$C$64,SUMPRODUCT(CM20:CM25,WTW_Fuel_properties!$X$58:$X$63),
VLOOKUP(CM$15,WTW_Fuel_properties!$C$57:$X$63,COLUMN(WTW_Fuel_properties!$X$55)-COLUMN(WTW_Fuel_properties!$C$55)+1,FALSE)))</f>
        <v>114.40510338454405</v>
      </c>
      <c r="CN33" s="380" t="e">
        <f>IF(CN$15="",NA(),
IF(CN15=WTW_Fuel_properties!$C$64,SUMPRODUCT(CN20:CN25,WTW_Fuel_properties!$X$58:$X$63),
VLOOKUP(CN$15,WTW_Fuel_properties!$C$57:$X$63,COLUMN(WTW_Fuel_properties!$X$55)-COLUMN(WTW_Fuel_properties!$C$55)+1,FALSE)))</f>
        <v>#N/A</v>
      </c>
      <c r="CO33" s="380" t="e">
        <f>IF(CO$15="",NA(),
IF(CO15=WTW_Fuel_properties!$C$64,SUMPRODUCT(CO20:CO25,WTW_Fuel_properties!$X$58:$X$63),
VLOOKUP(CO$15,WTW_Fuel_properties!$C$57:$X$63,COLUMN(WTW_Fuel_properties!$X$55)-COLUMN(WTW_Fuel_properties!$C$55)+1,FALSE)))</f>
        <v>#N/A</v>
      </c>
      <c r="CP33" s="380" t="e">
        <f>IF(CP$15="",NA(),
IF(CP15=WTW_Fuel_properties!$C$64,SUMPRODUCT(CP20:CP25,WTW_Fuel_properties!$X$58:$X$63),
VLOOKUP(CP$15,WTW_Fuel_properties!$C$57:$X$63,COLUMN(WTW_Fuel_properties!$X$55)-COLUMN(WTW_Fuel_properties!$C$55)+1,FALSE)))</f>
        <v>#N/A</v>
      </c>
      <c r="CQ33" s="380" t="e">
        <f>IF(CQ$15="",NA(),
IF(CQ15=WTW_Fuel_properties!$C$64,SUMPRODUCT(CQ20:CQ25,WTW_Fuel_properties!$X$58:$X$63),
VLOOKUP(CQ$15,WTW_Fuel_properties!$C$57:$X$63,COLUMN(WTW_Fuel_properties!$X$55)-COLUMN(WTW_Fuel_properties!$C$55)+1,FALSE)))</f>
        <v>#N/A</v>
      </c>
      <c r="CR33" s="380">
        <f>IF(CR$15="",NA(),
IF(CR15=WTW_Fuel_properties!$C$64,SUMPRODUCT(CR20:CR25,WTW_Fuel_properties!$X$58:$X$63),
VLOOKUP(CR$15,WTW_Fuel_properties!$C$57:$X$63,COLUMN(WTW_Fuel_properties!$X$55)-COLUMN(WTW_Fuel_properties!$C$55)+1,FALSE)))</f>
        <v>114.40510338454405</v>
      </c>
      <c r="CS33" s="380" t="e">
        <f>IF(CS$15="",NA(),
IF(CS15=WTW_Fuel_properties!$C$64,SUMPRODUCT(CS20:CS25,WTW_Fuel_properties!$X$58:$X$63),
VLOOKUP(CS$15,WTW_Fuel_properties!$C$57:$X$63,COLUMN(WTW_Fuel_properties!$X$55)-COLUMN(WTW_Fuel_properties!$C$55)+1,FALSE)))</f>
        <v>#N/A</v>
      </c>
      <c r="CT33" s="380" t="e">
        <f>IF(CT$15="",NA(),
IF(CT15=WTW_Fuel_properties!$C$64,SUMPRODUCT(CT20:CT25,WTW_Fuel_properties!$X$58:$X$63),
VLOOKUP(CT$15,WTW_Fuel_properties!$C$57:$X$63,COLUMN(WTW_Fuel_properties!$X$55)-COLUMN(WTW_Fuel_properties!$C$55)+1,FALSE)))</f>
        <v>#N/A</v>
      </c>
      <c r="CU33" s="380" t="e">
        <f>IF(CU$15="",NA(),
IF(CU15=WTW_Fuel_properties!$C$64,SUMPRODUCT(CU20:CU25,WTW_Fuel_properties!$X$58:$X$63),
VLOOKUP(CU$15,WTW_Fuel_properties!$C$57:$X$63,COLUMN(WTW_Fuel_properties!$X$55)-COLUMN(WTW_Fuel_properties!$C$55)+1,FALSE)))</f>
        <v>#N/A</v>
      </c>
      <c r="CV33" s="380" t="e">
        <f>IF(CV$15="",NA(),
IF(CV15=WTW_Fuel_properties!$C$64,SUMPRODUCT(CV20:CV25,WTW_Fuel_properties!$X$58:$X$63),
VLOOKUP(CV$15,WTW_Fuel_properties!$C$57:$X$63,COLUMN(WTW_Fuel_properties!$X$55)-COLUMN(WTW_Fuel_properties!$C$55)+1,FALSE)))</f>
        <v>#N/A</v>
      </c>
      <c r="CW33" s="380" t="e">
        <f>IF(CW$15="",NA(),
IF(CW15=WTW_Fuel_properties!$C$64,SUMPRODUCT(CW20:CW25,WTW_Fuel_properties!$X$58:$X$63),
VLOOKUP(CW$15,WTW_Fuel_properties!$C$57:$X$63,COLUMN(WTW_Fuel_properties!$X$55)-COLUMN(WTW_Fuel_properties!$C$55)+1,FALSE)))</f>
        <v>#N/A</v>
      </c>
      <c r="CX33" s="380">
        <f>IF(CX$15="",NA(),
IF(CX15=WTW_Fuel_properties!$C$64,SUMPRODUCT(CX20:CX25,WTW_Fuel_properties!$X$58:$X$63),
VLOOKUP(CX$15,WTW_Fuel_properties!$C$57:$X$63,COLUMN(WTW_Fuel_properties!$X$55)-COLUMN(WTW_Fuel_properties!$C$55)+1,FALSE)))</f>
        <v>114.40510338454405</v>
      </c>
      <c r="CY33" s="380" t="e">
        <f>IF(CY$15="",NA(),
IF(CY15=WTW_Fuel_properties!$C$64,SUMPRODUCT(CY20:CY25,WTW_Fuel_properties!$X$58:$X$63),
VLOOKUP(CY$15,WTW_Fuel_properties!$C$57:$X$63,COLUMN(WTW_Fuel_properties!$X$55)-COLUMN(WTW_Fuel_properties!$C$55)+1,FALSE)))</f>
        <v>#N/A</v>
      </c>
      <c r="CZ33" s="380" t="e">
        <f>IF(CZ$15="",NA(),
IF(CZ15=WTW_Fuel_properties!$C$64,SUMPRODUCT(CZ20:CZ25,WTW_Fuel_properties!$X$58:$X$63),
VLOOKUP(CZ$15,WTW_Fuel_properties!$C$57:$X$63,COLUMN(WTW_Fuel_properties!$X$55)-COLUMN(WTW_Fuel_properties!$C$55)+1,FALSE)))</f>
        <v>#N/A</v>
      </c>
      <c r="DA33" s="380" t="e">
        <f>IF(DA$15="",NA(),
IF(DA15=WTW_Fuel_properties!$C$64,SUMPRODUCT(DA20:DA25,WTW_Fuel_properties!$X$58:$X$63),
VLOOKUP(DA$15,WTW_Fuel_properties!$C$57:$X$63,COLUMN(WTW_Fuel_properties!$X$55)-COLUMN(WTW_Fuel_properties!$C$55)+1,FALSE)))</f>
        <v>#N/A</v>
      </c>
      <c r="DB33" s="380" t="e">
        <f>IF(DB$15="",NA(),
IF(DB15=WTW_Fuel_properties!$C$64,SUMPRODUCT(DB20:DB25,WTW_Fuel_properties!$X$58:$X$63),
VLOOKUP(DB$15,WTW_Fuel_properties!$C$57:$X$63,COLUMN(WTW_Fuel_properties!$X$55)-COLUMN(WTW_Fuel_properties!$C$55)+1,FALSE)))</f>
        <v>#N/A</v>
      </c>
      <c r="DC33" s="380" t="e">
        <f>IF(DC$15="",NA(),
IF(DC15=WTW_Fuel_properties!$C$64,SUMPRODUCT(DC20:DC25,WTW_Fuel_properties!$X$58:$X$63),
VLOOKUP(DC$15,WTW_Fuel_properties!$C$57:$X$63,COLUMN(WTW_Fuel_properties!$X$55)-COLUMN(WTW_Fuel_properties!$C$55)+1,FALSE)))</f>
        <v>#N/A</v>
      </c>
      <c r="DD33" s="380">
        <f>IF(DD$15="",NA(),
IF(DD15=WTW_Fuel_properties!$C$64,SUMPRODUCT(DD20:DD25,WTW_Fuel_properties!$X$58:$X$63),
VLOOKUP(DD$15,WTW_Fuel_properties!$C$57:$X$63,COLUMN(WTW_Fuel_properties!$X$55)-COLUMN(WTW_Fuel_properties!$C$55)+1,FALSE)))</f>
        <v>114.40510338454405</v>
      </c>
      <c r="DE33" s="380" t="e">
        <f>IF(DE$15="",NA(),
IF(DE15=WTW_Fuel_properties!$C$64,SUMPRODUCT(DE20:DE25,WTW_Fuel_properties!$X$58:$X$63),
VLOOKUP(DE$15,WTW_Fuel_properties!$C$57:$X$63,COLUMN(WTW_Fuel_properties!$X$55)-COLUMN(WTW_Fuel_properties!$C$55)+1,FALSE)))</f>
        <v>#N/A</v>
      </c>
      <c r="DF33" s="380" t="e">
        <f>IF(DF$15="",NA(),
IF(DF15=WTW_Fuel_properties!$C$64,SUMPRODUCT(DF20:DF25,WTW_Fuel_properties!$X$58:$X$63),
VLOOKUP(DF$15,WTW_Fuel_properties!$C$57:$X$63,COLUMN(WTW_Fuel_properties!$X$55)-COLUMN(WTW_Fuel_properties!$C$55)+1,FALSE)))</f>
        <v>#N/A</v>
      </c>
      <c r="DG33" s="380"/>
      <c r="DH33" s="380" t="e">
        <f>IF(DH$15="",NA(),
IF(DH15=WTW_Fuel_properties!$C$64,SUMPRODUCT(DH20:DH25,WTW_Fuel_properties!$X$58:$X$63),
VLOOKUP(DH$15,WTW_Fuel_properties!$C$57:$X$63,COLUMN(WTW_Fuel_properties!$X$55)-COLUMN(WTW_Fuel_properties!$C$55)+1,FALSE)))</f>
        <v>#N/A</v>
      </c>
      <c r="DI33" s="380" t="e">
        <f>IF(DI$15="",NA(),
IF(DI15=WTW_Fuel_properties!$C$64,SUMPRODUCT(DI20:DI25,WTW_Fuel_properties!$X$58:$X$63),
VLOOKUP(DI$15,WTW_Fuel_properties!$C$57:$X$63,COLUMN(WTW_Fuel_properties!$X$55)-COLUMN(WTW_Fuel_properties!$C$55)+1,FALSE)))</f>
        <v>#N/A</v>
      </c>
      <c r="DJ33" s="380">
        <f>IF(DJ$15="",NA(),
IF(DJ15=WTW_Fuel_properties!$C$64,SUMPRODUCT(DJ20:DJ25,WTW_Fuel_properties!$X$58:$X$63),
VLOOKUP(DJ$15,WTW_Fuel_properties!$C$57:$X$63,COLUMN(WTW_Fuel_properties!$X$55)-COLUMN(WTW_Fuel_properties!$C$55)+1,FALSE)))</f>
        <v>114.40510338454405</v>
      </c>
      <c r="DK33" s="380" t="e">
        <f>IF(DK$15="",NA(),
IF(DK15=WTW_Fuel_properties!$C$64,SUMPRODUCT(DK20:DK25,WTW_Fuel_properties!$X$58:$X$63),
VLOOKUP(DK$15,WTW_Fuel_properties!$C$57:$X$63,COLUMN(WTW_Fuel_properties!$X$55)-COLUMN(WTW_Fuel_properties!$C$55)+1,FALSE)))</f>
        <v>#N/A</v>
      </c>
      <c r="DL33" s="380" t="e">
        <f>IF(DL$15="",NA(),
IF(DL15=WTW_Fuel_properties!$C$64,SUMPRODUCT(DL20:DL25,WTW_Fuel_properties!$X$58:$X$63),
VLOOKUP(DL$15,WTW_Fuel_properties!$C$57:$X$63,COLUMN(WTW_Fuel_properties!$X$55)-COLUMN(WTW_Fuel_properties!$C$55)+1,FALSE)))</f>
        <v>#N/A</v>
      </c>
      <c r="DM33" s="380" t="e">
        <f>IF(DM$15="",NA(),
IF(DM15=WTW_Fuel_properties!$C$64,SUMPRODUCT(DM20:DM25,WTW_Fuel_properties!$X$58:$X$63),
VLOOKUP(DM$15,WTW_Fuel_properties!$C$57:$X$63,COLUMN(WTW_Fuel_properties!$X$55)-COLUMN(WTW_Fuel_properties!$C$55)+1,FALSE)))</f>
        <v>#N/A</v>
      </c>
      <c r="DN33" s="380" t="e">
        <f>IF(DN$15="",NA(),
IF(DN15=WTW_Fuel_properties!$C$64,SUMPRODUCT(DN20:DN25,WTW_Fuel_properties!$X$58:$X$63),
VLOOKUP(DN$15,WTW_Fuel_properties!$C$57:$X$63,COLUMN(WTW_Fuel_properties!$X$55)-COLUMN(WTW_Fuel_properties!$C$55)+1,FALSE)))</f>
        <v>#N/A</v>
      </c>
      <c r="DO33" s="380" t="e">
        <f>IF(DO$15="",NA(),
IF(DO15=WTW_Fuel_properties!$C$64,SUMPRODUCT(DO20:DO25,WTW_Fuel_properties!$X$58:$X$63),
VLOOKUP(DO$15,WTW_Fuel_properties!$C$57:$X$63,COLUMN(WTW_Fuel_properties!$X$55)-COLUMN(WTW_Fuel_properties!$C$55)+1,FALSE)))</f>
        <v>#N/A</v>
      </c>
      <c r="DP33" s="380" t="e">
        <f>IF(DP$15="",NA(),
IF(DP15=WTW_Fuel_properties!$C$64,SUMPRODUCT(DP20:DP25,WTW_Fuel_properties!$X$58:$X$63),
VLOOKUP(DP$15,WTW_Fuel_properties!$C$57:$X$63,COLUMN(WTW_Fuel_properties!$X$55)-COLUMN(WTW_Fuel_properties!$C$55)+1,FALSE)))</f>
        <v>#N/A</v>
      </c>
      <c r="DQ33" s="380" t="e">
        <f>IF(DQ$15="",NA(),
IF(DQ15=WTW_Fuel_properties!$C$64,SUMPRODUCT(DQ20:DQ25,WTW_Fuel_properties!$X$58:$X$63),
VLOOKUP(DQ$15,WTW_Fuel_properties!$C$57:$X$63,COLUMN(WTW_Fuel_properties!$X$55)-COLUMN(WTW_Fuel_properties!$C$55)+1,FALSE)))</f>
        <v>#N/A</v>
      </c>
      <c r="DR33" s="380" t="e">
        <f>IF(DR$15="",NA(),
IF(DR15=WTW_Fuel_properties!$C$64,SUMPRODUCT(DR20:DR25,WTW_Fuel_properties!$X$58:$X$63),
VLOOKUP(DR$15,WTW_Fuel_properties!$C$57:$X$63,COLUMN(WTW_Fuel_properties!$X$55)-COLUMN(WTW_Fuel_properties!$C$55)+1,FALSE)))</f>
        <v>#N/A</v>
      </c>
      <c r="DS33" s="380" t="e">
        <f>IF(DS$15="",NA(),
IF(DS15=WTW_Fuel_properties!$C$64,SUMPRODUCT(DS20:DS25,WTW_Fuel_properties!$X$58:$X$63),
VLOOKUP(DS$15,WTW_Fuel_properties!$C$57:$X$63,COLUMN(WTW_Fuel_properties!$X$55)-COLUMN(WTW_Fuel_properties!$C$55)+1,FALSE)))</f>
        <v>#N/A</v>
      </c>
      <c r="DT33" s="380" t="e">
        <f>IF(DT$15="",NA(),
IF(DT15=WTW_Fuel_properties!$C$64,SUMPRODUCT(DT20:DT25,WTW_Fuel_properties!$X$58:$X$63),
VLOOKUP(DT$15,WTW_Fuel_properties!$C$57:$X$63,COLUMN(WTW_Fuel_properties!$X$55)-COLUMN(WTW_Fuel_properties!$C$55)+1,FALSE)))</f>
        <v>#N/A</v>
      </c>
      <c r="DU33" s="380" t="e">
        <f>IF(DU$15="",NA(),
IF(DU15=WTW_Fuel_properties!$C$64,SUMPRODUCT(DU20:DU25,WTW_Fuel_properties!$X$58:$X$63),
VLOOKUP(DU$15,WTW_Fuel_properties!$C$57:$X$63,COLUMN(WTW_Fuel_properties!$X$55)-COLUMN(WTW_Fuel_properties!$C$55)+1,FALSE)))</f>
        <v>#N/A</v>
      </c>
      <c r="DV33" s="380">
        <f>IF(DV$15="",NA(),
IF(DV15=WTW_Fuel_properties!$C$64,SUMPRODUCT(DV20:DV25,WTW_Fuel_properties!$X$58:$X$63),
VLOOKUP(DV$15,WTW_Fuel_properties!$C$57:$X$63,COLUMN(WTW_Fuel_properties!$X$55)-COLUMN(WTW_Fuel_properties!$C$55)+1,FALSE)))</f>
        <v>1.1577835800679008</v>
      </c>
      <c r="DW33" s="380">
        <f>IF(DW$15="",NA(),
IF(DW15=WTW_Fuel_properties!$C$64,SUMPRODUCT(DW20:DW25,WTW_Fuel_properties!$X$58:$X$63),
VLOOKUP(DW$15,WTW_Fuel_properties!$C$57:$X$63,COLUMN(WTW_Fuel_properties!$X$55)-COLUMN(WTW_Fuel_properties!$C$55)+1,FALSE)))</f>
        <v>114.40510338454405</v>
      </c>
      <c r="DX33" s="380" t="e">
        <f>IF(DX$15="",NA(),
IF(DX15=WTW_Fuel_properties!$C$64,SUMPRODUCT(DX20:DX25,WTW_Fuel_properties!$X$58:$X$63),
VLOOKUP(DX$15,WTW_Fuel_properties!$C$57:$X$63,COLUMN(WTW_Fuel_properties!$X$55)-COLUMN(WTW_Fuel_properties!$C$55)+1,FALSE)))</f>
        <v>#N/A</v>
      </c>
      <c r="DY33" s="380" t="e">
        <f>IF(DY$15="",NA(),
IF(DY15=WTW_Fuel_properties!$C$64,SUMPRODUCT(DY20:DY25,WTW_Fuel_properties!$X$58:$X$63),
VLOOKUP(DY$15,WTW_Fuel_properties!$C$57:$X$63,COLUMN(WTW_Fuel_properties!$X$55)-COLUMN(WTW_Fuel_properties!$C$55)+1,FALSE)))</f>
        <v>#N/A</v>
      </c>
      <c r="DZ33" s="380" t="e">
        <f>IF(DZ$15="",NA(),
IF(DZ15=WTW_Fuel_properties!$C$64,SUMPRODUCT(DZ20:DZ25,WTW_Fuel_properties!$X$58:$X$63),
VLOOKUP(DZ$15,WTW_Fuel_properties!$C$57:$X$63,COLUMN(WTW_Fuel_properties!$X$55)-COLUMN(WTW_Fuel_properties!$C$55)+1,FALSE)))</f>
        <v>#N/A</v>
      </c>
      <c r="EA33" s="380" t="e">
        <f>IF(EA$15="",NA(),
IF(EA15=WTW_Fuel_properties!$C$64,SUMPRODUCT(EA20:EA25,WTW_Fuel_properties!$X$58:$X$63),
VLOOKUP(EA$15,WTW_Fuel_properties!$C$57:$X$63,COLUMN(WTW_Fuel_properties!$X$55)-COLUMN(WTW_Fuel_properties!$C$55)+1,FALSE)))</f>
        <v>#N/A</v>
      </c>
      <c r="EB33" s="380" t="e">
        <f>IF(EB$15="",NA(),
IF(EB15=WTW_Fuel_properties!$C$64,SUMPRODUCT(EB20:EB25,WTW_Fuel_properties!$X$58:$X$63),
VLOOKUP(EB$15,WTW_Fuel_properties!$C$57:$X$63,COLUMN(WTW_Fuel_properties!$X$55)-COLUMN(WTW_Fuel_properties!$C$55)+1,FALSE)))</f>
        <v>#N/A</v>
      </c>
      <c r="EC33" s="380" t="e">
        <f>IF(EC$15="",NA(),
IF(EC15=WTW_Fuel_properties!$C$64,SUMPRODUCT(EC20:EC25,WTW_Fuel_properties!$X$58:$X$63),
VLOOKUP(EC$15,WTW_Fuel_properties!$C$57:$X$63,COLUMN(WTW_Fuel_properties!$X$55)-COLUMN(WTW_Fuel_properties!$C$55)+1,FALSE)))</f>
        <v>#N/A</v>
      </c>
      <c r="ED33" s="380" t="e">
        <f>IF(ED$15="",NA(),
IF(ED15=WTW_Fuel_properties!$C$64,SUMPRODUCT(ED20:ED25,WTW_Fuel_properties!$X$58:$X$63),
VLOOKUP(ED$15,WTW_Fuel_properties!$C$57:$X$63,COLUMN(WTW_Fuel_properties!$X$55)-COLUMN(WTW_Fuel_properties!$C$55)+1,FALSE)))</f>
        <v>#N/A</v>
      </c>
    </row>
    <row r="35" spans="1:134" x14ac:dyDescent="0.3">
      <c r="A35" s="21" t="s">
        <v>326</v>
      </c>
      <c r="B35" s="21" t="s">
        <v>390</v>
      </c>
      <c r="C35" s="21" t="s">
        <v>847</v>
      </c>
      <c r="D35" s="90">
        <f>D3*Convert!$C$17/100</f>
        <v>0</v>
      </c>
      <c r="E35" s="90">
        <f>E3*Convert!$C$17/100</f>
        <v>0</v>
      </c>
      <c r="F35" s="90">
        <f>F3*Convert!$C$17/100</f>
        <v>0</v>
      </c>
      <c r="G35" s="90">
        <f>G3*Convert!$C$17/100</f>
        <v>0</v>
      </c>
      <c r="H35" s="90">
        <f>H3*Convert!$C$17/100</f>
        <v>0</v>
      </c>
      <c r="I35" s="90">
        <f>I3*Convert!$C$17/100</f>
        <v>0</v>
      </c>
      <c r="J35" s="90">
        <f>J3*Convert!$C$17/100</f>
        <v>0</v>
      </c>
      <c r="K35" s="90">
        <f>K3*Convert!$C$17/100</f>
        <v>0</v>
      </c>
      <c r="L35" s="90">
        <f>L3*Convert!$C$17/100</f>
        <v>0</v>
      </c>
      <c r="M35" s="90">
        <f>M3*Convert!$C$17/100</f>
        <v>0</v>
      </c>
      <c r="N35" s="90">
        <f>N3*Convert!$C$17/100</f>
        <v>0</v>
      </c>
      <c r="O35" s="90">
        <f>O3*Convert!$C$17/100</f>
        <v>0</v>
      </c>
      <c r="P35" s="90">
        <f>P3*Convert!$C$17/100</f>
        <v>0</v>
      </c>
      <c r="Q35" s="90">
        <f>Q3*Convert!$C$17/100</f>
        <v>0</v>
      </c>
      <c r="R35" s="90">
        <f>R3*Convert!$C$17/100</f>
        <v>0</v>
      </c>
      <c r="S35" s="90">
        <f>S3*Convert!$C$17/100</f>
        <v>0</v>
      </c>
      <c r="T35" s="90">
        <f>T3*Convert!$C$17/100</f>
        <v>0</v>
      </c>
      <c r="U35" s="90">
        <f>U3*Convert!$C$17/100</f>
        <v>0</v>
      </c>
      <c r="V35" s="90">
        <f>V3*Convert!$C$17/100</f>
        <v>0</v>
      </c>
      <c r="W35" s="90">
        <f>W3*Convert!$C$17/100</f>
        <v>0</v>
      </c>
      <c r="X35" s="90">
        <f>X3*Convert!$C$17/100</f>
        <v>0</v>
      </c>
      <c r="Y35" s="90">
        <f>Y3*Convert!$C$17/100</f>
        <v>0</v>
      </c>
      <c r="Z35" s="90">
        <f>Z3*Convert!$C$17/100</f>
        <v>0</v>
      </c>
      <c r="AA35" s="90">
        <f>AA3*Convert!$C$17/100</f>
        <v>0</v>
      </c>
      <c r="AB35" s="90">
        <f>AB3*Convert!$C$17/100</f>
        <v>0</v>
      </c>
      <c r="AC35" s="90">
        <f>AC3*Convert!$C$17/100</f>
        <v>0</v>
      </c>
      <c r="AD35" s="90">
        <f>AD3*Convert!$C$17/100</f>
        <v>0</v>
      </c>
      <c r="AE35" s="90">
        <f>AE3*Convert!$C$17/100</f>
        <v>0</v>
      </c>
      <c r="AF35" s="90">
        <f>AF3*Convert!$C$17/100</f>
        <v>0</v>
      </c>
      <c r="AG35" s="90">
        <f>AG3*Convert!$C$17/100</f>
        <v>0</v>
      </c>
      <c r="AH35" s="90">
        <f>AH3*Convert!$C$17/100</f>
        <v>0</v>
      </c>
      <c r="AI35" s="90">
        <f>AI3*Convert!$C$17/100</f>
        <v>0</v>
      </c>
      <c r="AJ35" s="90">
        <f>AJ3*Convert!$C$17/100</f>
        <v>0</v>
      </c>
      <c r="AK35" s="90">
        <f>AK3*Convert!$C$17/100</f>
        <v>0.64935064935064946</v>
      </c>
      <c r="AL35" s="90">
        <f>AL3*Convert!$C$17/100</f>
        <v>0</v>
      </c>
      <c r="AM35" s="90">
        <f>AM3*Convert!$C$17/100</f>
        <v>0.64935064935064946</v>
      </c>
      <c r="AN35" s="90">
        <f>AN3*Convert!$C$17/100</f>
        <v>0</v>
      </c>
      <c r="AO35" s="90">
        <f>AO3*Convert!$C$17/100</f>
        <v>2.2771840000000001</v>
      </c>
      <c r="AP35" s="90">
        <f>AP3*Convert!$C$17/100</f>
        <v>1.6962697142857146</v>
      </c>
      <c r="AQ35" s="90">
        <f>AQ3*Convert!$C$17/100</f>
        <v>1.6962697142857146</v>
      </c>
      <c r="AR35" s="90">
        <f>AR3*Convert!$C$17/100</f>
        <v>0</v>
      </c>
      <c r="AS35" s="90">
        <f>AS3*Convert!$C$17/100</f>
        <v>0</v>
      </c>
      <c r="AT35" s="90">
        <f>AT3*Convert!$C$17/100</f>
        <v>0</v>
      </c>
      <c r="AU35" s="90">
        <f>AU3*Convert!$C$17/100</f>
        <v>0</v>
      </c>
      <c r="AV35" s="90">
        <f>AV3*Convert!$C$17/100</f>
        <v>0</v>
      </c>
      <c r="AW35" s="90">
        <f>AW3*Convert!$C$17/100</f>
        <v>0</v>
      </c>
      <c r="AX35" s="90">
        <f>AX3*Convert!$C$17/100</f>
        <v>0</v>
      </c>
      <c r="AY35" s="90">
        <f>AY3*Convert!$C$17/100</f>
        <v>0</v>
      </c>
      <c r="AZ35" s="90">
        <f>AZ3*Convert!$C$17/100</f>
        <v>0</v>
      </c>
      <c r="BA35" s="90">
        <f>BA3*Convert!$C$17/100</f>
        <v>0</v>
      </c>
      <c r="BB35" s="90">
        <f>BB3*Convert!$C$17/100</f>
        <v>0</v>
      </c>
      <c r="BC35" s="90">
        <f>BC3*Convert!$C$17/100</f>
        <v>2.2771840000000001</v>
      </c>
      <c r="BD35" s="90">
        <f>BD3*Convert!$C$17/100</f>
        <v>2.2771840000000001</v>
      </c>
      <c r="BE35" s="90">
        <f>BE3*Convert!$C$17/100</f>
        <v>2.2771840000000001</v>
      </c>
      <c r="BF35" s="90">
        <f>BF3*Convert!$C$17/100</f>
        <v>2.2771840000000001</v>
      </c>
      <c r="BG35" s="90">
        <f>BG3*Convert!$C$17/100</f>
        <v>2.2771840000000001</v>
      </c>
      <c r="BH35" s="90">
        <f>BH3*Convert!$C$17/100</f>
        <v>2.2771840000000001</v>
      </c>
      <c r="BI35" s="90">
        <f>BI3*Convert!$C$17/100</f>
        <v>2.2771840000000001</v>
      </c>
      <c r="BJ35" s="90">
        <f>BJ3*Convert!$C$17/100</f>
        <v>1.6962697142857146</v>
      </c>
      <c r="BK35" s="90">
        <f>BK3*Convert!$C$17/100</f>
        <v>1.6962697142857146</v>
      </c>
      <c r="BL35" s="90">
        <f>BL3*Convert!$C$17/100</f>
        <v>0</v>
      </c>
      <c r="BM35" s="90">
        <f>BM3*Convert!$C$17/100</f>
        <v>0</v>
      </c>
      <c r="BN35" s="90">
        <f>BN3*Convert!$C$17/100</f>
        <v>0</v>
      </c>
      <c r="BO35" s="90">
        <f>BO3*Convert!$C$17/100</f>
        <v>0</v>
      </c>
      <c r="BP35" s="90">
        <f>BP3*Convert!$C$17/100</f>
        <v>0</v>
      </c>
      <c r="BQ35" s="90">
        <f>BQ3*Convert!$C$17/100</f>
        <v>0</v>
      </c>
      <c r="BR35" s="90">
        <f>BR3*Convert!$C$17/100</f>
        <v>0</v>
      </c>
      <c r="BS35" s="90">
        <f>BS3*Convert!$C$17/100</f>
        <v>0</v>
      </c>
      <c r="BT35" s="90">
        <f>BT3*Convert!$C$17/100</f>
        <v>0</v>
      </c>
      <c r="BU35" s="90">
        <f>BU3*Convert!$C$17/100</f>
        <v>0</v>
      </c>
      <c r="BV35" s="90">
        <f>BV3*Convert!$C$17/100</f>
        <v>0</v>
      </c>
      <c r="BW35" s="90">
        <f>BW3*Convert!$C$17/100</f>
        <v>0</v>
      </c>
      <c r="BX35" s="90">
        <f>BX3*Convert!$C$17/100</f>
        <v>0</v>
      </c>
      <c r="BY35" s="90">
        <f>BY3*Convert!$C$17/100</f>
        <v>0</v>
      </c>
      <c r="BZ35" s="90">
        <f>BZ3*Convert!$C$17/100</f>
        <v>0</v>
      </c>
      <c r="CA35" s="90">
        <f>CA3*Convert!$C$17/100</f>
        <v>0</v>
      </c>
      <c r="CB35" s="90">
        <f>CB3*Convert!$C$17/100</f>
        <v>0</v>
      </c>
      <c r="CC35" s="90">
        <f>CC3*Convert!$C$17/100</f>
        <v>0</v>
      </c>
      <c r="CD35" s="90">
        <f>CD3*Convert!$C$17/100</f>
        <v>0</v>
      </c>
      <c r="CE35" s="90">
        <f>CE3*Convert!$C$17/100</f>
        <v>0</v>
      </c>
      <c r="CF35" s="90">
        <f>CF3*Convert!$C$17/100</f>
        <v>0</v>
      </c>
      <c r="CG35" s="90">
        <f>CG3*Convert!$C$17/100</f>
        <v>0</v>
      </c>
      <c r="CH35" s="90">
        <f>CH3*Convert!$C$17/100</f>
        <v>2.2771840000000001</v>
      </c>
      <c r="CI35" s="90">
        <f>CI3*Convert!$C$17/100</f>
        <v>1.6962697142857146</v>
      </c>
      <c r="CJ35" s="90">
        <f>CJ3*Convert!$C$17/100</f>
        <v>1.6962697142857146</v>
      </c>
      <c r="CK35" s="90">
        <f>CK3*Convert!$C$17/100</f>
        <v>0</v>
      </c>
      <c r="CL35" s="90">
        <f>CL3*Convert!$C$17/100</f>
        <v>0</v>
      </c>
      <c r="CM35" s="90">
        <f>CM3*Convert!$C$17/100</f>
        <v>0</v>
      </c>
      <c r="CN35" s="90">
        <f>CN3*Convert!$C$17/100</f>
        <v>2.9636879999999994</v>
      </c>
      <c r="CO35" s="90">
        <f>CO3*Convert!$C$17/100</f>
        <v>2.1816949356984479</v>
      </c>
      <c r="CP35" s="90">
        <f>CP3*Convert!$C$17/100</f>
        <v>2.1816949356984479</v>
      </c>
      <c r="CQ35" s="90">
        <f>CQ3*Convert!$C$17/100</f>
        <v>0</v>
      </c>
      <c r="CR35" s="90">
        <f>CR3*Convert!$C$17/100</f>
        <v>0</v>
      </c>
      <c r="CS35" s="90">
        <f>CS3*Convert!$C$17/100</f>
        <v>2.9636879999999994</v>
      </c>
      <c r="CT35" s="90">
        <f>CT3*Convert!$C$17/100</f>
        <v>2.1816949356984479</v>
      </c>
      <c r="CU35" s="90">
        <f>CU3*Convert!$C$17/100</f>
        <v>2.1816949356984479</v>
      </c>
      <c r="CV35" s="90">
        <f>CV3*Convert!$C$17/100</f>
        <v>0</v>
      </c>
      <c r="CW35" s="90">
        <f>CW3*Convert!$C$17/100</f>
        <v>0</v>
      </c>
      <c r="CX35" s="90">
        <f>CX3*Convert!$C$17/100</f>
        <v>0</v>
      </c>
      <c r="CY35" s="90">
        <f>CY3*Convert!$C$17/100</f>
        <v>2.9636879999999994</v>
      </c>
      <c r="CZ35" s="90">
        <f>CZ3*Convert!$C$17/100</f>
        <v>2.1816949356984479</v>
      </c>
      <c r="DA35" s="90">
        <f>DA3*Convert!$C$17/100</f>
        <v>2.1816949356984479</v>
      </c>
      <c r="DB35" s="90">
        <f>DB3*Convert!$C$17/100</f>
        <v>0</v>
      </c>
      <c r="DC35" s="90">
        <f>DC3*Convert!$C$17/100</f>
        <v>0</v>
      </c>
      <c r="DD35" s="90">
        <f>DD3*Convert!$C$17/100</f>
        <v>0</v>
      </c>
      <c r="DE35" s="90">
        <f>DE3*Convert!$C$17/100</f>
        <v>5.0568402648975104</v>
      </c>
      <c r="DF35" s="90">
        <f>DF3*Convert!$C$17/100</f>
        <v>3.7225520353569261</v>
      </c>
      <c r="DG35" s="90"/>
      <c r="DH35" s="90">
        <f>DH3*Convert!$C$17/100</f>
        <v>0</v>
      </c>
      <c r="DI35" s="90">
        <f>DI3*Convert!$C$17/100</f>
        <v>0</v>
      </c>
      <c r="DJ35" s="90">
        <f>DJ3*Convert!$C$17/100</f>
        <v>0</v>
      </c>
      <c r="DK35" s="90">
        <f>DK3*Convert!$C$17/100</f>
        <v>13.707445499999997</v>
      </c>
      <c r="DL35" s="90">
        <f>DL3*Convert!$C$17/100</f>
        <v>13.707445499999997</v>
      </c>
      <c r="DM35" s="90">
        <f>DM3*Convert!$C$17/100</f>
        <v>12.336700949999997</v>
      </c>
      <c r="DN35" s="90">
        <f>DN3*Convert!$C$17/100</f>
        <v>13.707445499999997</v>
      </c>
      <c r="DO35" s="90">
        <f>DO3*Convert!$C$17/100</f>
        <v>13.707445499999997</v>
      </c>
      <c r="DP35" s="90">
        <f>DP3*Convert!$C$17/100</f>
        <v>13.707445499999997</v>
      </c>
      <c r="DQ35" s="90">
        <f>DQ3*Convert!$C$17/100</f>
        <v>13.707445499999997</v>
      </c>
      <c r="DR35" s="90">
        <f>DR3*Convert!$C$17/100</f>
        <v>10.090625068736141</v>
      </c>
      <c r="DS35" s="90">
        <f>DS3*Convert!$C$17/100</f>
        <v>0</v>
      </c>
      <c r="DT35" s="90">
        <f>DT3*Convert!$C$17/100</f>
        <v>0</v>
      </c>
      <c r="DU35" s="90">
        <f>DU3*Convert!$C$17/100</f>
        <v>0</v>
      </c>
      <c r="DV35" s="90">
        <f>DV3*Convert!$C$17/100</f>
        <v>0</v>
      </c>
      <c r="DW35" s="90">
        <f>DW3*Convert!$C$17/100</f>
        <v>0</v>
      </c>
      <c r="DX35" s="90">
        <f>DX3*Convert!$C$17/100</f>
        <v>0</v>
      </c>
      <c r="DY35" s="90">
        <f>DY3*Convert!$C$17/100</f>
        <v>0</v>
      </c>
      <c r="DZ35" s="90">
        <f>DZ3*Convert!$C$17/100</f>
        <v>0</v>
      </c>
      <c r="EA35" s="90">
        <f>EA3*Convert!$C$17/100</f>
        <v>0</v>
      </c>
      <c r="EB35" s="90">
        <f>EB3*Convert!$C$17/100</f>
        <v>0</v>
      </c>
      <c r="EC35" s="90">
        <f>EC3*Convert!$C$17/100</f>
        <v>0</v>
      </c>
      <c r="ED35" s="90">
        <f>ED3*Convert!$C$17/100</f>
        <v>0</v>
      </c>
    </row>
    <row r="36" spans="1:134" x14ac:dyDescent="0.3">
      <c r="A36" s="21" t="s">
        <v>327</v>
      </c>
      <c r="B36" s="21" t="s">
        <v>390</v>
      </c>
      <c r="C36" s="21" t="s">
        <v>847</v>
      </c>
      <c r="D36" s="164">
        <f>D4*Convert!$B$12</f>
        <v>3.9600000000000003E-2</v>
      </c>
      <c r="E36" s="164">
        <f>E4*Convert!$B$12</f>
        <v>2.2275000000000003E-2</v>
      </c>
      <c r="F36" s="164">
        <f>F4*Convert!$B$12</f>
        <v>2.2275000000000003E-2</v>
      </c>
      <c r="G36" s="164">
        <f>G4*Convert!$B$12</f>
        <v>2.2275000000000003E-2</v>
      </c>
      <c r="H36" s="164">
        <f>H4*Convert!$B$12</f>
        <v>2.2275000000000003E-2</v>
      </c>
      <c r="I36" s="164">
        <f>I4*Convert!$B$12</f>
        <v>2.9700000000000001E-2</v>
      </c>
      <c r="J36" s="164">
        <f>J4*Convert!$B$12</f>
        <v>2.9700000000000001E-2</v>
      </c>
      <c r="K36" s="164">
        <f>K4*Convert!$B$12</f>
        <v>2.2275000000000003E-2</v>
      </c>
      <c r="L36" s="164">
        <f>L4*Convert!$B$12</f>
        <v>2.9700000000000001E-2</v>
      </c>
      <c r="M36" s="164">
        <f>M4*Convert!$B$12</f>
        <v>2.9700000000000001E-2</v>
      </c>
      <c r="N36" s="164">
        <f>N4*Convert!$B$12</f>
        <v>2.9700000000000001E-2</v>
      </c>
      <c r="O36" s="164">
        <f>O4*Convert!$B$12</f>
        <v>2.9700000000000001E-2</v>
      </c>
      <c r="P36" s="164">
        <f>P4*Convert!$B$12</f>
        <v>2.9700000000000001E-2</v>
      </c>
      <c r="Q36" s="164">
        <f>Q4*Convert!$B$12</f>
        <v>3.9600000000000003E-2</v>
      </c>
      <c r="R36" s="164">
        <f>R4*Convert!$B$12</f>
        <v>3.9600000000000003E-2</v>
      </c>
      <c r="S36" s="164">
        <f>S4*Convert!$B$12</f>
        <v>3.9600000000000003E-2</v>
      </c>
      <c r="T36" s="164">
        <f>T4*Convert!$B$12</f>
        <v>3.9600000000000003E-2</v>
      </c>
      <c r="U36" s="164">
        <f>U4*Convert!$B$12</f>
        <v>3.9600000000000003E-2</v>
      </c>
      <c r="V36" s="164">
        <f>V4*Convert!$B$12</f>
        <v>3.9600000000000003E-2</v>
      </c>
      <c r="W36" s="164">
        <f>W4*Convert!$B$12</f>
        <v>3.9600000000000003E-2</v>
      </c>
      <c r="X36" s="164">
        <f>X4*Convert!$B$12</f>
        <v>4.2839999999999996E-2</v>
      </c>
      <c r="Y36" s="164">
        <f>Y4*Convert!$B$12</f>
        <v>4.2839999999999996E-2</v>
      </c>
      <c r="Z36" s="164">
        <f>Z4*Convert!$B$12</f>
        <v>4.2839999999999996E-2</v>
      </c>
      <c r="AA36" s="164">
        <f>AA4*Convert!$B$12</f>
        <v>4.2839999999999996E-2</v>
      </c>
      <c r="AB36" s="164">
        <f>AB4*Convert!$B$12</f>
        <v>4.2839999999999996E-2</v>
      </c>
      <c r="AC36" s="164">
        <f>AC4*Convert!$B$12</f>
        <v>4.2839999999999996E-2</v>
      </c>
      <c r="AD36" s="164">
        <f>AD4*Convert!$B$12</f>
        <v>4.2839999999999996E-2</v>
      </c>
      <c r="AE36" s="164">
        <f>AE4*Convert!$B$12</f>
        <v>4.2839999999999996E-2</v>
      </c>
      <c r="AF36" s="164">
        <f>AF4*Convert!$B$12</f>
        <v>3.9600000000000003E-2</v>
      </c>
      <c r="AG36" s="164">
        <f>AG4*Convert!$B$12</f>
        <v>0</v>
      </c>
      <c r="AH36" s="164">
        <f>AH4*Convert!$B$12</f>
        <v>7.5600000000000001E-2</v>
      </c>
      <c r="AI36" s="164">
        <f>AI4*Convert!$B$12</f>
        <v>0</v>
      </c>
      <c r="AJ36" s="164">
        <f>AJ4*Convert!$B$12</f>
        <v>7.5600000000000001E-2</v>
      </c>
      <c r="AK36" s="164">
        <f>AK4*Convert!$B$12</f>
        <v>0</v>
      </c>
      <c r="AL36" s="164">
        <f>AL4*Convert!$B$12</f>
        <v>0.12605042016806728</v>
      </c>
      <c r="AM36" s="164">
        <f>AM4*Convert!$B$12</f>
        <v>0</v>
      </c>
      <c r="AN36" s="164">
        <f>AN4*Convert!$B$12</f>
        <v>0.12605042016806728</v>
      </c>
      <c r="AO36" s="164">
        <f>AO4*Convert!$B$12</f>
        <v>0</v>
      </c>
      <c r="AP36" s="164">
        <f>AP4*Convert!$B$12</f>
        <v>0</v>
      </c>
      <c r="AQ36" s="164">
        <f>AQ4*Convert!$B$12</f>
        <v>0.68524649142857141</v>
      </c>
      <c r="AR36" s="164">
        <f>AR4*Convert!$B$12</f>
        <v>0.68524649142857141</v>
      </c>
      <c r="AS36" s="164">
        <f>AS4*Convert!$B$12</f>
        <v>0.68524649142857141</v>
      </c>
      <c r="AT36" s="164">
        <f>AT4*Convert!$B$12</f>
        <v>0.68524649142857141</v>
      </c>
      <c r="AU36" s="164">
        <f>AU4*Convert!$B$12</f>
        <v>0.68524649142857141</v>
      </c>
      <c r="AV36" s="164">
        <f>AV4*Convert!$B$12</f>
        <v>0.68524649142857141</v>
      </c>
      <c r="AW36" s="164">
        <f>AW4*Convert!$B$12</f>
        <v>0.68524649142857141</v>
      </c>
      <c r="AX36" s="164">
        <f>AX4*Convert!$B$12</f>
        <v>0.68524649142857141</v>
      </c>
      <c r="AY36" s="164">
        <f>AY4*Convert!$B$12</f>
        <v>0</v>
      </c>
      <c r="AZ36" s="164">
        <f>AZ4*Convert!$B$12</f>
        <v>0</v>
      </c>
      <c r="BA36" s="164">
        <f>BA4*Convert!$B$12</f>
        <v>0</v>
      </c>
      <c r="BB36" s="164">
        <f>BB4*Convert!$B$12</f>
        <v>0</v>
      </c>
      <c r="BC36" s="164">
        <f>BC4*Convert!$B$12</f>
        <v>0</v>
      </c>
      <c r="BD36" s="164">
        <f>BD4*Convert!$B$12</f>
        <v>0</v>
      </c>
      <c r="BE36" s="164">
        <f>BE4*Convert!$B$12</f>
        <v>0</v>
      </c>
      <c r="BF36" s="164">
        <f>BF4*Convert!$B$12</f>
        <v>0</v>
      </c>
      <c r="BG36" s="164">
        <f>BG4*Convert!$B$12</f>
        <v>0</v>
      </c>
      <c r="BH36" s="164">
        <f>BH4*Convert!$B$12</f>
        <v>0</v>
      </c>
      <c r="BI36" s="164">
        <f>BI4*Convert!$B$12</f>
        <v>0</v>
      </c>
      <c r="BJ36" s="164">
        <f>BJ4*Convert!$B$12</f>
        <v>0</v>
      </c>
      <c r="BK36" s="164">
        <f>BK4*Convert!$B$12</f>
        <v>0.68524649142857141</v>
      </c>
      <c r="BL36" s="164">
        <f>BL4*Convert!$B$12</f>
        <v>0.68524649142857141</v>
      </c>
      <c r="BM36" s="164">
        <f>BM4*Convert!$B$12</f>
        <v>0.68524649142857141</v>
      </c>
      <c r="BN36" s="164">
        <f>BN4*Convert!$B$12</f>
        <v>0.68524649142857141</v>
      </c>
      <c r="BO36" s="164">
        <f>BO4*Convert!$B$12</f>
        <v>0.68524649142857141</v>
      </c>
      <c r="BP36" s="164">
        <f>BP4*Convert!$B$12</f>
        <v>0.68524649142857141</v>
      </c>
      <c r="BQ36" s="164">
        <f>BQ4*Convert!$B$12</f>
        <v>0.68524649142857141</v>
      </c>
      <c r="BR36" s="164">
        <f>BR4*Convert!$B$12</f>
        <v>0.68524649142857141</v>
      </c>
      <c r="BS36" s="164">
        <f>BS4*Convert!$B$12</f>
        <v>0.68524649142857141</v>
      </c>
      <c r="BT36" s="164">
        <f>BT4*Convert!$B$12</f>
        <v>0.68524649142857141</v>
      </c>
      <c r="BU36" s="164">
        <f>BU4*Convert!$B$12</f>
        <v>0.68524649142857141</v>
      </c>
      <c r="BV36" s="164">
        <f>BV4*Convert!$B$12</f>
        <v>0.68524649142857141</v>
      </c>
      <c r="BW36" s="164">
        <f>BW4*Convert!$B$12</f>
        <v>0.68524649142857141</v>
      </c>
      <c r="BX36" s="164">
        <f>BX4*Convert!$B$12</f>
        <v>0.68524649142857141</v>
      </c>
      <c r="BY36" s="164">
        <f>BY4*Convert!$B$12</f>
        <v>0.68524649142857141</v>
      </c>
      <c r="BZ36" s="164">
        <f>BZ4*Convert!$B$12</f>
        <v>0.68524649142857141</v>
      </c>
      <c r="CA36" s="164">
        <f>CA4*Convert!$B$12</f>
        <v>0.68524649142857141</v>
      </c>
      <c r="CB36" s="164">
        <f>CB4*Convert!$B$12</f>
        <v>0.68524649142857141</v>
      </c>
      <c r="CC36" s="164">
        <f>CC4*Convert!$B$12</f>
        <v>0.68524649142857141</v>
      </c>
      <c r="CD36" s="164">
        <f>CD4*Convert!$B$12</f>
        <v>0</v>
      </c>
      <c r="CE36" s="164">
        <f>CE4*Convert!$B$12</f>
        <v>0</v>
      </c>
      <c r="CF36" s="164">
        <f>CF4*Convert!$B$12</f>
        <v>0</v>
      </c>
      <c r="CG36" s="164">
        <f>CG4*Convert!$B$12</f>
        <v>0</v>
      </c>
      <c r="CH36" s="164">
        <f>CH4*Convert!$B$12</f>
        <v>0</v>
      </c>
      <c r="CI36" s="164">
        <f>CI4*Convert!$B$12</f>
        <v>0</v>
      </c>
      <c r="CJ36" s="164">
        <f>CJ4*Convert!$B$12</f>
        <v>0.68524649142857141</v>
      </c>
      <c r="CK36" s="164">
        <f>CK4*Convert!$B$12</f>
        <v>0.68524649142857141</v>
      </c>
      <c r="CL36" s="164">
        <f>CL4*Convert!$B$12</f>
        <v>0.68524649142857141</v>
      </c>
      <c r="CM36" s="164">
        <f>CM4*Convert!$B$12</f>
        <v>0</v>
      </c>
      <c r="CN36" s="164">
        <f>CN4*Convert!$B$12</f>
        <v>0</v>
      </c>
      <c r="CO36" s="164">
        <f>CO4*Convert!$B$12</f>
        <v>0</v>
      </c>
      <c r="CP36" s="164">
        <f>CP4*Convert!$B$12</f>
        <v>0.72035361099778261</v>
      </c>
      <c r="CQ36" s="164">
        <f>CQ4*Convert!$B$12</f>
        <v>0.72035361099778261</v>
      </c>
      <c r="CR36" s="164">
        <f>CR4*Convert!$B$12</f>
        <v>0</v>
      </c>
      <c r="CS36" s="164">
        <f>CS4*Convert!$B$12</f>
        <v>0</v>
      </c>
      <c r="CT36" s="164">
        <f>CT4*Convert!$B$12</f>
        <v>0</v>
      </c>
      <c r="CU36" s="164">
        <f>CU4*Convert!$B$12</f>
        <v>0.72035361099778261</v>
      </c>
      <c r="CV36" s="164">
        <f>CV4*Convert!$B$12</f>
        <v>0.72035361099778261</v>
      </c>
      <c r="CW36" s="164">
        <f>CW4*Convert!$B$12</f>
        <v>0.72035361099778261</v>
      </c>
      <c r="CX36" s="164">
        <f>CX4*Convert!$B$12</f>
        <v>0</v>
      </c>
      <c r="CY36" s="164">
        <f>CY4*Convert!$B$12</f>
        <v>0</v>
      </c>
      <c r="CZ36" s="164">
        <f>CZ4*Convert!$B$12</f>
        <v>0</v>
      </c>
      <c r="DA36" s="164">
        <f>DA4*Convert!$B$12</f>
        <v>0.72035361099778261</v>
      </c>
      <c r="DB36" s="164">
        <f>DB4*Convert!$B$12</f>
        <v>0.72035361099778261</v>
      </c>
      <c r="DC36" s="164">
        <f>DC4*Convert!$B$12</f>
        <v>0.72035361099778261</v>
      </c>
      <c r="DD36" s="164">
        <f>DD4*Convert!$B$12</f>
        <v>0</v>
      </c>
      <c r="DE36" s="164">
        <f>DE4*Convert!$B$12</f>
        <v>0</v>
      </c>
      <c r="DF36" s="164">
        <f>DF4*Convert!$B$12</f>
        <v>0</v>
      </c>
      <c r="DG36" s="164"/>
      <c r="DH36" s="164">
        <f>DH4*Convert!$B$12</f>
        <v>1.5436929846481966</v>
      </c>
      <c r="DI36" s="164">
        <f>DI4*Convert!$B$12</f>
        <v>1.5436929846481966</v>
      </c>
      <c r="DJ36" s="164">
        <f>DJ4*Convert!$B$12</f>
        <v>0</v>
      </c>
      <c r="DK36" s="164">
        <f>DK4*Convert!$B$12</f>
        <v>0</v>
      </c>
      <c r="DL36" s="164">
        <f>DL4*Convert!$B$12</f>
        <v>0</v>
      </c>
      <c r="DM36" s="164">
        <f>DM4*Convert!$B$12</f>
        <v>0</v>
      </c>
      <c r="DN36" s="164">
        <f>DN4*Convert!$B$12</f>
        <v>0</v>
      </c>
      <c r="DO36" s="164">
        <f>DO4*Convert!$B$12</f>
        <v>0</v>
      </c>
      <c r="DP36" s="164">
        <f>DP4*Convert!$B$12</f>
        <v>0</v>
      </c>
      <c r="DQ36" s="164">
        <f>DQ4*Convert!$B$12</f>
        <v>0</v>
      </c>
      <c r="DR36" s="164">
        <f>DR4*Convert!$B$12</f>
        <v>0</v>
      </c>
      <c r="DS36" s="164">
        <f>DS4*Convert!$B$12</f>
        <v>4.9463999999999997</v>
      </c>
      <c r="DT36" s="164">
        <f>DT4*Convert!$B$12</f>
        <v>4.9463999999999997</v>
      </c>
      <c r="DU36" s="164">
        <f>DU4*Convert!$B$12</f>
        <v>4.9463999999999997</v>
      </c>
      <c r="DV36" s="164">
        <f>DV4*Convert!$B$12</f>
        <v>0</v>
      </c>
      <c r="DW36" s="164">
        <f>DW4*Convert!$B$12</f>
        <v>0</v>
      </c>
      <c r="DX36" s="164">
        <f>DX4*Convert!$B$12</f>
        <v>63.795999999999999</v>
      </c>
      <c r="DY36" s="164">
        <f>DY4*Convert!$B$12</f>
        <v>63.795999999999999</v>
      </c>
      <c r="DZ36" s="164">
        <f>DZ4*Convert!$B$12</f>
        <v>63.795999999999999</v>
      </c>
      <c r="EA36" s="164">
        <f>EA4*Convert!$B$12</f>
        <v>63.795999999999999</v>
      </c>
      <c r="EB36" s="164">
        <f>EB4*Convert!$B$12</f>
        <v>63.795999999999999</v>
      </c>
      <c r="EC36" s="164">
        <f>EC4*Convert!$B$12</f>
        <v>63.795999999999999</v>
      </c>
      <c r="ED36" s="164">
        <f>ED4*Convert!$B$12</f>
        <v>63.795999999999999</v>
      </c>
    </row>
    <row r="37" spans="1:134" x14ac:dyDescent="0.3">
      <c r="A37" s="21" t="s">
        <v>1128</v>
      </c>
      <c r="B37" s="21" t="s">
        <v>390</v>
      </c>
      <c r="C37" s="21" t="s">
        <v>847</v>
      </c>
      <c r="D37" s="90">
        <f>D5*Convert!$C$17/100</f>
        <v>0</v>
      </c>
      <c r="E37" s="90">
        <f>E5*Convert!$C$17/100</f>
        <v>0</v>
      </c>
      <c r="F37" s="90">
        <f>F5*Convert!$C$17/100</f>
        <v>0</v>
      </c>
      <c r="G37" s="90">
        <f>G5*Convert!$C$17/100</f>
        <v>0</v>
      </c>
      <c r="H37" s="90">
        <f>H5*Convert!$C$17/100</f>
        <v>0</v>
      </c>
      <c r="I37" s="90">
        <f>I5*Convert!$C$17/100</f>
        <v>0</v>
      </c>
      <c r="J37" s="90">
        <f>J5*Convert!$C$17/100</f>
        <v>0</v>
      </c>
      <c r="K37" s="90">
        <f>K5*Convert!$C$17/100</f>
        <v>0</v>
      </c>
      <c r="L37" s="90">
        <f>L5*Convert!$C$17/100</f>
        <v>0</v>
      </c>
      <c r="M37" s="90">
        <f>M5*Convert!$C$17/100</f>
        <v>0</v>
      </c>
      <c r="N37" s="90">
        <f>N5*Convert!$C$17/100</f>
        <v>0</v>
      </c>
      <c r="O37" s="90">
        <f>O5*Convert!$C$17/100</f>
        <v>0</v>
      </c>
      <c r="P37" s="90">
        <f>P5*Convert!$C$17/100</f>
        <v>0</v>
      </c>
      <c r="Q37" s="90">
        <f>Q5*Convert!$C$17/100</f>
        <v>0</v>
      </c>
      <c r="R37" s="90">
        <f>R5*Convert!$C$17/100</f>
        <v>0</v>
      </c>
      <c r="S37" s="90">
        <f>S5*Convert!$C$17/100</f>
        <v>0</v>
      </c>
      <c r="T37" s="90">
        <f>T5*Convert!$C$17/100</f>
        <v>0</v>
      </c>
      <c r="U37" s="90">
        <f>U5*Convert!$C$17/100</f>
        <v>0</v>
      </c>
      <c r="V37" s="90">
        <f>V5*Convert!$C$17/100</f>
        <v>0</v>
      </c>
      <c r="W37" s="90">
        <f>W5*Convert!$C$17/100</f>
        <v>0</v>
      </c>
      <c r="X37" s="90">
        <f>X5*Convert!$C$17/100</f>
        <v>0</v>
      </c>
      <c r="Y37" s="90">
        <f>Y5*Convert!$C$17/100</f>
        <v>0</v>
      </c>
      <c r="Z37" s="90">
        <f>Z5*Convert!$C$17/100</f>
        <v>0</v>
      </c>
      <c r="AA37" s="90">
        <f>AA5*Convert!$C$17/100</f>
        <v>0</v>
      </c>
      <c r="AB37" s="90">
        <f>AB5*Convert!$C$17/100</f>
        <v>0</v>
      </c>
      <c r="AC37" s="90">
        <f>AC5*Convert!$C$17/100</f>
        <v>0</v>
      </c>
      <c r="AD37" s="90">
        <f>AD5*Convert!$C$17/100</f>
        <v>0</v>
      </c>
      <c r="AE37" s="90">
        <f>AE5*Convert!$C$17/100</f>
        <v>0</v>
      </c>
      <c r="AF37" s="90">
        <f>AF5*Convert!$C$17/100</f>
        <v>0</v>
      </c>
      <c r="AG37" s="90">
        <f>AG5*Convert!$C$17/100</f>
        <v>0</v>
      </c>
      <c r="AH37" s="90">
        <f>AH5*Convert!$C$17/100</f>
        <v>0</v>
      </c>
      <c r="AI37" s="90">
        <f>AI5*Convert!$C$17/100</f>
        <v>0</v>
      </c>
      <c r="AJ37" s="90">
        <f>AJ5*Convert!$C$17/100</f>
        <v>0</v>
      </c>
      <c r="AK37" s="90">
        <f>AK5*Convert!$C$17/100</f>
        <v>0</v>
      </c>
      <c r="AL37" s="90">
        <f>AL5*Convert!$C$17/100</f>
        <v>0</v>
      </c>
      <c r="AM37" s="90">
        <f>AM5*Convert!$C$17/100</f>
        <v>0</v>
      </c>
      <c r="AN37" s="90">
        <f>AN5*Convert!$C$17/100</f>
        <v>0</v>
      </c>
      <c r="AO37" s="90">
        <f>AO5*Convert!$C$17/100</f>
        <v>0</v>
      </c>
      <c r="AP37" s="90">
        <f>AP5*Convert!$C$17/100</f>
        <v>0</v>
      </c>
      <c r="AQ37" s="90">
        <f>AQ5*Convert!$C$17/100</f>
        <v>0</v>
      </c>
      <c r="AR37" s="90">
        <f>AR5*Convert!$C$17/100</f>
        <v>0</v>
      </c>
      <c r="AS37" s="90">
        <f>AS5*Convert!$C$17/100</f>
        <v>0</v>
      </c>
      <c r="AT37" s="90">
        <f>AT5*Convert!$C$17/100</f>
        <v>0</v>
      </c>
      <c r="AU37" s="90">
        <f>AU5*Convert!$C$17/100</f>
        <v>0</v>
      </c>
      <c r="AV37" s="90">
        <f>AV5*Convert!$C$17/100</f>
        <v>0</v>
      </c>
      <c r="AW37" s="90">
        <f>AW5*Convert!$C$17/100</f>
        <v>0</v>
      </c>
      <c r="AX37" s="90">
        <f>AX5*Convert!$C$17/100</f>
        <v>0</v>
      </c>
      <c r="AY37" s="90">
        <f>AY5*Convert!$C$17/100</f>
        <v>1.0840386835946307</v>
      </c>
      <c r="AZ37" s="90">
        <f>AZ5*Convert!$C$17/100</f>
        <v>1.0840386835946307</v>
      </c>
      <c r="BA37" s="90">
        <f>BA5*Convert!$C$17/100</f>
        <v>1.0840386835946307</v>
      </c>
      <c r="BB37" s="90">
        <f>BB5*Convert!$C$17/100</f>
        <v>1.0840386835946307</v>
      </c>
      <c r="BC37" s="90">
        <f>BC5*Convert!$C$17/100</f>
        <v>0</v>
      </c>
      <c r="BD37" s="90">
        <f>BD5*Convert!$C$17/100</f>
        <v>0</v>
      </c>
      <c r="BE37" s="90">
        <f>BE5*Convert!$C$17/100</f>
        <v>0</v>
      </c>
      <c r="BF37" s="90">
        <f>BF5*Convert!$C$17/100</f>
        <v>0</v>
      </c>
      <c r="BG37" s="90">
        <f>BG5*Convert!$C$17/100</f>
        <v>0</v>
      </c>
      <c r="BH37" s="90">
        <f>BH5*Convert!$C$17/100</f>
        <v>0</v>
      </c>
      <c r="BI37" s="90">
        <f>BI5*Convert!$C$17/100</f>
        <v>0</v>
      </c>
      <c r="BJ37" s="90">
        <f>BJ5*Convert!$C$17/100</f>
        <v>0</v>
      </c>
      <c r="BK37" s="90">
        <f>BK5*Convert!$C$17/100</f>
        <v>0</v>
      </c>
      <c r="BL37" s="90">
        <f>BL5*Convert!$C$17/100</f>
        <v>0</v>
      </c>
      <c r="BM37" s="90">
        <f>BM5*Convert!$C$17/100</f>
        <v>0</v>
      </c>
      <c r="BN37" s="90">
        <f>BN5*Convert!$C$17/100</f>
        <v>0</v>
      </c>
      <c r="BO37" s="90">
        <f>BO5*Convert!$C$17/100</f>
        <v>0</v>
      </c>
      <c r="BP37" s="90">
        <f>BP5*Convert!$C$17/100</f>
        <v>0</v>
      </c>
      <c r="BQ37" s="90">
        <f>BQ5*Convert!$C$17/100</f>
        <v>0</v>
      </c>
      <c r="BR37" s="90">
        <f>BR5*Convert!$C$17/100</f>
        <v>0</v>
      </c>
      <c r="BS37" s="90">
        <f>BS5*Convert!$C$17/100</f>
        <v>0</v>
      </c>
      <c r="BT37" s="90">
        <f>BT5*Convert!$C$17/100</f>
        <v>0</v>
      </c>
      <c r="BU37" s="90">
        <f>BU5*Convert!$C$17/100</f>
        <v>0</v>
      </c>
      <c r="BV37" s="90">
        <f>BV5*Convert!$C$17/100</f>
        <v>0</v>
      </c>
      <c r="BW37" s="90">
        <f>BW5*Convert!$C$17/100</f>
        <v>0</v>
      </c>
      <c r="BX37" s="90">
        <f>BX5*Convert!$C$17/100</f>
        <v>0</v>
      </c>
      <c r="BY37" s="90">
        <f>BY5*Convert!$C$17/100</f>
        <v>0</v>
      </c>
      <c r="BZ37" s="90">
        <f>BZ5*Convert!$C$17/100</f>
        <v>0</v>
      </c>
      <c r="CA37" s="90">
        <f>CA5*Convert!$C$17/100</f>
        <v>0</v>
      </c>
      <c r="CB37" s="90">
        <f>CB5*Convert!$C$17/100</f>
        <v>0</v>
      </c>
      <c r="CC37" s="90">
        <f>CC5*Convert!$C$17/100</f>
        <v>0</v>
      </c>
      <c r="CD37" s="90">
        <f>CD5*Convert!$C$17/100</f>
        <v>1.0840386835946307</v>
      </c>
      <c r="CE37" s="90">
        <f>CE5*Convert!$C$17/100</f>
        <v>1.0840386835946307</v>
      </c>
      <c r="CF37" s="90">
        <f>CF5*Convert!$C$17/100</f>
        <v>1.0840386835946307</v>
      </c>
      <c r="CG37" s="90">
        <f>CG5*Convert!$C$17/100</f>
        <v>1.0840386835946307</v>
      </c>
      <c r="CH37" s="90">
        <f>CH5*Convert!$C$17/100</f>
        <v>0</v>
      </c>
      <c r="CI37" s="90">
        <f>CI5*Convert!$C$17/100</f>
        <v>0</v>
      </c>
      <c r="CJ37" s="90">
        <f>CJ5*Convert!$C$17/100</f>
        <v>0</v>
      </c>
      <c r="CK37" s="90">
        <f>CK5*Convert!$C$17/100</f>
        <v>0</v>
      </c>
      <c r="CL37" s="90">
        <f>CL5*Convert!$C$17/100</f>
        <v>0</v>
      </c>
      <c r="CM37" s="90">
        <f>CM5*Convert!$C$17/100</f>
        <v>1.0840386835946307</v>
      </c>
      <c r="CN37" s="90">
        <f>CN5*Convert!$C$17/100</f>
        <v>0</v>
      </c>
      <c r="CO37" s="90">
        <f>CO5*Convert!$C$17/100</f>
        <v>0</v>
      </c>
      <c r="CP37" s="90">
        <f>CP5*Convert!$C$17/100</f>
        <v>0</v>
      </c>
      <c r="CQ37" s="90">
        <f>CQ5*Convert!$C$17/100</f>
        <v>0</v>
      </c>
      <c r="CR37" s="90">
        <f>CR5*Convert!$C$17/100</f>
        <v>1.2387811081097517</v>
      </c>
      <c r="CS37" s="90">
        <f>CS5*Convert!$C$17/100</f>
        <v>0</v>
      </c>
      <c r="CT37" s="90">
        <f>CT5*Convert!$C$17/100</f>
        <v>0</v>
      </c>
      <c r="CU37" s="90">
        <f>CU5*Convert!$C$17/100</f>
        <v>0</v>
      </c>
      <c r="CV37" s="90">
        <f>CV5*Convert!$C$17/100</f>
        <v>0</v>
      </c>
      <c r="CW37" s="90">
        <f>CW5*Convert!$C$17/100</f>
        <v>0</v>
      </c>
      <c r="CX37" s="90">
        <f>CX5*Convert!$C$17/100</f>
        <v>1.2387811081097517</v>
      </c>
      <c r="CY37" s="90">
        <f>CY5*Convert!$C$17/100</f>
        <v>0</v>
      </c>
      <c r="CZ37" s="90">
        <f>CZ5*Convert!$C$17/100</f>
        <v>0</v>
      </c>
      <c r="DA37" s="90">
        <f>DA5*Convert!$C$17/100</f>
        <v>0</v>
      </c>
      <c r="DB37" s="90">
        <f>DB5*Convert!$C$17/100</f>
        <v>0</v>
      </c>
      <c r="DC37" s="90">
        <f>DC5*Convert!$C$17/100</f>
        <v>0</v>
      </c>
      <c r="DD37" s="90">
        <f>DD5*Convert!$C$17/100</f>
        <v>1.2387811081097517</v>
      </c>
      <c r="DE37" s="90">
        <f>DE5*Convert!$C$17/100</f>
        <v>0</v>
      </c>
      <c r="DF37" s="90">
        <f>DF5*Convert!$C$17/100</f>
        <v>0</v>
      </c>
      <c r="DG37" s="90"/>
      <c r="DH37" s="90">
        <f>DH5*Convert!$C$17/100</f>
        <v>0</v>
      </c>
      <c r="DI37" s="90">
        <f>DI5*Convert!$C$17/100</f>
        <v>0</v>
      </c>
      <c r="DJ37" s="90">
        <f>DJ5*Convert!$C$17/100</f>
        <v>2.2687349155254606</v>
      </c>
      <c r="DK37" s="90">
        <f>DK5*Convert!$C$17/100</f>
        <v>0</v>
      </c>
      <c r="DL37" s="90">
        <f>DL5*Convert!$C$17/100</f>
        <v>0</v>
      </c>
      <c r="DM37" s="90">
        <f>DM5*Convert!$C$17/100</f>
        <v>0</v>
      </c>
      <c r="DN37" s="90">
        <f>DN5*Convert!$C$17/100</f>
        <v>0</v>
      </c>
      <c r="DO37" s="90">
        <f>DO5*Convert!$C$17/100</f>
        <v>0</v>
      </c>
      <c r="DP37" s="90">
        <f>DP5*Convert!$C$17/100</f>
        <v>0</v>
      </c>
      <c r="DQ37" s="90">
        <f>DQ5*Convert!$C$17/100</f>
        <v>0</v>
      </c>
      <c r="DR37" s="90">
        <f>DR5*Convert!$C$17/100</f>
        <v>0</v>
      </c>
      <c r="DS37" s="90">
        <f>DS5*Convert!$C$17/100</f>
        <v>0</v>
      </c>
      <c r="DT37" s="90">
        <f>DT5*Convert!$C$17/100</f>
        <v>0</v>
      </c>
      <c r="DU37" s="90">
        <f>DU5*Convert!$C$17/100</f>
        <v>0</v>
      </c>
      <c r="DV37" s="90">
        <f>DV5*Convert!$C$17/100</f>
        <v>6.5253405852426249</v>
      </c>
      <c r="DW37" s="90">
        <f>DW5*Convert!$C$17/100</f>
        <v>6.5253405852426249</v>
      </c>
      <c r="DX37" s="90">
        <f>DX5*Convert!$C$17/100</f>
        <v>0</v>
      </c>
      <c r="DY37" s="90">
        <f>DY5*Convert!$C$17/100</f>
        <v>0</v>
      </c>
      <c r="DZ37" s="90">
        <f>DZ5*Convert!$C$17/100</f>
        <v>0</v>
      </c>
      <c r="EA37" s="90">
        <f>EA5*Convert!$C$17/100</f>
        <v>0</v>
      </c>
      <c r="EB37" s="90">
        <f>EB5*Convert!$C$17/100</f>
        <v>0</v>
      </c>
      <c r="EC37" s="90">
        <f>EC5*Convert!$C$17/100</f>
        <v>0</v>
      </c>
      <c r="ED37" s="90">
        <f>ED5*Convert!$C$17/100</f>
        <v>0</v>
      </c>
    </row>
    <row r="38" spans="1:134" x14ac:dyDescent="0.3">
      <c r="A38" s="21" t="s">
        <v>275</v>
      </c>
      <c r="B38" s="21" t="s">
        <v>390</v>
      </c>
      <c r="C38" s="21" t="s">
        <v>847</v>
      </c>
      <c r="D38" s="164">
        <f t="shared" ref="D38:BI38" si="40">D35*(1-D6)+D36*D6</f>
        <v>3.9600000000000003E-2</v>
      </c>
      <c r="E38" s="164">
        <f t="shared" si="40"/>
        <v>2.2275000000000003E-2</v>
      </c>
      <c r="F38" s="164">
        <f t="shared" si="40"/>
        <v>2.2275000000000003E-2</v>
      </c>
      <c r="G38" s="164">
        <f t="shared" si="40"/>
        <v>2.2275000000000003E-2</v>
      </c>
      <c r="H38" s="164">
        <f t="shared" si="40"/>
        <v>2.2275000000000003E-2</v>
      </c>
      <c r="I38" s="164">
        <f t="shared" ref="I38" si="41">I35*(1-I6)+I36*I6</f>
        <v>2.9700000000000001E-2</v>
      </c>
      <c r="J38" s="164">
        <f t="shared" si="40"/>
        <v>2.9700000000000001E-2</v>
      </c>
      <c r="K38" s="164">
        <f t="shared" si="40"/>
        <v>2.2275000000000003E-2</v>
      </c>
      <c r="L38" s="164">
        <f t="shared" si="40"/>
        <v>2.9700000000000001E-2</v>
      </c>
      <c r="M38" s="164">
        <f t="shared" si="40"/>
        <v>2.9700000000000001E-2</v>
      </c>
      <c r="N38" s="164">
        <f t="shared" si="40"/>
        <v>2.9700000000000001E-2</v>
      </c>
      <c r="O38" s="164">
        <f t="shared" si="40"/>
        <v>2.9700000000000001E-2</v>
      </c>
      <c r="P38" s="164">
        <f t="shared" si="40"/>
        <v>2.9700000000000001E-2</v>
      </c>
      <c r="Q38" s="164">
        <f>Q35*(1-Q6)+Q36*Q6</f>
        <v>3.9600000000000003E-2</v>
      </c>
      <c r="R38" s="164">
        <f>R35*(1-R6)+R36*R6</f>
        <v>3.9600000000000003E-2</v>
      </c>
      <c r="S38" s="164">
        <f t="shared" si="40"/>
        <v>3.9600000000000003E-2</v>
      </c>
      <c r="T38" s="164">
        <f t="shared" si="40"/>
        <v>3.9600000000000003E-2</v>
      </c>
      <c r="U38" s="164">
        <f t="shared" si="40"/>
        <v>3.9600000000000003E-2</v>
      </c>
      <c r="V38" s="164">
        <f t="shared" si="40"/>
        <v>3.9600000000000003E-2</v>
      </c>
      <c r="W38" s="164">
        <f t="shared" si="40"/>
        <v>3.9600000000000003E-2</v>
      </c>
      <c r="X38" s="164">
        <f t="shared" ref="X38:Y38" si="42">X35*(1-X6)+X36*X6</f>
        <v>4.2839999999999996E-2</v>
      </c>
      <c r="Y38" s="164">
        <f t="shared" si="42"/>
        <v>4.2839999999999996E-2</v>
      </c>
      <c r="Z38" s="164">
        <f t="shared" si="40"/>
        <v>4.2839999999999996E-2</v>
      </c>
      <c r="AA38" s="164">
        <f t="shared" ref="AA38" si="43">AA35*(1-AA6)+AA36*AA6</f>
        <v>4.2839999999999996E-2</v>
      </c>
      <c r="AB38" s="164">
        <f t="shared" ref="AB38:AC38" si="44">AB35*(1-AB6)+AB36*AB6</f>
        <v>4.2839999999999996E-2</v>
      </c>
      <c r="AC38" s="164">
        <f t="shared" si="44"/>
        <v>4.2839999999999996E-2</v>
      </c>
      <c r="AD38" s="164">
        <f t="shared" ref="AD38" si="45">AD35*(1-AD6)+AD36*AD6</f>
        <v>4.2839999999999996E-2</v>
      </c>
      <c r="AE38" s="164">
        <f t="shared" ref="AE38" si="46">AE35*(1-AE6)+AE36*AE6</f>
        <v>4.2839999999999996E-2</v>
      </c>
      <c r="AF38" s="164">
        <f t="shared" si="40"/>
        <v>3.9600000000000003E-2</v>
      </c>
      <c r="AG38" s="164">
        <f t="shared" si="40"/>
        <v>0</v>
      </c>
      <c r="AH38" s="164">
        <f t="shared" si="40"/>
        <v>7.5600000000000001E-2</v>
      </c>
      <c r="AI38" s="164">
        <f t="shared" si="40"/>
        <v>0</v>
      </c>
      <c r="AJ38" s="164">
        <f t="shared" si="40"/>
        <v>7.5600000000000001E-2</v>
      </c>
      <c r="AK38" s="164">
        <f t="shared" si="40"/>
        <v>0.64935064935064946</v>
      </c>
      <c r="AL38" s="164">
        <f t="shared" si="40"/>
        <v>0.12605042016806728</v>
      </c>
      <c r="AM38" s="164">
        <f t="shared" si="40"/>
        <v>0.64935064935064946</v>
      </c>
      <c r="AN38" s="164">
        <f t="shared" si="40"/>
        <v>0.12605042016806728</v>
      </c>
      <c r="AO38" s="164">
        <f t="shared" si="40"/>
        <v>2.2771840000000001</v>
      </c>
      <c r="AP38" s="164">
        <f t="shared" si="40"/>
        <v>1.6962697142857146</v>
      </c>
      <c r="AQ38" s="164">
        <f t="shared" si="40"/>
        <v>1.0289943872</v>
      </c>
      <c r="AR38" s="164">
        <f>AR35*(1-AR6)+AR36*AR6</f>
        <v>0.68524649142857141</v>
      </c>
      <c r="AS38" s="164">
        <f t="shared" si="40"/>
        <v>0.68524649142857141</v>
      </c>
      <c r="AT38" s="164">
        <f>AT35*(1-AT6)+AT36*AT6</f>
        <v>0.68524649142857141</v>
      </c>
      <c r="AU38" s="164">
        <f>AU35*(1-AU6)+AU36*AU6</f>
        <v>0.68524649142857141</v>
      </c>
      <c r="AV38" s="164">
        <f>AV35*(1-AV6)+AV36*AV6</f>
        <v>0.68524649142857141</v>
      </c>
      <c r="AW38" s="164">
        <f>AW35*(1-AW6)+AW36*AW6</f>
        <v>0.68524649142857141</v>
      </c>
      <c r="AX38" s="164">
        <f t="shared" si="40"/>
        <v>0.68524649142857141</v>
      </c>
      <c r="AY38" s="164">
        <f>AY35*(1-AY6)+AY36*AY6</f>
        <v>0</v>
      </c>
      <c r="AZ38" s="164">
        <f>AZ35*(1-AZ6)+AZ36*AZ6</f>
        <v>0</v>
      </c>
      <c r="BA38" s="164">
        <f>BA35*(1-BA6)+BA36*BA6</f>
        <v>0</v>
      </c>
      <c r="BB38" s="164">
        <f t="shared" si="40"/>
        <v>0</v>
      </c>
      <c r="BC38" s="164">
        <f t="shared" si="40"/>
        <v>2.2771840000000001</v>
      </c>
      <c r="BD38" s="164">
        <f>BD35*(1-BD6)+BD36*BD6</f>
        <v>2.2771840000000001</v>
      </c>
      <c r="BE38" s="164">
        <f>BE35*(1-BE6)+BE36*BE6</f>
        <v>2.2771840000000001</v>
      </c>
      <c r="BF38" s="164">
        <f t="shared" si="40"/>
        <v>2.2771840000000001</v>
      </c>
      <c r="BG38" s="164">
        <f t="shared" si="40"/>
        <v>2.2771840000000001</v>
      </c>
      <c r="BH38" s="164">
        <f t="shared" si="40"/>
        <v>2.2771840000000001</v>
      </c>
      <c r="BI38" s="164">
        <f t="shared" si="40"/>
        <v>2.2771840000000001</v>
      </c>
      <c r="BJ38" s="164">
        <f t="shared" ref="BJ38:BU38" si="47">BJ35*(1-BJ6)+BJ36*BJ6</f>
        <v>1.6962697142857146</v>
      </c>
      <c r="BK38" s="164">
        <f t="shared" si="47"/>
        <v>1.3331676606967207</v>
      </c>
      <c r="BL38" s="164">
        <f t="shared" si="47"/>
        <v>0.68524649142857141</v>
      </c>
      <c r="BM38" s="164">
        <f t="shared" si="47"/>
        <v>0.68524649142857141</v>
      </c>
      <c r="BN38" s="164">
        <f t="shared" si="47"/>
        <v>0.68524649142857141</v>
      </c>
      <c r="BO38" s="164">
        <f t="shared" si="47"/>
        <v>0.68524649142857141</v>
      </c>
      <c r="BP38" s="164">
        <f t="shared" si="47"/>
        <v>0.68524649142857141</v>
      </c>
      <c r="BQ38" s="164">
        <f t="shared" si="47"/>
        <v>0.68524649142857141</v>
      </c>
      <c r="BR38" s="164">
        <f t="shared" si="47"/>
        <v>0.68524649142857141</v>
      </c>
      <c r="BS38" s="164">
        <f t="shared" si="47"/>
        <v>0.68524649142857141</v>
      </c>
      <c r="BT38" s="164">
        <f t="shared" si="47"/>
        <v>0.68524649142857141</v>
      </c>
      <c r="BU38" s="164">
        <f t="shared" si="47"/>
        <v>0.68524649142857141</v>
      </c>
      <c r="BV38" s="164">
        <f t="shared" ref="BV38:CC38" si="48">BV35*(1-BV6)+BV36*BV6</f>
        <v>0.68524649142857141</v>
      </c>
      <c r="BW38" s="164">
        <f t="shared" si="48"/>
        <v>0.68524649142857141</v>
      </c>
      <c r="BX38" s="164">
        <f t="shared" si="48"/>
        <v>0.68524649142857141</v>
      </c>
      <c r="BY38" s="164">
        <f t="shared" si="48"/>
        <v>0.68524649142857141</v>
      </c>
      <c r="BZ38" s="164">
        <f t="shared" si="48"/>
        <v>0.68524649142857141</v>
      </c>
      <c r="CA38" s="164">
        <f t="shared" si="48"/>
        <v>0.68524649142857141</v>
      </c>
      <c r="CB38" s="164">
        <f t="shared" si="48"/>
        <v>0.68524649142857141</v>
      </c>
      <c r="CC38" s="164">
        <f t="shared" si="48"/>
        <v>0.68524649142857141</v>
      </c>
      <c r="CD38" s="164">
        <f>CD35*(1-CD6)+CD36*CD6</f>
        <v>0</v>
      </c>
      <c r="CE38" s="164">
        <f>CE35*(1-CE6)+CE36*CE6</f>
        <v>0</v>
      </c>
      <c r="CF38" s="164">
        <f>CF35*(1-CF6)+CF36*CF6</f>
        <v>0</v>
      </c>
      <c r="CG38" s="164">
        <f>CG35*(1-CG6)+CG36*CG6</f>
        <v>0</v>
      </c>
      <c r="CH38" s="164">
        <f t="shared" ref="CH38:CM38" si="49">CH35*(1-CH6)+CH36*CH6</f>
        <v>2.2771840000000001</v>
      </c>
      <c r="CI38" s="164">
        <f t="shared" si="49"/>
        <v>1.6962697142857146</v>
      </c>
      <c r="CJ38" s="164">
        <f t="shared" si="49"/>
        <v>1.3331676606967207</v>
      </c>
      <c r="CK38" s="164">
        <f t="shared" si="49"/>
        <v>0.68524649142857141</v>
      </c>
      <c r="CL38" s="164">
        <f t="shared" si="49"/>
        <v>0.68524649142857141</v>
      </c>
      <c r="CM38" s="164">
        <f t="shared" si="49"/>
        <v>0</v>
      </c>
      <c r="CN38" s="164">
        <f t="shared" ref="CN38:CX38" si="50">CN35*(1-CN6)+CN36*CN6</f>
        <v>2.9636879999999994</v>
      </c>
      <c r="CO38" s="164">
        <f t="shared" si="50"/>
        <v>2.1816949356984479</v>
      </c>
      <c r="CP38" s="164">
        <f t="shared" si="50"/>
        <v>1.2172096613960086</v>
      </c>
      <c r="CQ38" s="164">
        <f t="shared" si="50"/>
        <v>0.72035361099778261</v>
      </c>
      <c r="CR38" s="164">
        <f t="shared" si="50"/>
        <v>0</v>
      </c>
      <c r="CS38" s="164">
        <f t="shared" si="50"/>
        <v>2.9636879999999994</v>
      </c>
      <c r="CT38" s="164">
        <f t="shared" si="50"/>
        <v>2.1816949356984479</v>
      </c>
      <c r="CU38" s="164">
        <f t="shared" si="50"/>
        <v>1.6568642255850285</v>
      </c>
      <c r="CV38" s="164">
        <f t="shared" si="50"/>
        <v>0.72035361099778261</v>
      </c>
      <c r="CW38" s="164">
        <f t="shared" si="50"/>
        <v>0.72035361099778261</v>
      </c>
      <c r="CX38" s="164">
        <f t="shared" si="50"/>
        <v>0</v>
      </c>
      <c r="CY38" s="164">
        <f t="shared" ref="CY38:DD38" si="51">CY35*(1-CY6)+CY36*CY6</f>
        <v>2.9636879999999994</v>
      </c>
      <c r="CZ38" s="164">
        <f t="shared" si="51"/>
        <v>2.1816949356984479</v>
      </c>
      <c r="DA38" s="164">
        <f t="shared" si="51"/>
        <v>1.5954049846655358</v>
      </c>
      <c r="DB38" s="164">
        <f t="shared" si="51"/>
        <v>0.72035361099778261</v>
      </c>
      <c r="DC38" s="164">
        <f t="shared" si="51"/>
        <v>0.72035361099778261</v>
      </c>
      <c r="DD38" s="164">
        <f t="shared" si="51"/>
        <v>0</v>
      </c>
      <c r="DE38" s="164">
        <f t="shared" ref="DE38:DJ38" si="52">DE35*(1-DE6)+DE36*DE6</f>
        <v>5.0568402648975104</v>
      </c>
      <c r="DF38" s="164">
        <f t="shared" si="52"/>
        <v>3.7225520353569261</v>
      </c>
      <c r="DG38" s="164"/>
      <c r="DH38" s="164">
        <f t="shared" si="52"/>
        <v>1.5436929846481966</v>
      </c>
      <c r="DI38" s="164">
        <f t="shared" si="52"/>
        <v>1.5436929846481966</v>
      </c>
      <c r="DJ38" s="164">
        <f t="shared" si="52"/>
        <v>0</v>
      </c>
      <c r="DK38" s="164">
        <f t="shared" ref="DK38:DP38" si="53">DK35*(1-DK6)+DK36*DK6</f>
        <v>13.707445499999997</v>
      </c>
      <c r="DL38" s="164">
        <f t="shared" si="53"/>
        <v>13.707445499999997</v>
      </c>
      <c r="DM38" s="164">
        <f>DM35*(1-DM6)+DM36*DM6</f>
        <v>12.336700949999997</v>
      </c>
      <c r="DN38" s="164">
        <f t="shared" si="53"/>
        <v>13.707445499999997</v>
      </c>
      <c r="DO38" s="164">
        <f t="shared" si="53"/>
        <v>13.707445499999997</v>
      </c>
      <c r="DP38" s="164">
        <f t="shared" si="53"/>
        <v>13.707445499999997</v>
      </c>
      <c r="DQ38" s="164">
        <f t="shared" ref="DQ38:DW38" si="54">DQ35*(1-DQ6)+DQ36*DQ6</f>
        <v>13.707445499999997</v>
      </c>
      <c r="DR38" s="164">
        <f t="shared" si="54"/>
        <v>10.090625068736141</v>
      </c>
      <c r="DS38" s="164">
        <f t="shared" si="54"/>
        <v>4.9463999999999997</v>
      </c>
      <c r="DT38" s="164">
        <f t="shared" si="54"/>
        <v>4.9463999999999997</v>
      </c>
      <c r="DU38" s="164">
        <f t="shared" si="54"/>
        <v>4.9463999999999997</v>
      </c>
      <c r="DV38" s="164">
        <f t="shared" si="54"/>
        <v>0</v>
      </c>
      <c r="DW38" s="164">
        <f t="shared" si="54"/>
        <v>0</v>
      </c>
      <c r="DX38" s="164">
        <f t="shared" ref="DX38:EC38" si="55">DX35*(1-DX6)+DX36*DX6</f>
        <v>63.795999999999999</v>
      </c>
      <c r="DY38" s="164">
        <f t="shared" si="55"/>
        <v>63.795999999999999</v>
      </c>
      <c r="DZ38" s="164">
        <f t="shared" si="55"/>
        <v>63.795999999999999</v>
      </c>
      <c r="EA38" s="164">
        <f t="shared" si="55"/>
        <v>63.795999999999999</v>
      </c>
      <c r="EB38" s="164">
        <f t="shared" si="55"/>
        <v>63.795999999999999</v>
      </c>
      <c r="EC38" s="164">
        <f t="shared" si="55"/>
        <v>63.795999999999999</v>
      </c>
      <c r="ED38" s="164">
        <f>ED35*(1-ED6)+ED36*ED6</f>
        <v>63.795999999999999</v>
      </c>
    </row>
    <row r="39" spans="1:134" x14ac:dyDescent="0.3">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16"/>
      <c r="AR39" s="116"/>
      <c r="AS39" s="116"/>
      <c r="AT39" s="116"/>
      <c r="AU39" s="116"/>
      <c r="AV39" s="116"/>
      <c r="AW39" s="116"/>
      <c r="AX39" s="116"/>
      <c r="AY39" s="116"/>
      <c r="AZ39" s="116"/>
      <c r="BA39" s="116"/>
      <c r="BB39" s="116"/>
      <c r="BC39" s="116"/>
      <c r="BD39" s="116"/>
      <c r="BE39" s="116"/>
      <c r="BF39" s="116"/>
      <c r="BG39" s="116"/>
      <c r="BH39" s="116"/>
      <c r="BI39" s="164"/>
      <c r="BJ39" s="164"/>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64"/>
      <c r="CI39" s="164"/>
      <c r="CJ39" s="116"/>
      <c r="CK39" s="116"/>
      <c r="CL39" s="116"/>
      <c r="CM39" s="116"/>
      <c r="CN39" s="164"/>
      <c r="CO39" s="164"/>
      <c r="CP39" s="116"/>
      <c r="CQ39" s="116"/>
      <c r="CR39" s="116"/>
      <c r="CS39" s="164"/>
      <c r="CT39" s="164"/>
      <c r="CU39" s="116"/>
      <c r="CV39" s="116"/>
      <c r="CW39" s="116"/>
      <c r="CX39" s="116"/>
      <c r="CY39" s="164"/>
      <c r="CZ39" s="164"/>
      <c r="DA39" s="116"/>
      <c r="DB39" s="116"/>
      <c r="DC39" s="116"/>
      <c r="DD39" s="116"/>
      <c r="DE39" s="164"/>
      <c r="DF39" s="164"/>
      <c r="DG39" s="116"/>
      <c r="DH39" s="116"/>
      <c r="DI39" s="116"/>
      <c r="DJ39" s="116"/>
      <c r="DK39" s="164"/>
      <c r="DL39" s="164"/>
      <c r="DM39" s="164"/>
      <c r="DN39" s="164"/>
      <c r="DO39" s="164"/>
      <c r="DP39" s="164"/>
      <c r="DQ39" s="164"/>
      <c r="DR39" s="116"/>
      <c r="DS39" s="116"/>
      <c r="DT39" s="116"/>
      <c r="DU39" s="116"/>
      <c r="DV39" s="116"/>
      <c r="DW39" s="116"/>
      <c r="DX39" s="164"/>
      <c r="DY39" s="164"/>
      <c r="DZ39" s="164"/>
      <c r="EA39" s="164"/>
      <c r="EB39" s="164"/>
      <c r="EC39" s="164"/>
      <c r="ED39" s="164"/>
    </row>
    <row r="40" spans="1:134" x14ac:dyDescent="0.3">
      <c r="A40" s="21" t="s">
        <v>338</v>
      </c>
      <c r="B40" s="124" t="s">
        <v>344</v>
      </c>
      <c r="C40" s="21" t="s">
        <v>848</v>
      </c>
      <c r="D40" s="23" t="e">
        <f>D31/Convert!$C$17*1000</f>
        <v>#N/A</v>
      </c>
      <c r="E40" s="23" t="e">
        <f>E31/Convert!$C$17*1000</f>
        <v>#N/A</v>
      </c>
      <c r="F40" s="23" t="e">
        <f>F31/Convert!$C$17*1000</f>
        <v>#N/A</v>
      </c>
      <c r="G40" s="23" t="e">
        <f>G31/Convert!$C$17*1000</f>
        <v>#N/A</v>
      </c>
      <c r="H40" s="23" t="e">
        <f>H31/Convert!$C$17*1000</f>
        <v>#N/A</v>
      </c>
      <c r="I40" s="23" t="e">
        <f>I31/Convert!$C$17*1000</f>
        <v>#N/A</v>
      </c>
      <c r="J40" s="23" t="e">
        <f>J31/Convert!$C$17*1000</f>
        <v>#N/A</v>
      </c>
      <c r="K40" s="23" t="e">
        <f>K31/Convert!$C$17*1000</f>
        <v>#N/A</v>
      </c>
      <c r="L40" s="23" t="e">
        <f>L31/Convert!$C$17*1000</f>
        <v>#N/A</v>
      </c>
      <c r="M40" s="23" t="e">
        <f>M31/Convert!$C$17*1000</f>
        <v>#N/A</v>
      </c>
      <c r="N40" s="23" t="e">
        <f>N31/Convert!$C$17*1000</f>
        <v>#N/A</v>
      </c>
      <c r="O40" s="23" t="e">
        <f>O31/Convert!$C$17*1000</f>
        <v>#N/A</v>
      </c>
      <c r="P40" s="23" t="e">
        <f>P31/Convert!$C$17*1000</f>
        <v>#N/A</v>
      </c>
      <c r="Q40" s="23" t="e">
        <f>Q31/Convert!$C$17*1000</f>
        <v>#N/A</v>
      </c>
      <c r="R40" s="23" t="e">
        <f>R31/Convert!$C$17*1000</f>
        <v>#N/A</v>
      </c>
      <c r="S40" s="23" t="e">
        <f>S31/Convert!$C$17*1000</f>
        <v>#N/A</v>
      </c>
      <c r="T40" s="23" t="e">
        <f>T31/Convert!$C$17*1000</f>
        <v>#N/A</v>
      </c>
      <c r="U40" s="23" t="e">
        <f>U31/Convert!$C$17*1000</f>
        <v>#N/A</v>
      </c>
      <c r="V40" s="23" t="e">
        <f>V31/Convert!$C$17*1000</f>
        <v>#N/A</v>
      </c>
      <c r="W40" s="23" t="e">
        <f>W31/Convert!$C$17*1000</f>
        <v>#N/A</v>
      </c>
      <c r="X40" s="23" t="e">
        <f>X31/Convert!$C$17*1000</f>
        <v>#N/A</v>
      </c>
      <c r="Y40" s="23" t="e">
        <f>Y31/Convert!$C$17*1000</f>
        <v>#N/A</v>
      </c>
      <c r="Z40" s="23" t="e">
        <f>Z31/Convert!$C$17*1000</f>
        <v>#N/A</v>
      </c>
      <c r="AA40" s="23" t="e">
        <f>AA31/Convert!$C$17*1000</f>
        <v>#N/A</v>
      </c>
      <c r="AB40" s="23" t="e">
        <f>AB31/Convert!$C$17*1000</f>
        <v>#N/A</v>
      </c>
      <c r="AC40" s="23" t="e">
        <f>AC31/Convert!$C$17*1000</f>
        <v>#N/A</v>
      </c>
      <c r="AD40" s="23" t="e">
        <f>AD31/Convert!$C$17*1000</f>
        <v>#N/A</v>
      </c>
      <c r="AE40" s="23" t="e">
        <f>AE31/Convert!$C$17*1000</f>
        <v>#N/A</v>
      </c>
      <c r="AF40" s="23" t="e">
        <f>AF31/Convert!$C$17*1000</f>
        <v>#N/A</v>
      </c>
      <c r="AG40" s="23" t="e">
        <f>AG31/Convert!$C$17*1000</f>
        <v>#N/A</v>
      </c>
      <c r="AH40" s="23" t="e">
        <f>AH31/Convert!$C$17*1000</f>
        <v>#N/A</v>
      </c>
      <c r="AI40" s="23" t="e">
        <f>AI31/Convert!$C$17*1000</f>
        <v>#N/A</v>
      </c>
      <c r="AJ40" s="23" t="e">
        <f>AJ31/Convert!$C$17*1000</f>
        <v>#N/A</v>
      </c>
      <c r="AK40" s="23">
        <f>AK31/Convert!$C$17*1000</f>
        <v>82.754924749163877</v>
      </c>
      <c r="AL40" s="23" t="e">
        <f>AL31/Convert!$C$17*1000</f>
        <v>#N/A</v>
      </c>
      <c r="AM40" s="23">
        <f>AM31/Convert!$C$17*1000</f>
        <v>82.754924749163877</v>
      </c>
      <c r="AN40" s="23" t="e">
        <f>AN31/Convert!$C$17*1000</f>
        <v>#N/A</v>
      </c>
      <c r="AO40" s="23">
        <f>AO31/Convert!$C$17*1000</f>
        <v>82.754924749163877</v>
      </c>
      <c r="AP40" s="23">
        <f>AP31/Convert!$C$17*1000</f>
        <v>82.754924749163877</v>
      </c>
      <c r="AQ40" s="23">
        <f>AQ31/Convert!$C$17*1000</f>
        <v>82.754924749163877</v>
      </c>
      <c r="AR40" s="23" t="e">
        <f>AR31/Convert!$C$17*1000</f>
        <v>#N/A</v>
      </c>
      <c r="AS40" s="23" t="e">
        <f>AS31/Convert!$C$17*1000</f>
        <v>#N/A</v>
      </c>
      <c r="AT40" s="23" t="e">
        <f>AT31/Convert!$C$17*1000</f>
        <v>#N/A</v>
      </c>
      <c r="AU40" s="23" t="e">
        <f>AU31/Convert!$C$17*1000</f>
        <v>#N/A</v>
      </c>
      <c r="AV40" s="23" t="e">
        <f>AV31/Convert!$C$17*1000</f>
        <v>#N/A</v>
      </c>
      <c r="AW40" s="23" t="e">
        <f>AW31/Convert!$C$17*1000</f>
        <v>#N/A</v>
      </c>
      <c r="AX40" s="23" t="e">
        <f>AX31/Convert!$C$17*1000</f>
        <v>#N/A</v>
      </c>
      <c r="AY40" s="23" t="e">
        <f>AY31/Convert!$C$17*1000</f>
        <v>#N/A</v>
      </c>
      <c r="AZ40" s="23" t="e">
        <f>AZ31/Convert!$C$17*1000</f>
        <v>#N/A</v>
      </c>
      <c r="BA40" s="23" t="e">
        <f>BA31/Convert!$C$17*1000</f>
        <v>#N/A</v>
      </c>
      <c r="BB40" s="23" t="e">
        <f>BB31/Convert!$C$17*1000</f>
        <v>#N/A</v>
      </c>
      <c r="BC40" s="23">
        <f>BC31/Convert!$C$17*1000</f>
        <v>82.754924749163877</v>
      </c>
      <c r="BD40" s="23">
        <f>BD31/Convert!$C$17*1000</f>
        <v>82.754924749163877</v>
      </c>
      <c r="BE40" s="23">
        <f>BE31/Convert!$C$17*1000</f>
        <v>82.754924749163877</v>
      </c>
      <c r="BF40" s="23">
        <f>BF31/Convert!$C$17*1000</f>
        <v>82.754924749163877</v>
      </c>
      <c r="BG40" s="23">
        <f>BG31/Convert!$C$17*1000</f>
        <v>82.754924749163877</v>
      </c>
      <c r="BH40" s="23">
        <f>BH31/Convert!$C$17*1000</f>
        <v>82.754924749163877</v>
      </c>
      <c r="BI40" s="23">
        <f>BI31/Convert!$C$17*1000</f>
        <v>82.754924749163877</v>
      </c>
      <c r="BJ40" s="23">
        <f>BJ31/Convert!$C$17*1000</f>
        <v>82.754924749163877</v>
      </c>
      <c r="BK40" s="23">
        <f>BK31/Convert!$C$17*1000</f>
        <v>82.754924749163877</v>
      </c>
      <c r="BL40" s="23" t="e">
        <f>BL31/Convert!$C$17*1000</f>
        <v>#N/A</v>
      </c>
      <c r="BM40" s="23" t="e">
        <f>BM31/Convert!$C$17*1000</f>
        <v>#N/A</v>
      </c>
      <c r="BN40" s="23" t="e">
        <f>BN31/Convert!$C$17*1000</f>
        <v>#N/A</v>
      </c>
      <c r="BO40" s="23" t="e">
        <f>BO31/Convert!$C$17*1000</f>
        <v>#N/A</v>
      </c>
      <c r="BP40" s="23" t="e">
        <f>BP31/Convert!$C$17*1000</f>
        <v>#N/A</v>
      </c>
      <c r="BQ40" s="23" t="e">
        <f>BQ31/Convert!$C$17*1000</f>
        <v>#N/A</v>
      </c>
      <c r="BR40" s="23" t="e">
        <f>BR31/Convert!$C$17*1000</f>
        <v>#N/A</v>
      </c>
      <c r="BS40" s="23" t="e">
        <f>BS31/Convert!$C$17*1000</f>
        <v>#N/A</v>
      </c>
      <c r="BT40" s="23" t="e">
        <f>BT31/Convert!$C$17*1000</f>
        <v>#N/A</v>
      </c>
      <c r="BU40" s="23" t="e">
        <f>BU31/Convert!$C$17*1000</f>
        <v>#N/A</v>
      </c>
      <c r="BV40" s="23" t="e">
        <f>BV31/Convert!$C$17*1000</f>
        <v>#N/A</v>
      </c>
      <c r="BW40" s="23" t="e">
        <f>BW31/Convert!$C$17*1000</f>
        <v>#N/A</v>
      </c>
      <c r="BX40" s="23" t="e">
        <f>BX31/Convert!$C$17*1000</f>
        <v>#N/A</v>
      </c>
      <c r="BY40" s="23" t="e">
        <f>BY31/Convert!$C$17*1000</f>
        <v>#N/A</v>
      </c>
      <c r="BZ40" s="23" t="e">
        <f>BZ31/Convert!$C$17*1000</f>
        <v>#N/A</v>
      </c>
      <c r="CA40" s="23" t="e">
        <f>CA31/Convert!$C$17*1000</f>
        <v>#N/A</v>
      </c>
      <c r="CB40" s="23" t="e">
        <f>CB31/Convert!$C$17*1000</f>
        <v>#N/A</v>
      </c>
      <c r="CC40" s="23" t="e">
        <f>CC31/Convert!$C$17*1000</f>
        <v>#N/A</v>
      </c>
      <c r="CD40" s="23" t="e">
        <f>CD31/Convert!$C$17*1000</f>
        <v>#N/A</v>
      </c>
      <c r="CE40" s="23" t="e">
        <f>CE31/Convert!$C$17*1000</f>
        <v>#N/A</v>
      </c>
      <c r="CF40" s="23" t="e">
        <f>CF31/Convert!$C$17*1000</f>
        <v>#N/A</v>
      </c>
      <c r="CG40" s="23" t="e">
        <f>CG31/Convert!$C$17*1000</f>
        <v>#N/A</v>
      </c>
      <c r="CH40" s="23">
        <f>CH31/Convert!$C$17*1000</f>
        <v>82.754924749163877</v>
      </c>
      <c r="CI40" s="23">
        <f>CI31/Convert!$C$17*1000</f>
        <v>82.754924749163877</v>
      </c>
      <c r="CJ40" s="23">
        <f>CJ31/Convert!$C$17*1000</f>
        <v>82.754924749163877</v>
      </c>
      <c r="CK40" s="23" t="e">
        <f>CK31/Convert!$C$17*1000</f>
        <v>#N/A</v>
      </c>
      <c r="CL40" s="23" t="e">
        <f>CL31/Convert!$C$17*1000</f>
        <v>#N/A</v>
      </c>
      <c r="CM40" s="23" t="e">
        <f>CM31/Convert!$C$17*1000</f>
        <v>#N/A</v>
      </c>
      <c r="CN40" s="23">
        <f>CN31/Convert!$C$17*1000</f>
        <v>82.754924749163877</v>
      </c>
      <c r="CO40" s="23">
        <f>CO31/Convert!$C$17*1000</f>
        <v>82.754924749163877</v>
      </c>
      <c r="CP40" s="23">
        <f>CP31/Convert!$C$17*1000</f>
        <v>82.754924749163877</v>
      </c>
      <c r="CQ40" s="23" t="e">
        <f>CQ31/Convert!$C$17*1000</f>
        <v>#N/A</v>
      </c>
      <c r="CR40" s="23" t="e">
        <f>CR31/Convert!$C$17*1000</f>
        <v>#N/A</v>
      </c>
      <c r="CS40" s="23">
        <f>CS31/Convert!$C$17*1000</f>
        <v>82.754924749163877</v>
      </c>
      <c r="CT40" s="23">
        <f>CT31/Convert!$C$17*1000</f>
        <v>82.754924749163877</v>
      </c>
      <c r="CU40" s="23">
        <f>CU31/Convert!$C$17*1000</f>
        <v>82.754924749163877</v>
      </c>
      <c r="CV40" s="23" t="e">
        <f>CV31/Convert!$C$17*1000</f>
        <v>#N/A</v>
      </c>
      <c r="CW40" s="23" t="e">
        <f>CW31/Convert!$C$17*1000</f>
        <v>#N/A</v>
      </c>
      <c r="CX40" s="23" t="e">
        <f>CX31/Convert!$C$17*1000</f>
        <v>#N/A</v>
      </c>
      <c r="CY40" s="23">
        <f>CY31/Convert!$C$17*1000</f>
        <v>82.754924749163877</v>
      </c>
      <c r="CZ40" s="23">
        <f>CZ31/Convert!$C$17*1000</f>
        <v>82.754924749163877</v>
      </c>
      <c r="DA40" s="23">
        <f>DA31/Convert!$C$17*1000</f>
        <v>82.754924749163877</v>
      </c>
      <c r="DB40" s="23" t="e">
        <f>DB31/Convert!$C$17*1000</f>
        <v>#N/A</v>
      </c>
      <c r="DC40" s="23" t="e">
        <f>DC31/Convert!$C$17*1000</f>
        <v>#N/A</v>
      </c>
      <c r="DD40" s="23" t="e">
        <f>DD31/Convert!$C$17*1000</f>
        <v>#N/A</v>
      </c>
      <c r="DE40" s="23">
        <f>DE31/Convert!$C$17*1000</f>
        <v>82.754924749163877</v>
      </c>
      <c r="DF40" s="23">
        <f>DF31/Convert!$C$17*1000</f>
        <v>82.754924749163877</v>
      </c>
      <c r="DG40" s="23"/>
      <c r="DH40" s="23" t="e">
        <f>DH31/Convert!$C$17*1000</f>
        <v>#N/A</v>
      </c>
      <c r="DI40" s="23" t="e">
        <f>DI31/Convert!$C$17*1000</f>
        <v>#N/A</v>
      </c>
      <c r="DJ40" s="23" t="e">
        <f>DJ31/Convert!$C$17*1000</f>
        <v>#N/A</v>
      </c>
      <c r="DK40" s="23">
        <f>DK31/Convert!$C$17*1000</f>
        <v>89.090678850135376</v>
      </c>
      <c r="DL40" s="23">
        <f>DL31/Convert!$C$17*1000</f>
        <v>89.090678850135376</v>
      </c>
      <c r="DM40" s="23">
        <f>DM31/Convert!$C$17*1000</f>
        <v>89.090678850135376</v>
      </c>
      <c r="DN40" s="23">
        <f>DN31/Convert!$C$17*1000</f>
        <v>89.090678850135376</v>
      </c>
      <c r="DO40" s="23">
        <f>DO31/Convert!$C$17*1000</f>
        <v>89.090678850135376</v>
      </c>
      <c r="DP40" s="23">
        <f>DP31/Convert!$C$17*1000</f>
        <v>89.090678850135376</v>
      </c>
      <c r="DQ40" s="23">
        <f>DQ31/Convert!$C$17*1000</f>
        <v>89.090678850135376</v>
      </c>
      <c r="DR40" s="23">
        <f>DR31/Convert!$C$17*1000</f>
        <v>89.090678850135376</v>
      </c>
      <c r="DS40" s="23" t="e">
        <f>DS31/Convert!$C$17*1000</f>
        <v>#N/A</v>
      </c>
      <c r="DT40" s="23" t="e">
        <f>DT31/Convert!$C$17*1000</f>
        <v>#N/A</v>
      </c>
      <c r="DU40" s="23" t="e">
        <f>DU31/Convert!$C$17*1000</f>
        <v>#N/A</v>
      </c>
      <c r="DV40" s="23" t="e">
        <f>DV31/Convert!$C$17*1000</f>
        <v>#N/A</v>
      </c>
      <c r="DW40" s="23" t="e">
        <f>DW31/Convert!$C$17*1000</f>
        <v>#N/A</v>
      </c>
      <c r="DX40" s="23" t="e">
        <f>DX31/Convert!$C$17*1000</f>
        <v>#N/A</v>
      </c>
      <c r="DY40" s="23" t="e">
        <f>DY31/Convert!$C$17*1000</f>
        <v>#N/A</v>
      </c>
      <c r="DZ40" s="23" t="e">
        <f>DZ31/Convert!$C$17*1000</f>
        <v>#N/A</v>
      </c>
      <c r="EA40" s="23" t="e">
        <f>EA31/Convert!$C$17*1000</f>
        <v>#N/A</v>
      </c>
      <c r="EB40" s="23" t="e">
        <f>EB31/Convert!$C$17*1000</f>
        <v>#N/A</v>
      </c>
      <c r="EC40" s="23" t="e">
        <f>EC31/Convert!$C$17*1000</f>
        <v>#N/A</v>
      </c>
      <c r="ED40" s="23" t="e">
        <f>ED31/Convert!$C$17*1000</f>
        <v>#N/A</v>
      </c>
    </row>
    <row r="41" spans="1:134" x14ac:dyDescent="0.3">
      <c r="A41" s="21" t="s">
        <v>339</v>
      </c>
      <c r="B41" s="124" t="s">
        <v>344</v>
      </c>
      <c r="C41" s="21" t="s">
        <v>334</v>
      </c>
      <c r="D41" s="23">
        <f>D32/Convert!$B$12</f>
        <v>35.957516917609397</v>
      </c>
      <c r="E41" s="23">
        <f>E32/Convert!$B$12</f>
        <v>294.94341640006837</v>
      </c>
      <c r="F41" s="23">
        <f>F32/Convert!$B$12</f>
        <v>0</v>
      </c>
      <c r="G41" s="23">
        <f>G32/Convert!$B$12</f>
        <v>35.957516917609397</v>
      </c>
      <c r="H41" s="23">
        <f>H32/Convert!$B$12</f>
        <v>35.957516917609397</v>
      </c>
      <c r="I41" s="23">
        <f>I32/Convert!$B$12</f>
        <v>35.957516917609397</v>
      </c>
      <c r="J41" s="23">
        <f>J32/Convert!$B$12</f>
        <v>35.957516917609397</v>
      </c>
      <c r="K41" s="23">
        <f>K32/Convert!$B$12</f>
        <v>35.957516917609397</v>
      </c>
      <c r="L41" s="23">
        <f>L32/Convert!$B$12</f>
        <v>35.957516917609397</v>
      </c>
      <c r="M41" s="23">
        <f>M32/Convert!$B$12</f>
        <v>35.957516917609397</v>
      </c>
      <c r="N41" s="23">
        <f>N32/Convert!$B$12</f>
        <v>35.957516917609397</v>
      </c>
      <c r="O41" s="23">
        <f>O32/Convert!$B$12</f>
        <v>35.957516917609397</v>
      </c>
      <c r="P41" s="23">
        <f>P32/Convert!$B$12</f>
        <v>35.957516917609397</v>
      </c>
      <c r="Q41" s="23">
        <f>Q32/Convert!$B$12</f>
        <v>35.957516917609397</v>
      </c>
      <c r="R41" s="23">
        <f>R32/Convert!$B$12</f>
        <v>35.957516917609397</v>
      </c>
      <c r="S41" s="23">
        <f>S32/Convert!$B$12</f>
        <v>35.957516917609397</v>
      </c>
      <c r="T41" s="23">
        <f>T32/Convert!$B$12</f>
        <v>35.957516917609397</v>
      </c>
      <c r="U41" s="23">
        <f>U32/Convert!$B$12</f>
        <v>294.94341640006837</v>
      </c>
      <c r="V41" s="23">
        <f>V32/Convert!$B$12</f>
        <v>0</v>
      </c>
      <c r="W41" s="23">
        <f>W32/Convert!$B$12</f>
        <v>35.957516917609397</v>
      </c>
      <c r="X41" s="23">
        <f>X32/Convert!$B$12</f>
        <v>0</v>
      </c>
      <c r="Y41" s="23">
        <f>Y32/Convert!$B$12</f>
        <v>0</v>
      </c>
      <c r="Z41" s="23">
        <f>Z32/Convert!$B$12</f>
        <v>35.957516917609397</v>
      </c>
      <c r="AA41" s="23">
        <f>AA32/Convert!$B$12</f>
        <v>35.957516917609397</v>
      </c>
      <c r="AB41" s="23">
        <f>AB32/Convert!$B$12</f>
        <v>35.957516917609397</v>
      </c>
      <c r="AC41" s="23">
        <f>AC32/Convert!$B$12</f>
        <v>35.957516917609397</v>
      </c>
      <c r="AD41" s="23">
        <f>AD32/Convert!$B$12</f>
        <v>35.957516917609397</v>
      </c>
      <c r="AE41" s="23">
        <f>AE32/Convert!$B$12</f>
        <v>35.957516917609397</v>
      </c>
      <c r="AF41" s="23">
        <f>AF32/Convert!$B$12</f>
        <v>143.42939072599225</v>
      </c>
      <c r="AG41" s="23">
        <f>AG32/Convert!$B$12</f>
        <v>35.957516917609397</v>
      </c>
      <c r="AH41" s="23">
        <f>AH32/Convert!$B$12</f>
        <v>35.957516917609397</v>
      </c>
      <c r="AI41" s="23">
        <f>AI32/Convert!$B$12</f>
        <v>35.957516917609397</v>
      </c>
      <c r="AJ41" s="23">
        <f>AJ32/Convert!$B$12</f>
        <v>35.957516917609397</v>
      </c>
      <c r="AK41" s="23">
        <f>AK32/Convert!$B$12</f>
        <v>35.957516917609397</v>
      </c>
      <c r="AL41" s="23">
        <f>AL32/Convert!$B$12</f>
        <v>35.957516917609397</v>
      </c>
      <c r="AM41" s="23">
        <f>AM32/Convert!$B$12</f>
        <v>35.957516917609397</v>
      </c>
      <c r="AN41" s="23">
        <f>AN32/Convert!$B$12</f>
        <v>35.957516917609397</v>
      </c>
      <c r="AO41" s="23">
        <f>AO32/Convert!$B$12</f>
        <v>35.957516917609397</v>
      </c>
      <c r="AP41" s="23">
        <f>AP32/Convert!$B$12</f>
        <v>35.957516917609397</v>
      </c>
      <c r="AQ41" s="23">
        <f>AQ32/Convert!$B$12</f>
        <v>35.957516917609397</v>
      </c>
      <c r="AR41" s="23">
        <f>AR32/Convert!$B$12</f>
        <v>35.957516917609397</v>
      </c>
      <c r="AS41" s="23">
        <f>AS32/Convert!$B$12</f>
        <v>294.94341640006837</v>
      </c>
      <c r="AT41" s="23">
        <f>AT32/Convert!$B$12</f>
        <v>0</v>
      </c>
      <c r="AU41" s="23">
        <f>AU32/Convert!$B$12</f>
        <v>35.957516917609397</v>
      </c>
      <c r="AV41" s="23">
        <f>AV32/Convert!$B$12</f>
        <v>35.957516917609397</v>
      </c>
      <c r="AW41" s="23">
        <f>AW32/Convert!$B$12</f>
        <v>35.957516917609397</v>
      </c>
      <c r="AX41" s="23">
        <f>AX32/Convert!$B$12</f>
        <v>35.957516917609397</v>
      </c>
      <c r="AY41" s="23">
        <f>AY32/Convert!$B$12</f>
        <v>35.957516917609397</v>
      </c>
      <c r="AZ41" s="23">
        <f>AZ32/Convert!$B$12</f>
        <v>35.957516917609397</v>
      </c>
      <c r="BA41" s="23">
        <f>BA32/Convert!$B$12</f>
        <v>35.957516917609397</v>
      </c>
      <c r="BB41" s="23">
        <f>BB32/Convert!$B$12</f>
        <v>35.957516917609397</v>
      </c>
      <c r="BC41" s="23">
        <f>BC32/Convert!$B$12</f>
        <v>35.957516917609397</v>
      </c>
      <c r="BD41" s="23">
        <f>BD32/Convert!$B$12</f>
        <v>35.957516917609397</v>
      </c>
      <c r="BE41" s="23">
        <f>BE32/Convert!$B$12</f>
        <v>35.957516917609397</v>
      </c>
      <c r="BF41" s="23">
        <f>BF32/Convert!$B$12</f>
        <v>35.957516917609397</v>
      </c>
      <c r="BG41" s="23">
        <f>BG32/Convert!$B$12</f>
        <v>35.957516917609397</v>
      </c>
      <c r="BH41" s="23">
        <f>BH32/Convert!$B$12</f>
        <v>35.957516917609397</v>
      </c>
      <c r="BI41" s="23">
        <f>BI32/Convert!$B$12</f>
        <v>35.957516917609397</v>
      </c>
      <c r="BJ41" s="23">
        <f>BJ32/Convert!$B$12</f>
        <v>35.957516917609397</v>
      </c>
      <c r="BK41" s="23">
        <f>BK32/Convert!$B$12</f>
        <v>35.957516917609397</v>
      </c>
      <c r="BL41" s="23">
        <f>BL32/Convert!$B$12</f>
        <v>35.957516917609397</v>
      </c>
      <c r="BM41" s="23">
        <f>BM32/Convert!$B$12</f>
        <v>35.957516917609397</v>
      </c>
      <c r="BN41" s="23">
        <f>BN32/Convert!$B$12</f>
        <v>35.957516917609397</v>
      </c>
      <c r="BO41" s="23">
        <f>BO32/Convert!$B$12</f>
        <v>294.94341640006837</v>
      </c>
      <c r="BP41" s="23">
        <f>BP32/Convert!$B$12</f>
        <v>0</v>
      </c>
      <c r="BQ41" s="23">
        <f>BQ32/Convert!$B$12</f>
        <v>35.957516917609397</v>
      </c>
      <c r="BR41" s="23">
        <f>BR32/Convert!$B$12</f>
        <v>35.957516917609397</v>
      </c>
      <c r="BS41" s="23">
        <f>BS32/Convert!$B$12</f>
        <v>35.957516917609397</v>
      </c>
      <c r="BT41" s="23">
        <f>BT32/Convert!$B$12</f>
        <v>35.957516917609397</v>
      </c>
      <c r="BU41" s="23">
        <f>BU32/Convert!$B$12</f>
        <v>35.957516917609397</v>
      </c>
      <c r="BV41" s="23">
        <f>BV32/Convert!$B$12</f>
        <v>35.957516917609397</v>
      </c>
      <c r="BW41" s="23">
        <f>BW32/Convert!$B$12</f>
        <v>35.957516917609397</v>
      </c>
      <c r="BX41" s="23">
        <f>BX32/Convert!$B$12</f>
        <v>294.94341640006837</v>
      </c>
      <c r="BY41" s="23">
        <f>BY32/Convert!$B$12</f>
        <v>0</v>
      </c>
      <c r="BZ41" s="23">
        <f>BZ32/Convert!$B$12</f>
        <v>35.957516917609397</v>
      </c>
      <c r="CA41" s="23">
        <f>CA32/Convert!$B$12</f>
        <v>35.957516917609397</v>
      </c>
      <c r="CB41" s="23">
        <f>CB32/Convert!$B$12</f>
        <v>35.957516917609397</v>
      </c>
      <c r="CC41" s="23">
        <f>CC32/Convert!$B$12</f>
        <v>35.957516917609397</v>
      </c>
      <c r="CD41" s="23">
        <f>CD32/Convert!$B$12</f>
        <v>35.957516917609397</v>
      </c>
      <c r="CE41" s="23">
        <f>CE32/Convert!$B$12</f>
        <v>35.957516917609397</v>
      </c>
      <c r="CF41" s="23">
        <f>CF32/Convert!$B$12</f>
        <v>35.957516917609397</v>
      </c>
      <c r="CG41" s="23">
        <f>CG32/Convert!$B$12</f>
        <v>35.957516917609397</v>
      </c>
      <c r="CH41" s="23">
        <f>CH32/Convert!$B$12</f>
        <v>35.957516917609397</v>
      </c>
      <c r="CI41" s="23">
        <f>CI32/Convert!$B$12</f>
        <v>35.957516917609397</v>
      </c>
      <c r="CJ41" s="23">
        <f>CJ32/Convert!$B$12</f>
        <v>35.957516917609397</v>
      </c>
      <c r="CK41" s="23">
        <f>CK32/Convert!$B$12</f>
        <v>35.957516917609397</v>
      </c>
      <c r="CL41" s="23">
        <f>CL32/Convert!$B$12</f>
        <v>35.957516917609397</v>
      </c>
      <c r="CM41" s="23">
        <f>CM32/Convert!$B$12</f>
        <v>35.957516917609397</v>
      </c>
      <c r="CN41" s="23">
        <f>CN32/Convert!$B$12</f>
        <v>35.957516917609397</v>
      </c>
      <c r="CO41" s="23">
        <f>CO32/Convert!$B$12</f>
        <v>35.957516917609397</v>
      </c>
      <c r="CP41" s="23">
        <f>CP32/Convert!$B$12</f>
        <v>35.957516917609397</v>
      </c>
      <c r="CQ41" s="23">
        <f>CQ32/Convert!$B$12</f>
        <v>35.957516917609397</v>
      </c>
      <c r="CR41" s="23">
        <f>CR32/Convert!$B$12</f>
        <v>35.957516917609397</v>
      </c>
      <c r="CS41" s="23">
        <f>CS32/Convert!$B$12</f>
        <v>35.957516917609397</v>
      </c>
      <c r="CT41" s="23">
        <f>CT32/Convert!$B$12</f>
        <v>35.957516917609397</v>
      </c>
      <c r="CU41" s="23">
        <f>CU32/Convert!$B$12</f>
        <v>35.957516917609397</v>
      </c>
      <c r="CV41" s="23">
        <f>CV32/Convert!$B$12</f>
        <v>35.957516917609397</v>
      </c>
      <c r="CW41" s="23">
        <f>CW32/Convert!$B$12</f>
        <v>35.957516917609397</v>
      </c>
      <c r="CX41" s="23">
        <f>CX32/Convert!$B$12</f>
        <v>35.957516917609397</v>
      </c>
      <c r="CY41" s="23">
        <f>CY32/Convert!$B$12</f>
        <v>35.957516917609397</v>
      </c>
      <c r="CZ41" s="23">
        <f>CZ32/Convert!$B$12</f>
        <v>35.957516917609397</v>
      </c>
      <c r="DA41" s="23">
        <f>DA32/Convert!$B$12</f>
        <v>35.957516917609397</v>
      </c>
      <c r="DB41" s="23">
        <f>DB32/Convert!$B$12</f>
        <v>35.957516917609397</v>
      </c>
      <c r="DC41" s="23">
        <f>DC32/Convert!$B$12</f>
        <v>35.957516917609397</v>
      </c>
      <c r="DD41" s="23">
        <f>DD32/Convert!$B$12</f>
        <v>35.957516917609397</v>
      </c>
      <c r="DE41" s="23">
        <f>DE32/Convert!$B$12</f>
        <v>35.957516917609397</v>
      </c>
      <c r="DF41" s="23">
        <f>DF32/Convert!$B$12</f>
        <v>35.957516917609397</v>
      </c>
      <c r="DG41" s="23"/>
      <c r="DH41" s="23">
        <f>DH32/Convert!$B$12</f>
        <v>35.957516917609397</v>
      </c>
      <c r="DI41" s="23">
        <f>DI32/Convert!$B$12</f>
        <v>35.957516917609397</v>
      </c>
      <c r="DJ41" s="23">
        <f>DJ32/Convert!$B$12</f>
        <v>35.957516917609397</v>
      </c>
      <c r="DK41" s="23">
        <f>DK32/Convert!$B$12</f>
        <v>35.957516917609397</v>
      </c>
      <c r="DL41" s="23">
        <f>DL32/Convert!$B$12</f>
        <v>35.957516917609397</v>
      </c>
      <c r="DM41" s="23">
        <f>DM32/Convert!$B$12</f>
        <v>35.957516917609397</v>
      </c>
      <c r="DN41" s="23">
        <f>DN32/Convert!$B$12</f>
        <v>35.957516917609397</v>
      </c>
      <c r="DO41" s="23">
        <f>DO32/Convert!$B$12</f>
        <v>35.957516917609397</v>
      </c>
      <c r="DP41" s="23">
        <f>DP32/Convert!$B$12</f>
        <v>35.957516917609397</v>
      </c>
      <c r="DQ41" s="23">
        <f>DQ32/Convert!$B$12</f>
        <v>35.957516917609397</v>
      </c>
      <c r="DR41" s="23">
        <f>DR32/Convert!$B$12</f>
        <v>35.957516917609397</v>
      </c>
      <c r="DS41" s="23">
        <f>DS32/Convert!$B$12</f>
        <v>0</v>
      </c>
      <c r="DT41" s="23">
        <f>DT32/Convert!$B$12</f>
        <v>35.957516917609397</v>
      </c>
      <c r="DU41" s="23">
        <f>DU32/Convert!$B$12</f>
        <v>35.957516917609397</v>
      </c>
      <c r="DV41" s="23">
        <f>DV32/Convert!$B$12</f>
        <v>35.957516917609397</v>
      </c>
      <c r="DW41" s="23">
        <f>DW32/Convert!$B$12</f>
        <v>35.957516917609397</v>
      </c>
      <c r="DX41" s="23">
        <f>DX32/Convert!$B$12</f>
        <v>35.957516917609397</v>
      </c>
      <c r="DY41" s="23">
        <f>DY32/Convert!$B$12</f>
        <v>35.957516917609397</v>
      </c>
      <c r="DZ41" s="23">
        <f>DZ32/Convert!$B$12</f>
        <v>35.957516917609397</v>
      </c>
      <c r="EA41" s="23">
        <f>EA32/Convert!$B$12</f>
        <v>35.957516917609397</v>
      </c>
      <c r="EB41" s="23">
        <f>EB32/Convert!$B$12</f>
        <v>35.957516917609397</v>
      </c>
      <c r="EC41" s="23">
        <f>EC32/Convert!$B$12</f>
        <v>35.957516917609397</v>
      </c>
      <c r="ED41" s="23">
        <f>ED32/Convert!$B$12</f>
        <v>35.957516917609397</v>
      </c>
    </row>
    <row r="43" spans="1:134" x14ac:dyDescent="0.3">
      <c r="A43" s="21" t="s">
        <v>335</v>
      </c>
      <c r="B43" s="21" t="s">
        <v>169</v>
      </c>
      <c r="C43" s="21" t="s">
        <v>848</v>
      </c>
      <c r="D43" s="21">
        <f t="shared" ref="D43:AR43" si="56">D12*
(IF(D35=0,0,(1+D27)*D35*(1-D6))
+IF(D37=0,0,(1+D29)*D37*(1-D6))
+(1+D28)*D36*D6)</f>
        <v>678.01610820073199</v>
      </c>
      <c r="E43" s="21">
        <f t="shared" si="56"/>
        <v>48.159735698801093</v>
      </c>
      <c r="F43" s="21">
        <f t="shared" si="56"/>
        <v>152.83320189274454</v>
      </c>
      <c r="G43" s="21">
        <f t="shared" si="56"/>
        <v>69.824102051921983</v>
      </c>
      <c r="H43" s="21">
        <f t="shared" si="56"/>
        <v>209.47230615576595</v>
      </c>
      <c r="I43" s="21">
        <f t="shared" ref="I43" si="57">I12*
(IF(I35=0,0,(1+I27)*I35*(1-I6))
+IF(I37=0,0,(1+I29)*I37*(1-I6))
+(1+I28)*I36*I6)</f>
        <v>186.19760547179195</v>
      </c>
      <c r="J43" s="21">
        <f t="shared" si="56"/>
        <v>186.19760547179195</v>
      </c>
      <c r="K43" s="21">
        <f t="shared" si="56"/>
        <v>139.64820410384397</v>
      </c>
      <c r="L43" s="21">
        <f t="shared" si="56"/>
        <v>186.19760547179195</v>
      </c>
      <c r="M43" s="21">
        <f t="shared" si="56"/>
        <v>186.19760547179195</v>
      </c>
      <c r="N43" s="21">
        <f t="shared" si="56"/>
        <v>186.19760547179195</v>
      </c>
      <c r="O43" s="21">
        <f t="shared" si="56"/>
        <v>335.1556898492255</v>
      </c>
      <c r="P43" s="21">
        <f t="shared" si="56"/>
        <v>111.71856328307516</v>
      </c>
      <c r="Q43" s="21">
        <f t="shared" si="56"/>
        <v>248.26347396238927</v>
      </c>
      <c r="R43" s="21">
        <f t="shared" si="56"/>
        <v>248.26347396238927</v>
      </c>
      <c r="S43" s="21">
        <f t="shared" si="56"/>
        <v>248.26347396238927</v>
      </c>
      <c r="T43" s="21">
        <f t="shared" si="56"/>
        <v>248.26347396238927</v>
      </c>
      <c r="U43" s="21">
        <f t="shared" si="56"/>
        <v>285.39102636326578</v>
      </c>
      <c r="V43" s="21">
        <f t="shared" si="56"/>
        <v>100.63091482649845</v>
      </c>
      <c r="W43" s="21">
        <f t="shared" si="56"/>
        <v>248.26347396238927</v>
      </c>
      <c r="X43" s="21">
        <f t="shared" ref="X43:Y43" si="58">X12*
(IF(X35=0,0,(1+X27)*X35*(1-X6))
+IF(X37=0,0,(1+X29)*X37*(1-X6))
+(1+X28)*X36*X6)</f>
        <v>385.37981072555203</v>
      </c>
      <c r="Y43" s="21">
        <f t="shared" si="58"/>
        <v>256.91987381703473</v>
      </c>
      <c r="Z43" s="21">
        <f t="shared" si="56"/>
        <v>633.83921843270355</v>
      </c>
      <c r="AA43" s="21">
        <f t="shared" ref="AA43" si="59">AA12*
(IF(AA35=0,0,(1+AA27)*AA35*(1-AA6))
+IF(AA37=0,0,(1+AA29)*AA37*(1-AA6))
+(1+AA28)*AA36*AA6)</f>
        <v>950.75882764905521</v>
      </c>
      <c r="AB43" s="21">
        <f t="shared" ref="AB43:AC43" si="60">AB12*
(IF(AB35=0,0,(1+AB27)*AB35*(1-AB6))
+IF(AB37=0,0,(1+AB29)*AB37*(1-AB6))
+(1+AB28)*AB36*AB6)</f>
        <v>633.83921843270355</v>
      </c>
      <c r="AC43" s="21">
        <f t="shared" si="60"/>
        <v>633.83921843270355</v>
      </c>
      <c r="AD43" s="21">
        <f t="shared" ref="AD43" si="61">AD12*
(IF(AD35=0,0,(1+AD27)*AD35*(1-AD6))
+IF(AD37=0,0,(1+AD29)*AD37*(1-AD6))
+(1+AD28)*AD36*AD6)</f>
        <v>633.83921843270355</v>
      </c>
      <c r="AE43" s="21">
        <f t="shared" ref="AE43" si="62">AE12*
(IF(AE35=0,0,(1+AE27)*AE35*(1-AE6))
+IF(AE37=0,0,(1+AE29)*AE37*(1-AE6))
+(1+AE28)*AE36*AE6)</f>
        <v>633.83921843270355</v>
      </c>
      <c r="AF43" s="21">
        <f t="shared" si="56"/>
        <v>327.32119856560905</v>
      </c>
      <c r="AG43" s="21">
        <f t="shared" si="56"/>
        <v>0</v>
      </c>
      <c r="AH43" s="21">
        <f t="shared" si="56"/>
        <v>2635.85766361673</v>
      </c>
      <c r="AI43" s="21">
        <f t="shared" si="56"/>
        <v>0</v>
      </c>
      <c r="AJ43" s="21">
        <f t="shared" si="56"/>
        <v>1080.6231939381089</v>
      </c>
      <c r="AK43" s="21">
        <f t="shared" si="56"/>
        <v>38872.939674263442</v>
      </c>
      <c r="AL43" s="21">
        <f t="shared" si="56"/>
        <v>16022.905382046149</v>
      </c>
      <c r="AM43" s="21">
        <f t="shared" si="56"/>
        <v>15557.109122700123</v>
      </c>
      <c r="AN43" s="21">
        <f t="shared" si="56"/>
        <v>6412.4321335086734</v>
      </c>
      <c r="AO43" s="21">
        <f t="shared" si="56"/>
        <v>504948.14168996748</v>
      </c>
      <c r="AP43" s="21">
        <f t="shared" si="56"/>
        <v>376134.84023844521</v>
      </c>
      <c r="AQ43" s="21">
        <f t="shared" si="56"/>
        <v>340831.25201618258</v>
      </c>
      <c r="AR43" s="21">
        <f t="shared" si="56"/>
        <v>322644.55505319877</v>
      </c>
      <c r="AS43" s="21">
        <f t="shared" ref="AS43:BT43" si="63">AS12*
(IF(AS35=0,0,(1+AS27)*AS35*(1-AS6))
+IF(AS37=0,0,(1+AS29)*AS37*(1-AS6))
+(1+AS28)*AS36*AS6)</f>
        <v>370895.72319084388</v>
      </c>
      <c r="AT43" s="21">
        <f t="shared" si="63"/>
        <v>130780.48180261381</v>
      </c>
      <c r="AU43" s="21">
        <f t="shared" si="63"/>
        <v>322644.55505319877</v>
      </c>
      <c r="AV43" s="21">
        <f t="shared" si="63"/>
        <v>322644.55505319877</v>
      </c>
      <c r="AW43" s="21">
        <f t="shared" si="63"/>
        <v>322644.55505319877</v>
      </c>
      <c r="AX43" s="21">
        <f t="shared" si="63"/>
        <v>322644.55505319877</v>
      </c>
      <c r="AY43" s="21">
        <f t="shared" si="63"/>
        <v>914616.3393930617</v>
      </c>
      <c r="AZ43" s="21">
        <f t="shared" si="63"/>
        <v>527611.01392188238</v>
      </c>
      <c r="BA43" s="21">
        <f t="shared" si="63"/>
        <v>1013002.8257991917</v>
      </c>
      <c r="BB43" s="21">
        <f t="shared" si="63"/>
        <v>352904.17115859571</v>
      </c>
      <c r="BC43" s="21">
        <f t="shared" si="63"/>
        <v>944604.80996054062</v>
      </c>
      <c r="BD43" s="21">
        <f t="shared" si="63"/>
        <v>944604.80996054062</v>
      </c>
      <c r="BE43" s="21">
        <f t="shared" si="63"/>
        <v>944604.80996054062</v>
      </c>
      <c r="BF43" s="21">
        <f t="shared" si="63"/>
        <v>944604.80996054062</v>
      </c>
      <c r="BG43" s="21">
        <f t="shared" si="63"/>
        <v>944604.80996054062</v>
      </c>
      <c r="BH43" s="21">
        <f t="shared" si="63"/>
        <v>944604.80996054062</v>
      </c>
      <c r="BI43" s="21">
        <f t="shared" si="63"/>
        <v>944604.80996054062</v>
      </c>
      <c r="BJ43" s="21">
        <f t="shared" si="63"/>
        <v>703634.19517468847</v>
      </c>
      <c r="BK43" s="21">
        <f t="shared" si="63"/>
        <v>667696.86070466379</v>
      </c>
      <c r="BL43" s="21">
        <f t="shared" si="63"/>
        <v>603570.09650697233</v>
      </c>
      <c r="BM43" s="21">
        <f t="shared" si="63"/>
        <v>603570.09650697233</v>
      </c>
      <c r="BN43" s="21">
        <f t="shared" si="63"/>
        <v>603570.09650697233</v>
      </c>
      <c r="BO43" s="21">
        <f t="shared" si="63"/>
        <v>693833.39633117267</v>
      </c>
      <c r="BP43" s="21">
        <f t="shared" si="63"/>
        <v>244650.61252875271</v>
      </c>
      <c r="BQ43" s="21">
        <f t="shared" si="63"/>
        <v>603570.09650697233</v>
      </c>
      <c r="BR43" s="21">
        <f t="shared" si="63"/>
        <v>603570.09650697233</v>
      </c>
      <c r="BS43" s="21">
        <f t="shared" si="63"/>
        <v>603570.09650697233</v>
      </c>
      <c r="BT43" s="21">
        <f t="shared" si="63"/>
        <v>603570.09650697233</v>
      </c>
      <c r="BU43" s="21">
        <f t="shared" ref="BU43:CC43" si="64">BU12*
(IF(BU35=0,0,(1+BU27)*BU35*(1-BU6))
+IF(BU37=0,0,(1+BU29)*BU37*(1-BU6))
+(1+BU28)*BU36*BU6)</f>
        <v>603570.09650697233</v>
      </c>
      <c r="BV43" s="21">
        <f t="shared" si="64"/>
        <v>603570.09650697233</v>
      </c>
      <c r="BW43" s="21">
        <f t="shared" si="64"/>
        <v>603570.09650697233</v>
      </c>
      <c r="BX43" s="21">
        <f t="shared" si="64"/>
        <v>693833.39633117267</v>
      </c>
      <c r="BY43" s="21">
        <f t="shared" si="64"/>
        <v>244650.61252875271</v>
      </c>
      <c r="BZ43" s="21">
        <f t="shared" si="64"/>
        <v>603570.09650697233</v>
      </c>
      <c r="CA43" s="21">
        <f t="shared" si="64"/>
        <v>603570.09650697233</v>
      </c>
      <c r="CB43" s="21">
        <f t="shared" si="64"/>
        <v>603570.09650697233</v>
      </c>
      <c r="CC43" s="21">
        <f t="shared" si="64"/>
        <v>603570.09650697233</v>
      </c>
      <c r="CD43" s="21">
        <f>CD12*
(IF(CD35=0,0,(1+CD27)*CD35*(1-CD6))
+IF(CD37=0,0,(1+CD29)*CD37*(1-CD6))
+(1+CD28)*CD36*CD6)</f>
        <v>1710969.7454627817</v>
      </c>
      <c r="CE43" s="21">
        <f>CE12*
(IF(CE35=0,0,(1+CE27)*CE35*(1-CE6))
+IF(CE37=0,0,(1+CE29)*CE37*(1-CE6))
+(1+CE28)*CE36*CE6)</f>
        <v>987000.16970211954</v>
      </c>
      <c r="CF43" s="21">
        <f>CF12*
(IF(CF35=0,0,(1+CF27)*CF35*(1-CF6))
+IF(CF37=0,0,(1+CF29)*CF37*(1-CF6))
+(1+CF28)*CF36*CF6)</f>
        <v>1895021.018497092</v>
      </c>
      <c r="CG43" s="21">
        <f>CG12*
(IF(CG35=0,0,(1+CG27)*CG35*(1-CG6))
+IF(CG37=0,0,(1+CG29)*CG37*(1-CG6))
+(1+CG28)*CG36*CG6)</f>
        <v>660176.65975731751</v>
      </c>
      <c r="CH43" s="21">
        <f t="shared" ref="CH43:CM43" si="65">CH12*
(IF(CH35=0,0,(1+CH27)*CH35*(1-CH6))
+IF(CH37=0,0,(1+CH29)*CH37*(1-CH6))
+(1+CH28)*CH36*CH6)</f>
        <v>944604.80996054062</v>
      </c>
      <c r="CI43" s="21">
        <f t="shared" si="65"/>
        <v>703634.19517468847</v>
      </c>
      <c r="CJ43" s="21">
        <f t="shared" si="65"/>
        <v>667696.86070466379</v>
      </c>
      <c r="CK43" s="21">
        <f t="shared" si="65"/>
        <v>603570.09650697233</v>
      </c>
      <c r="CL43" s="21">
        <f t="shared" si="65"/>
        <v>603570.09650697233</v>
      </c>
      <c r="CM43" s="21">
        <f t="shared" si="65"/>
        <v>660176.65975731751</v>
      </c>
      <c r="CN43" s="21">
        <f t="shared" ref="CN43:CX43" si="66">CN12*
(IF(CN35=0,0,(1+CN27)*CN35*(1-CN6))
+IF(CN37=0,0,(1+CN29)*CN37*(1-CN6))
+(1+CN28)*CN36*CN6)</f>
        <v>657175.1549935604</v>
      </c>
      <c r="CO43" s="21">
        <f t="shared" si="66"/>
        <v>483774.1717469226</v>
      </c>
      <c r="CP43" s="21">
        <f t="shared" si="66"/>
        <v>388338.42132843978</v>
      </c>
      <c r="CQ43" s="21">
        <f t="shared" si="66"/>
        <v>339174.54990073649</v>
      </c>
      <c r="CR43" s="21">
        <f t="shared" si="66"/>
        <v>403279.9076456906</v>
      </c>
      <c r="CS43" s="21">
        <f t="shared" si="66"/>
        <v>1229375.3776692327</v>
      </c>
      <c r="CT43" s="21">
        <f t="shared" si="66"/>
        <v>904994.73478089855</v>
      </c>
      <c r="CU43" s="21">
        <f t="shared" si="66"/>
        <v>807845.78602265252</v>
      </c>
      <c r="CV43" s="21">
        <f t="shared" si="66"/>
        <v>634492.70291433297</v>
      </c>
      <c r="CW43" s="21">
        <f t="shared" si="66"/>
        <v>634492.70291433297</v>
      </c>
      <c r="CX43" s="21">
        <f t="shared" si="66"/>
        <v>754414.38252971123</v>
      </c>
      <c r="CY43" s="21">
        <f t="shared" ref="CY43:DD43" si="67">CY12*
(IF(CY35=0,0,(1+CY27)*CY35*(1-CY6))
+IF(CY37=0,0,(1+CY29)*CY37*(1-CY6))
+(1+CY28)*CY36*CY6)</f>
        <v>1229375.3776692327</v>
      </c>
      <c r="CZ43" s="21">
        <f t="shared" si="67"/>
        <v>904994.73478089855</v>
      </c>
      <c r="DA43" s="21">
        <f t="shared" si="67"/>
        <v>796469.35447671986</v>
      </c>
      <c r="DB43" s="21">
        <f t="shared" si="67"/>
        <v>634492.70291433297</v>
      </c>
      <c r="DC43" s="21">
        <f t="shared" si="67"/>
        <v>634492.70291433297</v>
      </c>
      <c r="DD43" s="21">
        <f t="shared" si="67"/>
        <v>754414.38252971123</v>
      </c>
      <c r="DE43" s="21">
        <f t="shared" ref="DE43:DJ43" si="68">DE12*
(IF(DE35=0,0,(1+DE27)*DE35*(1-DE6))
+IF(DE37=0,0,(1+DE29)*DE37*(1-DE6))
+(1+DE28)*DE36*DE6)</f>
        <v>2097641.4894116251</v>
      </c>
      <c r="DF43" s="21">
        <f t="shared" si="68"/>
        <v>1544161.8059526819</v>
      </c>
      <c r="DH43" s="21">
        <f t="shared" si="68"/>
        <v>1359696.0150482859</v>
      </c>
      <c r="DI43" s="21">
        <f t="shared" si="68"/>
        <v>1359696.0150482859</v>
      </c>
      <c r="DJ43" s="21">
        <f t="shared" si="68"/>
        <v>1381653.4973086612</v>
      </c>
      <c r="DK43" s="21">
        <f t="shared" ref="DK43:DP43" si="69">DK12*
(IF(DK35=0,0,(1+DK27)*DK35*(1-DK6))
+IF(DK37=0,0,(1+DK29)*DK37*(1-DK6))
+(1+DK28)*DK36*DK6)</f>
        <v>4875982.1358465841</v>
      </c>
      <c r="DL43" s="21">
        <f t="shared" si="69"/>
        <v>8126636.8930776399</v>
      </c>
      <c r="DM43" s="21">
        <f>DM12*
(IF(DM35=0,0,(1+DM27)*DM35*(1-DM6))
+IF(DM37=0,0,(1+DM29)*DM37*(1-DM6))
+(1+DM28)*DM36*DM6)</f>
        <v>5851178.5630159015</v>
      </c>
      <c r="DN43" s="21">
        <f t="shared" si="69"/>
        <v>6501309.5144621124</v>
      </c>
      <c r="DO43" s="21">
        <f t="shared" si="69"/>
        <v>6501309.5144621124</v>
      </c>
      <c r="DP43" s="21">
        <f t="shared" si="69"/>
        <v>6501309.5144621124</v>
      </c>
      <c r="DQ43" s="21">
        <f t="shared" ref="DQ43:DW43" si="70">DQ12*
(IF(DQ35=0,0,(1+DQ27)*DQ35*(1-DQ6))
+IF(DQ37=0,0,(1+DQ29)*DQ37*(1-DQ6))
+(1+DQ28)*DQ36*DQ6)</f>
        <v>6501309.5144621124</v>
      </c>
      <c r="DR43" s="21">
        <f t="shared" si="70"/>
        <v>4785886.3831517119</v>
      </c>
      <c r="DS43" s="21">
        <f t="shared" si="70"/>
        <v>2059699.684542587</v>
      </c>
      <c r="DT43" s="21">
        <f t="shared" si="70"/>
        <v>5081422.5418243948</v>
      </c>
      <c r="DU43" s="21">
        <f t="shared" si="70"/>
        <v>5081422.5418243948</v>
      </c>
      <c r="DV43" s="21">
        <f t="shared" si="70"/>
        <v>6929323.1243187198</v>
      </c>
      <c r="DW43" s="21">
        <f t="shared" si="70"/>
        <v>4634829.390123101</v>
      </c>
      <c r="DX43" s="21">
        <f t="shared" ref="DX43:EC43" si="71">DX12*
(IF(DX35=0,0,(1+DX27)*DX35*(1-DX6))
+IF(DX37=0,0,(1+DX29)*DX37*(1-DX6))
+(1+DX28)*DX36*DX6)</f>
        <v>436916319.58357471</v>
      </c>
      <c r="DY43" s="21">
        <f t="shared" si="71"/>
        <v>436916319.58357471</v>
      </c>
      <c r="DZ43" s="21">
        <f t="shared" si="71"/>
        <v>436916319.58357471</v>
      </c>
      <c r="EA43" s="21">
        <f t="shared" si="71"/>
        <v>436916319.58357471</v>
      </c>
      <c r="EB43" s="21">
        <f t="shared" si="71"/>
        <v>436916319.58357471</v>
      </c>
      <c r="EC43" s="21">
        <f t="shared" si="71"/>
        <v>436916319.58357471</v>
      </c>
      <c r="ED43" s="21">
        <f>ED12*
(IF(ED35=0,0,(1+ED27)*ED35*(1-ED6))
+IF(ED37=0,0,(1+ED29)*ED37*(1-ED6))
+(1+ED28)*ED36*ED6)</f>
        <v>436916319.58357471</v>
      </c>
    </row>
    <row r="45" spans="1:134" x14ac:dyDescent="0.3">
      <c r="A45" s="21" t="s">
        <v>340</v>
      </c>
      <c r="B45" s="21" t="s">
        <v>343</v>
      </c>
      <c r="C45" s="21" t="s">
        <v>848</v>
      </c>
      <c r="D45" s="21">
        <f t="shared" ref="D45:AR45" si="72">D12*
(IF(D35=0,0,D40*D35*(1-D6))
+IF(D37=0,0,D33*D37*(1-D6))
+D36*D41*D6)</f>
        <v>9397.8566215863921</v>
      </c>
      <c r="E45" s="21">
        <f t="shared" si="72"/>
        <v>4763.1518352258545</v>
      </c>
      <c r="F45" s="21">
        <f t="shared" si="72"/>
        <v>0</v>
      </c>
      <c r="G45" s="21">
        <f t="shared" si="72"/>
        <v>967.81904128553072</v>
      </c>
      <c r="H45" s="21">
        <f t="shared" si="72"/>
        <v>2903.4571238565918</v>
      </c>
      <c r="I45" s="21">
        <f t="shared" ref="I45" si="73">I12*
(IF(I35=0,0,I40*I35*(1-I6))
+IF(I37=0,0,I33*I37*(1-I6))
+I36*I41*I6)</f>
        <v>2580.8507767614146</v>
      </c>
      <c r="J45" s="21">
        <f t="shared" si="72"/>
        <v>2580.8507767614146</v>
      </c>
      <c r="K45" s="21">
        <f t="shared" si="72"/>
        <v>1935.6380825710614</v>
      </c>
      <c r="L45" s="21">
        <f t="shared" si="72"/>
        <v>2580.8507767614146</v>
      </c>
      <c r="M45" s="21">
        <f t="shared" si="72"/>
        <v>2580.8507767614146</v>
      </c>
      <c r="N45" s="21">
        <f t="shared" si="72"/>
        <v>2580.8507767614146</v>
      </c>
      <c r="O45" s="21">
        <f t="shared" si="72"/>
        <v>4645.5313981705458</v>
      </c>
      <c r="P45" s="21">
        <f t="shared" si="72"/>
        <v>1548.5104660568486</v>
      </c>
      <c r="Q45" s="21">
        <f t="shared" si="72"/>
        <v>3441.1343690152198</v>
      </c>
      <c r="R45" s="21">
        <f t="shared" si="72"/>
        <v>3441.1343690152198</v>
      </c>
      <c r="S45" s="21">
        <f t="shared" si="72"/>
        <v>3441.1343690152198</v>
      </c>
      <c r="T45" s="21">
        <f t="shared" si="72"/>
        <v>3441.1343690152198</v>
      </c>
      <c r="U45" s="21">
        <f t="shared" si="72"/>
        <v>28226.084949486551</v>
      </c>
      <c r="V45" s="21">
        <f t="shared" si="72"/>
        <v>0</v>
      </c>
      <c r="W45" s="21">
        <f t="shared" si="72"/>
        <v>3441.1343690152198</v>
      </c>
      <c r="X45" s="21">
        <f t="shared" ref="X45:Y45" si="74">X12*
(IF(X35=0,0,X40*X35*(1-X6))
+IF(X37=0,0,X33*X37*(1-X6))
+X36*X41*X6)</f>
        <v>0</v>
      </c>
      <c r="Y45" s="21">
        <f t="shared" si="74"/>
        <v>0</v>
      </c>
      <c r="Z45" s="21">
        <f t="shared" si="72"/>
        <v>8785.5288744930367</v>
      </c>
      <c r="AA45" s="21">
        <f t="shared" ref="AA45" si="75">AA12*
(IF(AA35=0,0,AA40*AA35*(1-AA6))
+IF(AA37=0,0,AA33*AA37*(1-AA6))
+AA36*AA41*AA6)</f>
        <v>13178.293311739555</v>
      </c>
      <c r="AB45" s="21">
        <f t="shared" ref="AB45:AC45" si="76">AB12*
(IF(AB35=0,0,AB40*AB35*(1-AB6))
+IF(AB37=0,0,AB33*AB37*(1-AB6))
+AB36*AB41*AB6)</f>
        <v>8785.5288744930367</v>
      </c>
      <c r="AC45" s="21">
        <f t="shared" si="76"/>
        <v>8785.5288744930367</v>
      </c>
      <c r="AD45" s="21">
        <f t="shared" ref="AD45" si="77">AD12*
(IF(AD35=0,0,AD40*AD35*(1-AD6))
+IF(AD37=0,0,AD33*AD37*(1-AD6))
+AD36*AD41*AD6)</f>
        <v>8785.5288744930367</v>
      </c>
      <c r="AE45" s="21">
        <f t="shared" ref="AE45" si="78">AE12*
(IF(AE35=0,0,AE40*AE35*(1-AE6))
+IF(AE37=0,0,AE33*AE37*(1-AE6))
+AE36*AE41*AE6)</f>
        <v>8785.5288744930367</v>
      </c>
      <c r="AF45" s="21">
        <f t="shared" si="72"/>
        <v>18388.36503802584</v>
      </c>
      <c r="AG45" s="21">
        <f t="shared" si="72"/>
        <v>0</v>
      </c>
      <c r="AH45" s="21">
        <f t="shared" si="72"/>
        <v>36535.138469373873</v>
      </c>
      <c r="AI45" s="21">
        <f t="shared" si="72"/>
        <v>0</v>
      </c>
      <c r="AJ45" s="21">
        <f t="shared" si="72"/>
        <v>14978.319417131701</v>
      </c>
      <c r="AK45" s="21">
        <f t="shared" si="72"/>
        <v>2633111.242018851</v>
      </c>
      <c r="AL45" s="21">
        <f t="shared" si="72"/>
        <v>222090.54566758755</v>
      </c>
      <c r="AM45" s="21">
        <f t="shared" si="72"/>
        <v>1053781.8664487689</v>
      </c>
      <c r="AN45" s="21">
        <f t="shared" si="72"/>
        <v>88881.542868191667</v>
      </c>
      <c r="AO45" s="21">
        <f t="shared" si="72"/>
        <v>34203346.58664</v>
      </c>
      <c r="AP45" s="21">
        <f t="shared" si="72"/>
        <v>25478003.069640003</v>
      </c>
      <c r="AQ45" s="21">
        <f t="shared" si="72"/>
        <v>11614118.170585904</v>
      </c>
      <c r="AR45" s="21">
        <f t="shared" si="72"/>
        <v>4472116.8589519747</v>
      </c>
      <c r="AS45" s="21">
        <f t="shared" ref="AS45:BT45" si="79">AS12*
(IF(AS35=0,0,AS40*AS35*(1-AS6))
+IF(AS37=0,0,AS33*AS37*(1-AS6))
+AS36*AS41*AS6)</f>
        <v>36682772.838345699</v>
      </c>
      <c r="AT45" s="21">
        <f t="shared" si="79"/>
        <v>0</v>
      </c>
      <c r="AU45" s="21">
        <f t="shared" si="79"/>
        <v>4472116.8589519747</v>
      </c>
      <c r="AV45" s="21">
        <f t="shared" si="79"/>
        <v>4472116.8589519747</v>
      </c>
      <c r="AW45" s="21">
        <f t="shared" si="79"/>
        <v>4472116.8589519747</v>
      </c>
      <c r="AX45" s="21">
        <f t="shared" si="79"/>
        <v>4472116.8589519747</v>
      </c>
      <c r="AY45" s="21">
        <f t="shared" si="79"/>
        <v>44319926.425192103</v>
      </c>
      <c r="AZ45" s="21">
        <f t="shared" si="79"/>
        <v>227797.41712640791</v>
      </c>
      <c r="BA45" s="21">
        <f t="shared" si="79"/>
        <v>11396607.364584183</v>
      </c>
      <c r="BB45" s="21">
        <f t="shared" si="79"/>
        <v>22509549.717012212</v>
      </c>
      <c r="BC45" s="21">
        <f t="shared" si="79"/>
        <v>63984086.750684053</v>
      </c>
      <c r="BD45" s="21">
        <f t="shared" si="79"/>
        <v>63984086.750684053</v>
      </c>
      <c r="BE45" s="21">
        <f t="shared" si="79"/>
        <v>63984086.750684053</v>
      </c>
      <c r="BF45" s="21">
        <f t="shared" si="79"/>
        <v>63984086.750684053</v>
      </c>
      <c r="BG45" s="21">
        <f t="shared" si="79"/>
        <v>63984086.750684053</v>
      </c>
      <c r="BH45" s="21">
        <f t="shared" si="79"/>
        <v>63984086.750684053</v>
      </c>
      <c r="BI45" s="21">
        <f t="shared" si="79"/>
        <v>63984086.750684053</v>
      </c>
      <c r="BJ45" s="21">
        <f t="shared" si="79"/>
        <v>47661615.640815683</v>
      </c>
      <c r="BK45" s="21">
        <f t="shared" si="79"/>
        <v>33548855.61386057</v>
      </c>
      <c r="BL45" s="21">
        <f t="shared" si="79"/>
        <v>8365974.1404997259</v>
      </c>
      <c r="BM45" s="21">
        <f t="shared" si="79"/>
        <v>8365974.1404997259</v>
      </c>
      <c r="BN45" s="21">
        <f t="shared" si="79"/>
        <v>8365974.1404997259</v>
      </c>
      <c r="BO45" s="21">
        <f t="shared" si="79"/>
        <v>68622341.196903303</v>
      </c>
      <c r="BP45" s="21">
        <f t="shared" si="79"/>
        <v>0</v>
      </c>
      <c r="BQ45" s="21">
        <f t="shared" si="79"/>
        <v>8365974.1404997259</v>
      </c>
      <c r="BR45" s="21">
        <f t="shared" si="79"/>
        <v>8365974.1404997259</v>
      </c>
      <c r="BS45" s="21">
        <f t="shared" si="79"/>
        <v>8365974.1404997259</v>
      </c>
      <c r="BT45" s="21">
        <f t="shared" si="79"/>
        <v>8365974.1404997259</v>
      </c>
      <c r="BU45" s="21">
        <f t="shared" ref="BU45:CC45" si="80">BU12*
(IF(BU35=0,0,BU40*BU35*(1-BU6))
+IF(BU37=0,0,BU33*BU37*(1-BU6))
+BU36*BU41*BU6)</f>
        <v>8365974.1404997259</v>
      </c>
      <c r="BV45" s="21">
        <f t="shared" si="80"/>
        <v>8365974.1404997259</v>
      </c>
      <c r="BW45" s="21">
        <f t="shared" si="80"/>
        <v>8365974.1404997259</v>
      </c>
      <c r="BX45" s="21">
        <f t="shared" si="80"/>
        <v>68622341.196903303</v>
      </c>
      <c r="BY45" s="21">
        <f t="shared" si="80"/>
        <v>0</v>
      </c>
      <c r="BZ45" s="21">
        <f t="shared" si="80"/>
        <v>8365974.1404997259</v>
      </c>
      <c r="CA45" s="21">
        <f t="shared" si="80"/>
        <v>8365974.1404997259</v>
      </c>
      <c r="CB45" s="21">
        <f t="shared" si="80"/>
        <v>8365974.1404997259</v>
      </c>
      <c r="CC45" s="21">
        <f t="shared" si="80"/>
        <v>8365974.1404997259</v>
      </c>
      <c r="CD45" s="21">
        <f>CD12*
(IF(CD35=0,0,CD40*CD35*(1-CD6))
+IF(CD37=0,0,CD33*CD37*(1-CD6))
+CD36*CD41*CD6)</f>
        <v>82909139.022118151</v>
      </c>
      <c r="CE45" s="21">
        <f>CE12*
(IF(CE35=0,0,CE40*CE35*(1-CE6))
+IF(CE37=0,0,CE33*CE37*(1-CE6))
+CE36*CE41*CE6)</f>
        <v>426139.87090640637</v>
      </c>
      <c r="CF45" s="21">
        <f>CF12*
(IF(CF35=0,0,CF40*CF35*(1-CF6))
+IF(CF37=0,0,CF33*CF37*(1-CF6))
+CF36*CF41*CF6)</f>
        <v>21319595.508933883</v>
      </c>
      <c r="CG45" s="21">
        <f>CG12*
(IF(CG35=0,0,CG40*CG35*(1-CG6))
+IF(CG37=0,0,CG33*CG37*(1-CG6))
+CG36*CG41*CG6)</f>
        <v>42108539.822670892</v>
      </c>
      <c r="CH45" s="21">
        <f t="shared" ref="CH45:CM45" si="81">CH12*
(IF(CH35=0,0,CH40*CH35*(1-CH6))
+IF(CH37=0,0,CH33*CH37*(1-CH6))
+CH36*CH41*CH6)</f>
        <v>63984086.750684053</v>
      </c>
      <c r="CI45" s="21">
        <f t="shared" si="81"/>
        <v>47661615.640815683</v>
      </c>
      <c r="CJ45" s="21">
        <f t="shared" si="81"/>
        <v>33548855.61386057</v>
      </c>
      <c r="CK45" s="21">
        <f t="shared" si="81"/>
        <v>8365974.1404997259</v>
      </c>
      <c r="CL45" s="21">
        <f t="shared" si="81"/>
        <v>8365974.1404997259</v>
      </c>
      <c r="CM45" s="21">
        <f t="shared" si="81"/>
        <v>42108539.822670892</v>
      </c>
      <c r="CN45" s="21">
        <f t="shared" ref="CN45:CX45" si="82">CN12*
(IF(CN35=0,0,CN40*CN35*(1-CN6))
+IF(CN37=0,0,CN33*CN37*(1-CN6))
+CN36*CN41*CN6)</f>
        <v>44514649.601729989</v>
      </c>
      <c r="CO45" s="21">
        <f t="shared" si="82"/>
        <v>32769099.04162829</v>
      </c>
      <c r="CP45" s="21">
        <f t="shared" si="82"/>
        <v>14244309.485944908</v>
      </c>
      <c r="CQ45" s="21">
        <f t="shared" si="82"/>
        <v>4701236.0784716522</v>
      </c>
      <c r="CR45" s="21">
        <f t="shared" si="82"/>
        <v>25722702.855057091</v>
      </c>
      <c r="CS45" s="21">
        <f t="shared" si="82"/>
        <v>83273407.021110848</v>
      </c>
      <c r="CT45" s="21">
        <f t="shared" si="82"/>
        <v>61301044.636383153</v>
      </c>
      <c r="CU45" s="21">
        <f t="shared" si="82"/>
        <v>42443710.530338965</v>
      </c>
      <c r="CV45" s="21">
        <f t="shared" si="82"/>
        <v>8794586.7027488928</v>
      </c>
      <c r="CW45" s="21">
        <f t="shared" si="82"/>
        <v>8794586.7027488928</v>
      </c>
      <c r="CX45" s="21">
        <f t="shared" si="82"/>
        <v>48119374.715891577</v>
      </c>
      <c r="CY45" s="21">
        <f t="shared" ref="CY45:DD45" si="83">CY12*
(IF(CY35=0,0,CY40*CY35*(1-CY6))
+IF(CY37=0,0,CY33*CY37*(1-CY6))
+CY36*CY41*CY6)</f>
        <v>83273407.021110848</v>
      </c>
      <c r="CZ45" s="21">
        <f t="shared" si="83"/>
        <v>61301044.636383153</v>
      </c>
      <c r="DA45" s="21">
        <f t="shared" si="83"/>
        <v>40235460.48401016</v>
      </c>
      <c r="DB45" s="21">
        <f t="shared" si="83"/>
        <v>8794586.7027488928</v>
      </c>
      <c r="DC45" s="21">
        <f t="shared" si="83"/>
        <v>8794586.7027488928</v>
      </c>
      <c r="DD45" s="21">
        <f t="shared" si="83"/>
        <v>48119374.715891577</v>
      </c>
      <c r="DE45" s="21">
        <f t="shared" ref="DE45:DJ45" si="84">DE12*
(IF(DE35=0,0,DE40*DE35*(1-DE6))
+IF(DE37=0,0,DE33*DE37*(1-DE6))
+DE36*DE41*DE6)</f>
        <v>142086588.60836649</v>
      </c>
      <c r="DF45" s="21">
        <f t="shared" si="84"/>
        <v>104595892.27932967</v>
      </c>
      <c r="DH45" s="21">
        <f t="shared" si="84"/>
        <v>18846496.482622024</v>
      </c>
      <c r="DI45" s="21">
        <f t="shared" si="84"/>
        <v>18846496.482622024</v>
      </c>
      <c r="DJ45" s="21">
        <f t="shared" si="84"/>
        <v>88127034.563659295</v>
      </c>
      <c r="DK45" s="21">
        <f t="shared" ref="DK45:DP45" si="85">DK12*
(IF(DK35=0,0,DK40*DK35*(1-DK6))
+IF(DK37=0,0,DK33*DK37*(1-DK6))
+DK36*DK41*DK6)</f>
        <v>362698070.59418124</v>
      </c>
      <c r="DL45" s="21">
        <f t="shared" si="85"/>
        <v>604496784.32363534</v>
      </c>
      <c r="DM45" s="21">
        <f>DM12*
(IF(DM35=0,0,DM40*DM35*(1-DM6))
+IF(DM37=0,0,DM33*DM37*(1-DM6))
+DM36*DM41*DM6)</f>
        <v>435237684.71301746</v>
      </c>
      <c r="DN45" s="21">
        <f t="shared" si="85"/>
        <v>483597427.45890832</v>
      </c>
      <c r="DO45" s="21">
        <f t="shared" si="85"/>
        <v>483597427.45890832</v>
      </c>
      <c r="DP45" s="21">
        <f t="shared" si="85"/>
        <v>483597427.45890832</v>
      </c>
      <c r="DQ45" s="21">
        <f t="shared" ref="DQ45:DW45" si="86">DQ12*
(IF(DQ35=0,0,DQ40*DQ35*(1-DQ6))
+IF(DQ37=0,0,DQ33*DQ37*(1-DQ6))
+DQ36*DQ41*DQ6)</f>
        <v>483597427.45890832</v>
      </c>
      <c r="DR45" s="21">
        <f t="shared" si="86"/>
        <v>355996332.40877515</v>
      </c>
      <c r="DS45" s="21">
        <f t="shared" si="86"/>
        <v>0</v>
      </c>
      <c r="DT45" s="21">
        <f t="shared" si="86"/>
        <v>70432663.62578018</v>
      </c>
      <c r="DU45" s="21">
        <f t="shared" si="86"/>
        <v>70432663.62578018</v>
      </c>
      <c r="DV45" s="21">
        <f t="shared" si="86"/>
        <v>2991753.1448420528</v>
      </c>
      <c r="DW45" s="21">
        <f t="shared" si="86"/>
        <v>295626776.65252131</v>
      </c>
      <c r="DX45" s="21">
        <f t="shared" ref="DX45:EC45" si="87">DX12*
(IF(DX35=0,0,DX40*DX35*(1-DX6))
+IF(DX37=0,0,DX33*DX37*(1-DX6))
+DX36*DX41*DX6)</f>
        <v>6056016778.0881367</v>
      </c>
      <c r="DY45" s="21">
        <f t="shared" si="87"/>
        <v>6056016778.0881367</v>
      </c>
      <c r="DZ45" s="21">
        <f t="shared" si="87"/>
        <v>6056016778.0881367</v>
      </c>
      <c r="EA45" s="21">
        <f t="shared" si="87"/>
        <v>6056016778.0881367</v>
      </c>
      <c r="EB45" s="21">
        <f t="shared" si="87"/>
        <v>6056016778.0881367</v>
      </c>
      <c r="EC45" s="21">
        <f t="shared" si="87"/>
        <v>6056016778.0881367</v>
      </c>
      <c r="ED45" s="21">
        <f>ED12*
(IF(ED35=0,0,ED40*ED35*(1-ED6))
+IF(ED37=0,0,ED33*ED37*(1-ED6))
+ED36*ED41*ED6)</f>
        <v>6056016778.0881367</v>
      </c>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WTW_Fuel_properties!$A$4:$A$5</xm:f>
          </x14:formula1>
          <xm:sqref>D14:BB14 BI14:ED14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EZ17"/>
  <sheetViews>
    <sheetView topLeftCell="DV1" zoomScale="115" zoomScaleNormal="115" workbookViewId="0">
      <selection activeCell="EL10" sqref="EL10"/>
    </sheetView>
  </sheetViews>
  <sheetFormatPr defaultColWidth="9.109375" defaultRowHeight="13.8" x14ac:dyDescent="0.3"/>
  <cols>
    <col min="1" max="1" width="39" style="21" bestFit="1" customWidth="1"/>
    <col min="2" max="135" width="9.109375" style="21"/>
    <col min="136" max="136" width="31.109375" style="21" bestFit="1" customWidth="1"/>
    <col min="137" max="16384" width="9.109375" style="21"/>
  </cols>
  <sheetData>
    <row r="1" spans="1:156" x14ac:dyDescent="0.3">
      <c r="D1" s="21" t="s">
        <v>64</v>
      </c>
      <c r="EG1" s="74"/>
    </row>
    <row r="2" spans="1:156" s="174" customFormat="1" ht="179.4" x14ac:dyDescent="0.25">
      <c r="C2" s="174" t="s">
        <v>62</v>
      </c>
      <c r="D2" s="174" t="str">
        <f>'1_Manufacturing'!D2</f>
        <v>Private e-scooter</v>
      </c>
      <c r="E2" s="174" t="str">
        <f>'1_Manufacturing'!E2</f>
        <v>Shared e-scooter (first generation, worst case)</v>
      </c>
      <c r="F2" s="174" t="str">
        <f>'1_Manufacturing'!F2</f>
        <v>Shared e-scooter (first generation, best case)</v>
      </c>
      <c r="G2" s="174" t="str">
        <f>'1_Manufacturing'!G2</f>
        <v>Shared e-scooter (first generation central case, daily distance 50% lower)</v>
      </c>
      <c r="H2" s="174" t="str">
        <f>'1_Manufacturing'!H2</f>
        <v>Shared e-scooter (first generation central case, daily distance 50% higher)</v>
      </c>
      <c r="I2" s="174" t="str">
        <f>'1_Manufacturing'!I2</f>
        <v>Shared e-scooter (first generation central case, low-carbon EVs for operational services)</v>
      </c>
      <c r="J2" s="174" t="str">
        <f>'1_Manufacturing'!J2</f>
        <v>Shared e-scooter (first generation central case, EVs for operational services)</v>
      </c>
      <c r="K2" s="174" t="str">
        <f>'1_Manufacturing'!J2</f>
        <v>Shared e-scooter (first generation central case, EVs for operational services)</v>
      </c>
      <c r="L2" s="174" t="str">
        <f>'1_Manufacturing'!L2</f>
        <v>Shared e-scooter (first generation central case, 50% less vehicles per servcing trip)</v>
      </c>
      <c r="M2" s="174" t="str">
        <f>'1_Manufacturing'!M2</f>
        <v>Shared e-scooter (first generation central case, vehicle servicing distance 50% down)</v>
      </c>
      <c r="N2" s="174" t="str">
        <f>'1_Manufacturing'!N2</f>
        <v>Shared e-scooter (first generation central case, vehicle servicing distance 50% up)</v>
      </c>
      <c r="O2" s="174" t="str">
        <f>'1_Manufacturing'!O2</f>
        <v>Shared e-scooter (first generation central case, 50% higher lifetime)</v>
      </c>
      <c r="P2" s="174" t="str">
        <f>'1_Manufacturing'!P2</f>
        <v>Shared e-scooter (first generation central case, 50% lower lifetime)</v>
      </c>
      <c r="Q2" s="174" t="str">
        <f>'1_Manufacturing'!Q2</f>
        <v>Shared e-scooter (first generation central case, 25% less battery capacity)</v>
      </c>
      <c r="R2" s="174" t="str">
        <f>'1_Manufacturing'!R2</f>
        <v>Shared e-scooter (first generation central case, 25% more battery capacity)</v>
      </c>
      <c r="S2" s="174" t="str">
        <f>'1_Manufacturing'!S2</f>
        <v>Shared e-scooter (first generation central case, 25% heavier vehicle)</v>
      </c>
      <c r="T2" s="174" t="str">
        <f>'1_Manufacturing'!T2</f>
        <v>Shared e-scooter (first generation central case, low carbon Al smelting)</v>
      </c>
      <c r="U2" s="174" t="str">
        <f>'1_Manufacturing'!U2</f>
        <v>Shared e-scooter (first generation central case, high carbon electricity in use phase)</v>
      </c>
      <c r="V2" s="174" t="str">
        <f>'1_Manufacturing'!V2</f>
        <v>Shared e-scooter (first generation central case, low carbon electricity in use phase)</v>
      </c>
      <c r="W2" s="174" t="str">
        <f>'1_Manufacturing'!W2</f>
        <v>Shared e-scooter (first generation, central case)</v>
      </c>
      <c r="X2" s="174" t="str">
        <f>'1_Manufacturing'!X2</f>
        <v>Shared e-scooter (new generation),- All improvements combined</v>
      </c>
      <c r="Y2" s="174" t="str">
        <f>'1_Manufacturing'!Y2</f>
        <v>Shared e-scooter (new generation) - Low-carbon electricity in use phase</v>
      </c>
      <c r="Z2" s="174" t="str">
        <f>'1_Manufacturing'!Z2</f>
        <v>Shared e-scooter (new generation) - 50% lower service distance</v>
      </c>
      <c r="AA2" s="174" t="str">
        <f>'1_Manufacturing'!AA2</f>
        <v>Shared e-scooter (new generation) - 50% higher daily e-scooter distance</v>
      </c>
      <c r="AB2" s="174" t="str">
        <f>'1_Manufacturing'!AB2</f>
        <v>Shared e-scooter (new generation) - Low carbon Al smelting</v>
      </c>
      <c r="AC2" s="174" t="str">
        <f>'1_Manufacturing'!AC2</f>
        <v>Shared e-scooter (new generation) - Low-carbon EVs for operational services</v>
      </c>
      <c r="AD2" s="174" t="str">
        <f>'1_Manufacturing'!AD2</f>
        <v>Shared e-scooter (new generation) - 50% more vehicles per servicing trip</v>
      </c>
      <c r="AE2" s="174" t="str">
        <f>'1_Manufacturing'!AE2</f>
        <v>Shared e-scooter (new generation) - Central case</v>
      </c>
      <c r="AF2" s="174" t="str">
        <f>'1_Manufacturing'!AF2</f>
        <v>Shared e-scooter (Hollingsworth et al. 2019 simulation)</v>
      </c>
      <c r="AG2" s="174" t="str">
        <f>'1_Manufacturing'!AG2</f>
        <v>Private bike</v>
      </c>
      <c r="AH2" s="174" t="str">
        <f>'1_Manufacturing'!AH2</f>
        <v>Private e-bike</v>
      </c>
      <c r="AI2" s="174" t="str">
        <f>'1_Manufacturing'!AI2</f>
        <v>Shared bike</v>
      </c>
      <c r="AJ2" s="174" t="str">
        <f>'1_Manufacturing'!AJ2</f>
        <v>Shared e-bike</v>
      </c>
      <c r="AK2" s="174" t="str">
        <f>'1_Manufacturing'!AK2</f>
        <v>Private moped - ICE</v>
      </c>
      <c r="AL2" s="174" t="str">
        <f>'1_Manufacturing'!AL2</f>
        <v>Private moped - BEV</v>
      </c>
      <c r="AM2" s="174" t="str">
        <f>'1_Manufacturing'!AM2</f>
        <v>Shared moped - ICE</v>
      </c>
      <c r="AN2" s="174" t="str">
        <f>'1_Manufacturing'!AN2</f>
        <v>Shared moped - BEV</v>
      </c>
      <c r="AO2" s="174" t="str">
        <f>'1_Manufacturing'!AO2</f>
        <v>Private car - ICE</v>
      </c>
      <c r="AP2" s="174" t="str">
        <f>'1_Manufacturing'!AP2</f>
        <v>Private car - HEV</v>
      </c>
      <c r="AQ2" s="174" t="str">
        <f>'1_Manufacturing'!AQ2</f>
        <v>Private car - PHEV</v>
      </c>
      <c r="AR2" s="174" t="str">
        <f>'1_Manufacturing'!AR2</f>
        <v>AVAILABLE</v>
      </c>
      <c r="AS2" s="174" t="str">
        <f>'1_Manufacturing'!AS2</f>
        <v>Private car - BEV (high carbon intensity of electricity in use phase)</v>
      </c>
      <c r="AT2" s="174" t="str">
        <f>'1_Manufacturing'!AT2</f>
        <v>Private car - BEV (low carbon intensity of electricity in use phase)</v>
      </c>
      <c r="AU2" s="174" t="str">
        <f>'1_Manufacturing'!AU2</f>
        <v>Private car - BEV (Lower carbon intensity of battery manufacturing)</v>
      </c>
      <c r="AV2" s="174" t="str">
        <f>'1_Manufacturing'!AV2</f>
        <v>Private car - BEV (25% smaller battery)</v>
      </c>
      <c r="AW2" s="174" t="str">
        <f>'1_Manufacturing'!AW2</f>
        <v>Private car - BEV (25% larger battery)</v>
      </c>
      <c r="AX2" s="174" t="str">
        <f>'1_Manufacturing'!AX2</f>
        <v>Private car - BEV</v>
      </c>
      <c r="AY2" s="174" t="str">
        <f>'1_Manufacturing'!AY2</f>
        <v>Private car - FCEV (hydrogen from electrolysis, 100% natural gas electricity)</v>
      </c>
      <c r="AZ2" s="174" t="str">
        <f>'1_Manufacturing'!AZ2</f>
        <v>Private car - FCEV (hydrogen from electrolysis, 100% renewable electricity)</v>
      </c>
      <c r="BA2" s="174" t="str">
        <f>'1_Manufacturing'!BA2</f>
        <v>Private car - FCEV (hydrogen from electrolysis, global grid mix)</v>
      </c>
      <c r="BB2" s="174" t="str">
        <f>'1_Manufacturing'!BB2</f>
        <v>Private car - FCEV</v>
      </c>
      <c r="BC2" s="174" t="str">
        <f>'1_Manufacturing'!AZ2</f>
        <v>Private car - FCEV (hydrogen from electrolysis, 100% renewable electricity)</v>
      </c>
      <c r="BD2" s="174" t="str">
        <f>'1_Manufacturing'!BA2</f>
        <v>Private car - FCEV (hydrogen from electrolysis, global grid mix)</v>
      </c>
      <c r="BE2" s="174" t="str">
        <f>'1_Manufacturing'!BB2</f>
        <v>Private car - FCEV</v>
      </c>
      <c r="BF2" s="174" t="str">
        <f>'1_Manufacturing'!BF2</f>
        <v>Ridesourcing - car - ICE (single passenger on board, no change in deadheading km share)</v>
      </c>
      <c r="BG2" s="174" t="str">
        <f>'1_Manufacturing'!BG2</f>
        <v>Ridesourcing - car - ICE (two passengers on board, no change in deadheading km share)</v>
      </c>
      <c r="BH2" s="174" t="str">
        <f>'1_Manufacturing'!BH2</f>
        <v>Ridesourcing - car - ICE (25% higher average load: 1,94 passengers on board, no change in deadheading km share)</v>
      </c>
      <c r="BI2" s="174" t="str">
        <f>'1_Manufacturing'!BI2</f>
        <v>Ridesourcing - car - ICE</v>
      </c>
      <c r="BJ2" s="174" t="str">
        <f>'1_Manufacturing'!BJ2</f>
        <v>Ridesourcing - car - HEV</v>
      </c>
      <c r="BK2" s="174" t="str">
        <f>'1_Manufacturing'!BK2</f>
        <v>Ridesourcing - car - PHEV</v>
      </c>
      <c r="BL2" s="174" t="str">
        <f>'1_Manufacturing'!BL2</f>
        <v>Ridesourcing - car - BEV single passenger on board, no change in deadheading km share)</v>
      </c>
      <c r="BM2" s="174" t="str">
        <f>'1_Manufacturing'!BM2</f>
        <v>Ridesourcing - car - BEV two passengers on board, no change in deadheading km share)</v>
      </c>
      <c r="BN2" s="174" t="str">
        <f>'1_Manufacturing'!BN2</f>
        <v>Ridesourcing - car - BEV 25% higher average load: 1,94 passengers on board, no change in deadheading km share)</v>
      </c>
      <c r="BO2" s="174" t="str">
        <f>'1_Manufacturing'!BO2</f>
        <v>Ridesourcing - car - BEV (high carbon intensity of electricity in use phase)</v>
      </c>
      <c r="BP2" s="174" t="str">
        <f>'1_Manufacturing'!BP2</f>
        <v>Ridesourcing - car - BEV (low carbon intensity of electricity in use phase)</v>
      </c>
      <c r="BQ2" s="174" t="str">
        <f>'1_Manufacturing'!BQ2</f>
        <v>Ridesourcing - car - BEV (Lower carbon intensity of battery manufacturing)</v>
      </c>
      <c r="BR2" s="174" t="str">
        <f>'1_Manufacturing'!BR2</f>
        <v>Ridesourcing - car - BEV (25% smaller battery)</v>
      </c>
      <c r="BS2" s="174" t="str">
        <f>'1_Manufacturing'!BS2</f>
        <v>Ridesourcing - car - BEV (25% larger battery)</v>
      </c>
      <c r="BT2" s="174" t="str">
        <f>'1_Manufacturing'!BT2</f>
        <v>Ridesourcing - car - BEV</v>
      </c>
      <c r="BU2" s="472" t="str">
        <f>'1_Manufacturing'!BC2</f>
        <v>Ridesourcing - car - ICE (25% lower deadheading km share and 2.25 passengers)</v>
      </c>
      <c r="BV2" s="472" t="str">
        <f>'1_Manufacturing'!BD2</f>
        <v>Ridesourcing - car - ICE (average load, 25% higher deadheading km share)</v>
      </c>
      <c r="BW2" s="472" t="str">
        <f>'1_Manufacturing'!BE2</f>
        <v>Ridesourcing - car - ICE (average load, 25% lower deadheading km share)</v>
      </c>
      <c r="BX2" s="472" t="str">
        <f>'1_Manufacturing'!BF2</f>
        <v>Ridesourcing - car - ICE (single passenger on board, no change in deadheading km share)</v>
      </c>
      <c r="BY2" s="472" t="str">
        <f>'1_Manufacturing'!BG2</f>
        <v>Ridesourcing - car - ICE (two passengers on board, no change in deadheading km share)</v>
      </c>
      <c r="BZ2" s="472" t="str">
        <f>'1_Manufacturing'!BH2</f>
        <v>Ridesourcing - car - ICE (25% higher average load: 1,94 passengers on board, no change in deadheading km share)</v>
      </c>
      <c r="CA2" s="472" t="str">
        <f>'1_Manufacturing'!BI2</f>
        <v>Ridesourcing - car - ICE</v>
      </c>
      <c r="CB2" s="472" t="str">
        <f>'1_Manufacturing'!BJ2</f>
        <v>Ridesourcing - car - HEV</v>
      </c>
      <c r="CC2" s="472" t="str">
        <f>'1_Manufacturing'!BK2</f>
        <v>Ridesourcing - car - PHEV</v>
      </c>
      <c r="CD2" s="174" t="str">
        <f>'1_Manufacturing'!CD2</f>
        <v>Ridesourcing car - FCEV (hydrogen from electrolysis, 100% natural gas electricity)</v>
      </c>
      <c r="CE2" s="174" t="str">
        <f>'1_Manufacturing'!CE2</f>
        <v>Ridesourcing car - FCEV (hydrogen from electrolysis, 100% renewable electricity)</v>
      </c>
      <c r="CF2" s="174" t="str">
        <f>'1_Manufacturing'!CF2</f>
        <v>Ridesourcing car - FCEV (hydrogen from electrolysis, global grid mix)</v>
      </c>
      <c r="CG2" s="174" t="str">
        <f>'1_Manufacturing'!CG2</f>
        <v>Ridesourcing - car - FCEV</v>
      </c>
      <c r="CH2" s="174" t="str">
        <f>'1_Manufacturing'!CH2</f>
        <v>Taxi  ICE</v>
      </c>
      <c r="CI2" s="174" t="str">
        <f>'1_Manufacturing'!CI2</f>
        <v>Taxi  HEV</v>
      </c>
      <c r="CJ2" s="174" t="str">
        <f>'1_Manufacturing'!CJ2</f>
        <v>Taxi  PHEV</v>
      </c>
      <c r="CK2" s="174" t="str">
        <f>'1_Manufacturing'!CK2</f>
        <v>Taxi  BEV</v>
      </c>
      <c r="CL2" s="174" t="str">
        <f>'1_Manufacturing'!CL2</f>
        <v>Taxi  BEV (two packs)</v>
      </c>
      <c r="CM2" s="174" t="str">
        <f>'1_Manufacturing'!CM2</f>
        <v>Taxi - FCEV</v>
      </c>
      <c r="CN2" s="174" t="str">
        <f>'1_Manufacturing'!CN2</f>
        <v>Large Private car - ICE</v>
      </c>
      <c r="CO2" s="174" t="str">
        <f>'1_Manufacturing'!CO2</f>
        <v>Large Private car - HEV</v>
      </c>
      <c r="CP2" s="174" t="str">
        <f>'1_Manufacturing'!CP2</f>
        <v>Large Private car - PHEV</v>
      </c>
      <c r="CQ2" s="174" t="str">
        <f>'1_Manufacturing'!CQ2</f>
        <v>Large Private car - BEV</v>
      </c>
      <c r="CR2" s="174" t="str">
        <f>'1_Manufacturing'!CR2</f>
        <v>Large Private car - FCEV</v>
      </c>
      <c r="CS2" s="174" t="str">
        <f>'1_Manufacturing'!CS2</f>
        <v>Ridesourcing - Large car - ICE</v>
      </c>
      <c r="CT2" s="174" t="str">
        <f>'1_Manufacturing'!CT2</f>
        <v>Ridesourcing - Large car - HEV</v>
      </c>
      <c r="CU2" s="174" t="str">
        <f>'1_Manufacturing'!CU2</f>
        <v>Ridesourcing - Large car - PHEV</v>
      </c>
      <c r="CV2" s="174" t="str">
        <f>'1_Manufacturing'!CV2</f>
        <v>Ridesourcing - Large car - BEV</v>
      </c>
      <c r="CW2" s="472" t="str">
        <f>'1_Manufacturing'!CW2</f>
        <v>Ridesourcing - Large car - BEV (two packs)</v>
      </c>
      <c r="CX2" s="174" t="str">
        <f>'1_Manufacturing'!CX2</f>
        <v>Ridesourcing - Large car - FCEV</v>
      </c>
      <c r="CY2" s="174" t="str">
        <f>'1_Manufacturing'!CY2</f>
        <v>Ridesourcing - Shared van - ICE</v>
      </c>
      <c r="CZ2" s="174" t="str">
        <f>'1_Manufacturing'!CZ2</f>
        <v>Ridesourcing - Shared van - HEV</v>
      </c>
      <c r="DA2" s="174" t="str">
        <f>'1_Manufacturing'!DA2</f>
        <v>Ridesourcing - Shared van - PHEV</v>
      </c>
      <c r="DB2" s="174" t="str">
        <f>'1_Manufacturing'!DB2</f>
        <v>Ridesourcing - Shared van - BEV</v>
      </c>
      <c r="DC2" s="472" t="str">
        <f>'1_Manufacturing'!DC2</f>
        <v>Ridesourcing - Shared van - BEV (two packs)</v>
      </c>
      <c r="DD2" s="174" t="str">
        <f>'1_Manufacturing'!DD2</f>
        <v>Ridesourcing - Shared van - FCEV</v>
      </c>
      <c r="DE2" s="174" t="str">
        <f>'1_Manufacturing'!DE2</f>
        <v>Ridesourcing - Shared minibus - ICE</v>
      </c>
      <c r="DF2" s="174" t="str">
        <f>'1_Manufacturing'!DF2</f>
        <v>Ridesourcing - Shared minibus - HEV</v>
      </c>
      <c r="DH2" s="174" t="str">
        <f>'1_Manufacturing'!DH2</f>
        <v>Ridesourcing - Shared minibus - BEV</v>
      </c>
      <c r="DI2" s="472" t="str">
        <f>'1_Manufacturing'!DI2</f>
        <v>Ridesourcing - Shared minibus - BEV (two packs)</v>
      </c>
      <c r="DJ2" s="174" t="str">
        <f>'1_Manufacturing'!DJ2</f>
        <v>Ridesourcing - Shared minibus - FCEV</v>
      </c>
      <c r="DK2" s="174" t="str">
        <f>'1_Manufacturing'!DK2</f>
        <v>Bus - ICE (lifetime 25% lower)</v>
      </c>
      <c r="DL2" s="174" t="str">
        <f>'1_Manufacturing'!DL2</f>
        <v>Bus - ICE (lifetime 25% larger)</v>
      </c>
      <c r="DM2" s="174" t="str">
        <f>'1_Manufacturing'!DM2</f>
        <v>Bus - ICE (100% bus lane)</v>
      </c>
      <c r="DN2" s="174" t="str">
        <f>'1_Manufacturing'!DN2</f>
        <v>Bus - ICE (deadheading doubled)</v>
      </c>
      <c r="DO2" s="174" t="str">
        <f>'1_Manufacturing'!DO2</f>
        <v>Bus - ICE (ridership down by 50%)</v>
      </c>
      <c r="DP2" s="174" t="str">
        <f>'1_Manufacturing'!DP2</f>
        <v>Bus - ICE (ridership up by 50%)</v>
      </c>
      <c r="DQ2" s="174" t="str">
        <f>'1_Manufacturing'!DQ2</f>
        <v>Bus - ICE</v>
      </c>
      <c r="DR2" s="174" t="str">
        <f>'1_Manufacturing'!DR2</f>
        <v>Bus - HEV</v>
      </c>
      <c r="DS2" s="174" t="str">
        <f>'1_Manufacturing'!DS2</f>
        <v>Bus - BEV (two packs, 100% zero-carbon electricity)</v>
      </c>
      <c r="DT2" s="174" t="str">
        <f>'1_Manufacturing'!DT2</f>
        <v>Bus - BEV (two packs)</v>
      </c>
      <c r="DU2" s="174" t="str">
        <f>'1_Manufacturing'!DU2</f>
        <v>Bus - BEV</v>
      </c>
      <c r="DV2" s="174" t="str">
        <f>'1_Manufacturing'!DV2</f>
        <v>Bus - FCEV, hydrogen from electrolysis (100% zero-carbon electricity)</v>
      </c>
      <c r="DW2" s="174" t="str">
        <f>'1_Manufacturing'!DW2</f>
        <v>Bus - FCEV</v>
      </c>
      <c r="DX2" s="174" t="str">
        <f>'1_Manufacturing'!DX2</f>
        <v>Metro/urban train (infrastructure lifetime 25% higher)</v>
      </c>
      <c r="DY2" s="174" t="str">
        <f>'1_Manufacturing'!DY2</f>
        <v>Metro/urban train (infrastructure lifetime 25% lower)</v>
      </c>
      <c r="DZ2" s="174" t="str">
        <f>'1_Manufacturing'!DZ2</f>
        <v>Metro/urban train (network usage frequency down by 25%)</v>
      </c>
      <c r="EA2" s="174" t="str">
        <f>'1_Manufacturing'!EA2</f>
        <v>Metro/urban train (network usage frequency up by 25%)</v>
      </c>
      <c r="EB2" s="174" t="str">
        <f>'1_Manufacturing'!EB2</f>
        <v>Metro/urban train (ridership per train down by 50%)</v>
      </c>
      <c r="EC2" s="174" t="str">
        <f>'1_Manufacturing'!EC2</f>
        <v>Metro/urban train (ridership per train up by 50%)</v>
      </c>
      <c r="ED2" s="174" t="str">
        <f>'1_Manufacturing'!ED2</f>
        <v>Metro/urban train</v>
      </c>
      <c r="EG2" s="175"/>
    </row>
    <row r="3" spans="1:156" x14ac:dyDescent="0.3">
      <c r="A3" s="21" t="s">
        <v>419</v>
      </c>
      <c r="B3" s="21" t="s">
        <v>416</v>
      </c>
      <c r="D3" s="278" t="str">
        <f>'0_Total'!D19</f>
        <v>None</v>
      </c>
      <c r="E3" s="278" t="str">
        <f>'0_Total'!E19</f>
        <v>Van - ICE</v>
      </c>
      <c r="F3" s="278" t="str">
        <f>'0_Total'!F19</f>
        <v>Van - BEV</v>
      </c>
      <c r="G3" s="278" t="str">
        <f>'0_Total'!G19</f>
        <v>Van - ICE</v>
      </c>
      <c r="H3" s="278" t="str">
        <f>'0_Total'!H19</f>
        <v>Van - ICE</v>
      </c>
      <c r="I3" s="278" t="str">
        <f>'0_Total'!I19</f>
        <v>Van - BEV (low carbon)</v>
      </c>
      <c r="J3" s="278" t="str">
        <f>'0_Total'!J19</f>
        <v>Van - BEV</v>
      </c>
      <c r="K3" s="278" t="str">
        <f>'0_Total'!K19</f>
        <v>Van - ICE</v>
      </c>
      <c r="L3" s="278" t="str">
        <f>'0_Total'!L19</f>
        <v>Van - ICE</v>
      </c>
      <c r="M3" s="278" t="str">
        <f>'0_Total'!M19</f>
        <v>Van - ICE</v>
      </c>
      <c r="N3" s="278" t="str">
        <f>'0_Total'!N19</f>
        <v>Van - ICE</v>
      </c>
      <c r="O3" s="278" t="str">
        <f>'0_Total'!O19</f>
        <v>Van - ICE</v>
      </c>
      <c r="P3" s="278" t="str">
        <f>'0_Total'!P19</f>
        <v>Van - ICE</v>
      </c>
      <c r="Q3" s="278" t="str">
        <f>'0_Total'!Q19</f>
        <v>Van - ICE</v>
      </c>
      <c r="R3" s="278" t="str">
        <f>'0_Total'!R19</f>
        <v>Van - ICE</v>
      </c>
      <c r="S3" s="278" t="str">
        <f>'0_Total'!S19</f>
        <v>Van - ICE</v>
      </c>
      <c r="T3" s="278" t="str">
        <f>'0_Total'!T19</f>
        <v>Van - ICE</v>
      </c>
      <c r="U3" s="278" t="str">
        <f>'0_Total'!U19</f>
        <v>Van - ICE</v>
      </c>
      <c r="V3" s="278" t="str">
        <f>'0_Total'!V19</f>
        <v>Van - ICE</v>
      </c>
      <c r="W3" s="278" t="str">
        <f>'0_Total'!W19</f>
        <v>Van - ICE</v>
      </c>
      <c r="X3" s="278" t="str">
        <f>'0_Total'!X19</f>
        <v>Van - BEV (low carbon)</v>
      </c>
      <c r="Y3" s="278" t="str">
        <f>'0_Total'!Y19</f>
        <v>Van - ICE</v>
      </c>
      <c r="Z3" s="278" t="str">
        <f>'0_Total'!Z19</f>
        <v>Van - ICE</v>
      </c>
      <c r="AA3" s="278" t="str">
        <f>'0_Total'!AA19</f>
        <v>Van - ICE</v>
      </c>
      <c r="AB3" s="278" t="str">
        <f>'0_Total'!AB19</f>
        <v>Van - ICE</v>
      </c>
      <c r="AC3" s="278" t="str">
        <f>'0_Total'!AC19</f>
        <v>Van - BEV (low carbon)</v>
      </c>
      <c r="AD3" s="278" t="str">
        <f>'0_Total'!AD19</f>
        <v>Van - ICE</v>
      </c>
      <c r="AE3" s="278" t="str">
        <f>'0_Total'!AE19</f>
        <v>Van - ICE</v>
      </c>
      <c r="AF3" s="278" t="str">
        <f>'0_Total'!AF19</f>
        <v>Van - ICE</v>
      </c>
      <c r="AG3" s="278" t="str">
        <f>'0_Total'!AG19</f>
        <v>None</v>
      </c>
      <c r="AH3" s="278" t="str">
        <f>'0_Total'!AH19</f>
        <v>None</v>
      </c>
      <c r="AI3" s="278" t="str">
        <f>'0_Total'!AI19</f>
        <v>Van - ICE</v>
      </c>
      <c r="AJ3" s="278" t="str">
        <f>'0_Total'!AJ19</f>
        <v>Van - ICE</v>
      </c>
      <c r="AK3" s="278" t="str">
        <f>'0_Total'!AK19</f>
        <v>None</v>
      </c>
      <c r="AL3" s="278" t="str">
        <f>'0_Total'!AL19</f>
        <v>None</v>
      </c>
      <c r="AM3" s="278" t="str">
        <f>'0_Total'!AM19</f>
        <v>None</v>
      </c>
      <c r="AN3" s="278" t="str">
        <f>'0_Total'!AN19</f>
        <v>Van - ICE</v>
      </c>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c r="BY3" s="278"/>
      <c r="BZ3" s="278"/>
      <c r="CA3" s="278"/>
      <c r="CB3" s="278"/>
      <c r="CC3" s="278"/>
      <c r="CD3" s="278"/>
      <c r="CE3" s="278"/>
      <c r="CF3" s="278"/>
      <c r="CG3" s="278"/>
      <c r="CH3" s="278"/>
      <c r="CI3" s="278"/>
      <c r="CJ3" s="278"/>
      <c r="CK3" s="278"/>
      <c r="CL3" s="278"/>
      <c r="CM3" s="278"/>
      <c r="CN3" s="278"/>
      <c r="CO3" s="278"/>
      <c r="CP3" s="278"/>
      <c r="CQ3" s="278"/>
      <c r="CR3" s="278"/>
      <c r="CS3" s="278"/>
      <c r="CT3" s="278"/>
      <c r="CU3" s="278"/>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c r="DV3" s="278"/>
      <c r="DW3" s="278"/>
      <c r="DX3" s="278"/>
      <c r="DY3" s="278"/>
      <c r="DZ3" s="278"/>
      <c r="EA3" s="278"/>
      <c r="EB3" s="278"/>
      <c r="EC3" s="278"/>
      <c r="ED3" s="278"/>
      <c r="EF3" s="21" t="s">
        <v>64</v>
      </c>
      <c r="EI3" s="21" t="s">
        <v>433</v>
      </c>
      <c r="EJ3" s="21" t="s">
        <v>232</v>
      </c>
      <c r="EK3" s="21" t="s">
        <v>233</v>
      </c>
      <c r="EL3" s="21" t="s">
        <v>235</v>
      </c>
      <c r="EM3" s="21" t="s">
        <v>234</v>
      </c>
      <c r="EN3" s="21" t="s">
        <v>430</v>
      </c>
      <c r="EO3" s="21" t="s">
        <v>431</v>
      </c>
      <c r="EP3" s="21" t="s">
        <v>434</v>
      </c>
      <c r="EQ3" s="21" t="s">
        <v>432</v>
      </c>
      <c r="ER3" s="21" t="s">
        <v>427</v>
      </c>
      <c r="ES3" s="21" t="s">
        <v>428</v>
      </c>
      <c r="ET3" s="21" t="s">
        <v>438</v>
      </c>
      <c r="EU3" s="21" t="s">
        <v>429</v>
      </c>
      <c r="EV3" s="21" t="s">
        <v>1358</v>
      </c>
    </row>
    <row r="4" spans="1:156" x14ac:dyDescent="0.3">
      <c r="EF4" s="21" t="s">
        <v>319</v>
      </c>
      <c r="EH4" s="21" t="str">
        <f>B12</f>
        <v>[MJ/km of service vehicle use]</v>
      </c>
      <c r="EJ4" s="21">
        <f>'3_Use'!AO3/100*Convert!$C$17</f>
        <v>2.2771840000000001</v>
      </c>
      <c r="EK4" s="21">
        <f>'3_Use'!AP3/100*Convert!$C$17</f>
        <v>1.6962697142857144</v>
      </c>
      <c r="EL4" s="21">
        <f>'3_Use'!AQ3/100*Convert!$C$17</f>
        <v>1.6962697142857144</v>
      </c>
      <c r="EN4" s="21">
        <f>'3_Use'!CN3/100*Convert!$C$17</f>
        <v>2.9636879999999999</v>
      </c>
      <c r="EO4" s="21">
        <f>'3_Use'!CO3/100*Convert!$C$17</f>
        <v>2.1816949356984479</v>
      </c>
      <c r="EP4" s="21">
        <f>'3_Use'!CP3/100*Convert!$C$17</f>
        <v>2.1816949356984479</v>
      </c>
      <c r="ER4" s="21">
        <f>EN4</f>
        <v>2.9636879999999999</v>
      </c>
      <c r="ES4" s="21">
        <f>EO4</f>
        <v>2.1816949356984479</v>
      </c>
      <c r="ET4" s="21">
        <f>EP4</f>
        <v>2.1816949356984479</v>
      </c>
    </row>
    <row r="5" spans="1:156" x14ac:dyDescent="0.3">
      <c r="A5" s="21" t="s">
        <v>425</v>
      </c>
      <c r="B5" s="21" t="s">
        <v>415</v>
      </c>
      <c r="D5" s="23">
        <f>'3_Use'!D11</f>
        <v>6.0273972602739727</v>
      </c>
      <c r="E5" s="23">
        <f>'3_Use'!E11</f>
        <v>3.9726027397260273</v>
      </c>
      <c r="F5" s="23">
        <f>'3_Use'!F11</f>
        <v>11.917808219178083</v>
      </c>
      <c r="G5" s="23">
        <f>'3_Use'!G11</f>
        <v>3.9726027397260273</v>
      </c>
      <c r="H5" s="23">
        <f>'3_Use'!H11</f>
        <v>11.917808219178083</v>
      </c>
      <c r="I5" s="23">
        <f>'3_Use'!I11</f>
        <v>7.9452054794520546</v>
      </c>
      <c r="J5" s="23">
        <f>'3_Use'!J11</f>
        <v>7.9452054794520546</v>
      </c>
      <c r="K5" s="23">
        <f>'3_Use'!J11</f>
        <v>7.9452054794520546</v>
      </c>
      <c r="L5" s="23">
        <f>'3_Use'!L11</f>
        <v>7.9452054794520546</v>
      </c>
      <c r="M5" s="23">
        <f>'3_Use'!M11</f>
        <v>7.9452054794520546</v>
      </c>
      <c r="N5" s="23">
        <f>'3_Use'!N11</f>
        <v>7.9452054794520546</v>
      </c>
      <c r="O5" s="23">
        <f>'3_Use'!O11</f>
        <v>7.9452054794520546</v>
      </c>
      <c r="P5" s="23">
        <f>'3_Use'!P11</f>
        <v>7.9452054794520546</v>
      </c>
      <c r="Q5" s="23">
        <f>'3_Use'!Q11</f>
        <v>7.9452054794520546</v>
      </c>
      <c r="R5" s="23">
        <f>'3_Use'!R11</f>
        <v>7.9452054794520546</v>
      </c>
      <c r="S5" s="23">
        <f>'3_Use'!S11</f>
        <v>7.9452054794520546</v>
      </c>
      <c r="T5" s="23">
        <f>'3_Use'!T11</f>
        <v>7.9452054794520546</v>
      </c>
      <c r="U5" s="23">
        <f>'3_Use'!U11</f>
        <v>7.9452054794520546</v>
      </c>
      <c r="V5" s="23">
        <f>'3_Use'!V11</f>
        <v>7.9452054794520546</v>
      </c>
      <c r="W5" s="23">
        <f>'3_Use'!W11</f>
        <v>7.9452054794520546</v>
      </c>
      <c r="X5" s="23">
        <f>'3_Use'!X11</f>
        <v>11.917808219178083</v>
      </c>
      <c r="Y5" s="23">
        <f>'3_Use'!Y11</f>
        <v>7.9452054794520546</v>
      </c>
      <c r="Z5" s="23">
        <f>'3_Use'!Z11</f>
        <v>7.9452054794520546</v>
      </c>
      <c r="AA5" s="23">
        <f>'3_Use'!AA11</f>
        <v>11.917808219178083</v>
      </c>
      <c r="AB5" s="23">
        <f>'3_Use'!AB11</f>
        <v>7.9452054794520546</v>
      </c>
      <c r="AC5" s="23">
        <f>'3_Use'!AC11</f>
        <v>7.9452054794520546</v>
      </c>
      <c r="AD5" s="23">
        <f>'3_Use'!AD11</f>
        <v>7.9452054794520546</v>
      </c>
      <c r="AE5" s="23">
        <f>'3_Use'!AE11</f>
        <v>7.9452054794520546</v>
      </c>
      <c r="AF5" s="23">
        <f>'3_Use'!AF11</f>
        <v>10.136986301369863</v>
      </c>
      <c r="AG5" s="23">
        <f>'3_Use'!AG11</f>
        <v>6.5753424657534243</v>
      </c>
      <c r="AH5" s="23">
        <f>'3_Use'!AH11</f>
        <v>6.5753424657534243</v>
      </c>
      <c r="AI5" s="23">
        <f>'3_Use'!AI11</f>
        <v>7.9452054794520546</v>
      </c>
      <c r="AJ5" s="23">
        <f>'3_Use'!AJ11</f>
        <v>7.9452054794520546</v>
      </c>
      <c r="AK5" s="23">
        <f>'3_Use'!AK11</f>
        <v>13.424657534246576</v>
      </c>
      <c r="AL5" s="23">
        <f>'3_Use'!AL11</f>
        <v>13.424657534246576</v>
      </c>
      <c r="AM5" s="23">
        <f>'3_Use'!AM11</f>
        <v>14.520547945205479</v>
      </c>
      <c r="AN5" s="23">
        <f>'3_Use'!AN11</f>
        <v>14.520547945205479</v>
      </c>
      <c r="AO5" s="23">
        <f>'3_Use'!AO11</f>
        <v>33.150684931506852</v>
      </c>
      <c r="AP5" s="23">
        <f>'3_Use'!AP11</f>
        <v>33.150684931506852</v>
      </c>
      <c r="AQ5" s="23">
        <f>'3_Use'!AQ11</f>
        <v>33.150684931506852</v>
      </c>
      <c r="AR5" s="23">
        <f>'3_Use'!AR11</f>
        <v>33.150684931506852</v>
      </c>
      <c r="AS5" s="23">
        <f>'3_Use'!AS11</f>
        <v>33.150684931506852</v>
      </c>
      <c r="AT5" s="23">
        <f>'3_Use'!AT11</f>
        <v>33.150684931506852</v>
      </c>
      <c r="AU5" s="23">
        <f>'3_Use'!AU11</f>
        <v>33.150684931506852</v>
      </c>
      <c r="AV5" s="23">
        <f>'3_Use'!AV11</f>
        <v>33.150684931506852</v>
      </c>
      <c r="AW5" s="23">
        <f>'3_Use'!AW11</f>
        <v>33.150684931506852</v>
      </c>
      <c r="AX5" s="23">
        <f>'3_Use'!AX11</f>
        <v>33.150684931506852</v>
      </c>
      <c r="AY5" s="23">
        <f>'3_Use'!AY11</f>
        <v>33.150684931506852</v>
      </c>
      <c r="AZ5" s="23">
        <f>'3_Use'!AY11</f>
        <v>33.150684931506852</v>
      </c>
      <c r="BA5" s="23">
        <f>'3_Use'!BA11</f>
        <v>33.150684931506852</v>
      </c>
      <c r="BB5" s="23">
        <f>'3_Use'!BB11</f>
        <v>33.150684931506852</v>
      </c>
      <c r="BC5" s="23">
        <f>'3_Use'!BC11</f>
        <v>131.50684931506851</v>
      </c>
      <c r="BD5" s="23">
        <f>'3_Use'!BD11</f>
        <v>131.50684931506851</v>
      </c>
      <c r="BE5" s="23">
        <f>'3_Use'!BE11</f>
        <v>131.50684931506851</v>
      </c>
      <c r="BF5" s="23">
        <f>'3_Use'!BF11</f>
        <v>131.50684931506851</v>
      </c>
      <c r="BG5" s="23">
        <f>'3_Use'!BG11</f>
        <v>131.50684931506851</v>
      </c>
      <c r="BH5" s="23">
        <f>'3_Use'!BH11</f>
        <v>131.50684931506851</v>
      </c>
      <c r="BI5" s="23">
        <f>'3_Use'!BI11</f>
        <v>131.50684931506851</v>
      </c>
      <c r="BJ5" s="23">
        <f>'3_Use'!BJ11</f>
        <v>131.50684931506851</v>
      </c>
      <c r="BK5" s="23">
        <f>'3_Use'!BK11</f>
        <v>131.50684931506851</v>
      </c>
      <c r="BL5" s="23">
        <f>'3_Use'!BI11</f>
        <v>131.50684931506851</v>
      </c>
      <c r="BM5" s="23">
        <f>'3_Use'!BJ11</f>
        <v>131.50684931506851</v>
      </c>
      <c r="BN5" s="23">
        <f>'3_Use'!BK11</f>
        <v>131.50684931506851</v>
      </c>
      <c r="BO5" s="23">
        <f>'3_Use'!BO11</f>
        <v>131.50684931506851</v>
      </c>
      <c r="BP5" s="23">
        <f>'3_Use'!BP11</f>
        <v>131.50684931506851</v>
      </c>
      <c r="BQ5" s="23">
        <f>'3_Use'!BQ11</f>
        <v>131.50684931506851</v>
      </c>
      <c r="BR5" s="23">
        <f>'3_Use'!BR11</f>
        <v>131.50684931506851</v>
      </c>
      <c r="BS5" s="23">
        <f>'3_Use'!BS11</f>
        <v>131.50684931506851</v>
      </c>
      <c r="BT5" s="23">
        <f>'3_Use'!BT11</f>
        <v>131.50684931506851</v>
      </c>
      <c r="BU5" s="23">
        <f>'3_Use'!BU11</f>
        <v>131.50684931506851</v>
      </c>
      <c r="BV5" s="23">
        <f>'3_Use'!BV11</f>
        <v>131.50684931506851</v>
      </c>
      <c r="BW5" s="23">
        <f>'3_Use'!BW11</f>
        <v>131.50684931506851</v>
      </c>
      <c r="BX5" s="23">
        <f>'3_Use'!BX11</f>
        <v>131.50684931506851</v>
      </c>
      <c r="BY5" s="23">
        <f>'3_Use'!BY11</f>
        <v>131.50684931506851</v>
      </c>
      <c r="BZ5" s="23">
        <f>'3_Use'!BZ11</f>
        <v>131.50684931506851</v>
      </c>
      <c r="CA5" s="23">
        <f>'3_Use'!CA11</f>
        <v>131.50684931506851</v>
      </c>
      <c r="CB5" s="23">
        <f>'3_Use'!CB11</f>
        <v>131.50684931506851</v>
      </c>
      <c r="CC5" s="23">
        <f>'3_Use'!CC11</f>
        <v>131.50684931506851</v>
      </c>
      <c r="CD5" s="23">
        <f>'3_Use'!CD11</f>
        <v>131.50684931506851</v>
      </c>
      <c r="CE5" s="23">
        <f>'3_Use'!CE11</f>
        <v>131.50684931506851</v>
      </c>
      <c r="CF5" s="23">
        <f>'3_Use'!CF11</f>
        <v>131.50684931506851</v>
      </c>
      <c r="CG5" s="23">
        <f>'3_Use'!CG11</f>
        <v>131.50684931506851</v>
      </c>
      <c r="CH5" s="23">
        <f>'3_Use'!CH11</f>
        <v>131.50684931506851</v>
      </c>
      <c r="CI5" s="23">
        <f>'3_Use'!CI11</f>
        <v>131.50684931506851</v>
      </c>
      <c r="CJ5" s="23">
        <f>'3_Use'!CJ11</f>
        <v>131.50684931506851</v>
      </c>
      <c r="CK5" s="23">
        <f>'3_Use'!CK11</f>
        <v>131.50684931506851</v>
      </c>
      <c r="CL5" s="23">
        <f>'3_Use'!CL11</f>
        <v>131.50684931506851</v>
      </c>
      <c r="CM5" s="23">
        <f>'3_Use'!CM11</f>
        <v>131.50684931506851</v>
      </c>
      <c r="CN5" s="23">
        <f>'3_Use'!CN11</f>
        <v>33.150684931506852</v>
      </c>
      <c r="CO5" s="23">
        <f>'3_Use'!CO11</f>
        <v>33.150684931506852</v>
      </c>
      <c r="CP5" s="23">
        <f>'3_Use'!CP11</f>
        <v>33.150684931506852</v>
      </c>
      <c r="CQ5" s="23">
        <f>'3_Use'!CQ11</f>
        <v>33.150684931506852</v>
      </c>
      <c r="CR5" s="23">
        <f>'3_Use'!CR11</f>
        <v>33.150684931506852</v>
      </c>
      <c r="CS5" s="23">
        <f>'3_Use'!CS11</f>
        <v>131.50684931506851</v>
      </c>
      <c r="CT5" s="23">
        <f>'3_Use'!CT11</f>
        <v>131.50684931506851</v>
      </c>
      <c r="CU5" s="23">
        <f>'3_Use'!CU11</f>
        <v>131.50684931506851</v>
      </c>
      <c r="CV5" s="23">
        <f>'3_Use'!CV11</f>
        <v>131.50684931506851</v>
      </c>
      <c r="CW5" s="23">
        <f>'3_Use'!CW11</f>
        <v>131.50684931506851</v>
      </c>
      <c r="CX5" s="23">
        <f>'3_Use'!CX11</f>
        <v>131.50684931506851</v>
      </c>
      <c r="CY5" s="23">
        <f>'3_Use'!CY11</f>
        <v>131.50684931506851</v>
      </c>
      <c r="CZ5" s="23">
        <f>'3_Use'!CZ11</f>
        <v>131.50684931506851</v>
      </c>
      <c r="DA5" s="23">
        <f>'3_Use'!DA11</f>
        <v>131.50684931506851</v>
      </c>
      <c r="DB5" s="23">
        <f>'3_Use'!DB11</f>
        <v>131.50684931506851</v>
      </c>
      <c r="DC5" s="23">
        <f>'3_Use'!DC11</f>
        <v>131.50684931506851</v>
      </c>
      <c r="DD5" s="23">
        <f>'3_Use'!DD11</f>
        <v>131.50684931506851</v>
      </c>
      <c r="DE5" s="23">
        <f>'3_Use'!DE11</f>
        <v>131.50684931506851</v>
      </c>
      <c r="DF5" s="23">
        <f>'3_Use'!DF11</f>
        <v>131.50684931506851</v>
      </c>
      <c r="DG5" s="23"/>
      <c r="DH5" s="23">
        <f>'3_Use'!DH11</f>
        <v>131.50684931506851</v>
      </c>
      <c r="DI5" s="23">
        <f>'3_Use'!DI11</f>
        <v>131.50684931506851</v>
      </c>
      <c r="DJ5" s="23">
        <f>'3_Use'!DJ11</f>
        <v>131.50684931506851</v>
      </c>
      <c r="DK5" s="23">
        <f>'3_Use'!DK11</f>
        <v>120.54794520547945</v>
      </c>
      <c r="DL5" s="23">
        <f>'3_Use'!DL11</f>
        <v>120.54794520547945</v>
      </c>
      <c r="DM5" s="23">
        <f>'3_Use'!DM11</f>
        <v>120.54794520547945</v>
      </c>
      <c r="DN5" s="23">
        <f>'3_Use'!DN11</f>
        <v>120.54794520547945</v>
      </c>
      <c r="DO5" s="23">
        <f>'3_Use'!DO11</f>
        <v>120.54794520547945</v>
      </c>
      <c r="DP5" s="23">
        <f>'3_Use'!DP11</f>
        <v>120.54794520547945</v>
      </c>
      <c r="DQ5" s="23">
        <f>'3_Use'!DQ11</f>
        <v>120.54794520547945</v>
      </c>
      <c r="DR5" s="23">
        <f>'3_Use'!DR11</f>
        <v>120.54794520547945</v>
      </c>
      <c r="DS5" s="23">
        <f>'3_Use'!DS11</f>
        <v>120.54794520547945</v>
      </c>
      <c r="DT5" s="23">
        <f>'3_Use'!DT11</f>
        <v>120.54794520547945</v>
      </c>
      <c r="DU5" s="23">
        <f>'3_Use'!DU11</f>
        <v>120.54794520547945</v>
      </c>
      <c r="DV5" s="23">
        <f>'3_Use'!DV11</f>
        <v>120.54794520547945</v>
      </c>
      <c r="DW5" s="23">
        <f>'3_Use'!DW11</f>
        <v>120.54794520547945</v>
      </c>
      <c r="DX5" s="23">
        <f>'3_Use'!DX11</f>
        <v>180.82191780821918</v>
      </c>
      <c r="DY5" s="23">
        <f>'3_Use'!DY11</f>
        <v>180.82191780821918</v>
      </c>
      <c r="DZ5" s="23">
        <f>'3_Use'!DZ11</f>
        <v>180.82191780821918</v>
      </c>
      <c r="EA5" s="23">
        <f>'3_Use'!EA11</f>
        <v>180.82191780821918</v>
      </c>
      <c r="EB5" s="23">
        <f>'3_Use'!EB11</f>
        <v>180.82191780821918</v>
      </c>
      <c r="EC5" s="23">
        <f>'3_Use'!EC11</f>
        <v>180.82191780821918</v>
      </c>
      <c r="ED5" s="23">
        <f>'3_Use'!ED11</f>
        <v>180.82191780821918</v>
      </c>
      <c r="EF5" s="21" t="s">
        <v>47</v>
      </c>
      <c r="EH5" s="21" t="str">
        <f>EH4</f>
        <v>[MJ/km of service vehicle use]</v>
      </c>
      <c r="EL5" s="21">
        <f>'3_Use'!AQ4*Convert!$B$12</f>
        <v>0.68524649142857141</v>
      </c>
      <c r="EM5" s="21">
        <f>'3_Use'!AX4*Convert!$B$12</f>
        <v>0.68524649142857141</v>
      </c>
      <c r="EP5" s="21">
        <f>'3_Use'!BK4*Convert!$B$12</f>
        <v>0.68524649142857141</v>
      </c>
      <c r="EQ5" s="21">
        <f>'3_Use'!BT4*Convert!$B$12</f>
        <v>0.68524649142857141</v>
      </c>
      <c r="ET5" s="21">
        <f>'3_Use'!CP4*Convert!$B$12</f>
        <v>0.72035361099778261</v>
      </c>
      <c r="EU5" s="21">
        <f>'3_Use'!CQ4*Convert!$B$12</f>
        <v>0.72035361099778261</v>
      </c>
      <c r="EV5" s="21">
        <f>'3_Use'!CQ4*Convert!$B$12</f>
        <v>0.72035361099778261</v>
      </c>
    </row>
    <row r="6" spans="1:156" x14ac:dyDescent="0.3">
      <c r="A6" s="21" t="s">
        <v>1204</v>
      </c>
      <c r="B6" s="21" t="s">
        <v>414</v>
      </c>
      <c r="D6" s="45">
        <f>'3_Use'!D12</f>
        <v>6600</v>
      </c>
      <c r="E6" s="45">
        <f>'3_Use'!E12</f>
        <v>725</v>
      </c>
      <c r="F6" s="45">
        <f>'3_Use'!F12</f>
        <v>6525</v>
      </c>
      <c r="G6" s="45">
        <f>'3_Use'!G12</f>
        <v>1208.3333333333335</v>
      </c>
      <c r="H6" s="45">
        <f>'3_Use'!H12</f>
        <v>3625</v>
      </c>
      <c r="I6" s="45">
        <f>'3_Use'!I12</f>
        <v>2416.666666666667</v>
      </c>
      <c r="J6" s="45">
        <f>'3_Use'!J12</f>
        <v>2416.666666666667</v>
      </c>
      <c r="K6" s="45">
        <f>'3_Use'!J12</f>
        <v>2416.666666666667</v>
      </c>
      <c r="L6" s="45">
        <f>'3_Use'!L12</f>
        <v>2416.666666666667</v>
      </c>
      <c r="M6" s="45">
        <f>'3_Use'!M12</f>
        <v>2416.666666666667</v>
      </c>
      <c r="N6" s="45">
        <f>'3_Use'!N12</f>
        <v>2416.666666666667</v>
      </c>
      <c r="O6" s="45">
        <f>'3_Use'!O12</f>
        <v>4350</v>
      </c>
      <c r="P6" s="45">
        <f>'3_Use'!P12</f>
        <v>1450</v>
      </c>
      <c r="Q6" s="45">
        <f>'3_Use'!Q12</f>
        <v>2416.666666666667</v>
      </c>
      <c r="R6" s="45">
        <f>'3_Use'!R12</f>
        <v>2416.666666666667</v>
      </c>
      <c r="S6" s="45">
        <f>'3_Use'!S12</f>
        <v>2416.666666666667</v>
      </c>
      <c r="T6" s="45">
        <f>'3_Use'!T12</f>
        <v>2416.666666666667</v>
      </c>
      <c r="U6" s="45">
        <f>'3_Use'!U12</f>
        <v>2416.666666666667</v>
      </c>
      <c r="V6" s="45">
        <f>'3_Use'!V12</f>
        <v>2416.666666666667</v>
      </c>
      <c r="W6" s="45">
        <f>'3_Use'!W12</f>
        <v>2416.666666666667</v>
      </c>
      <c r="X6" s="45">
        <f>'3_Use'!X12</f>
        <v>8555</v>
      </c>
      <c r="Y6" s="45">
        <f>'3_Use'!Y12</f>
        <v>5703.3333333333339</v>
      </c>
      <c r="Z6" s="45">
        <f>'3_Use'!Z12</f>
        <v>5703.3333333333339</v>
      </c>
      <c r="AA6" s="45">
        <f>'3_Use'!AA12</f>
        <v>8555</v>
      </c>
      <c r="AB6" s="45">
        <f>'3_Use'!AB12</f>
        <v>5703.3333333333339</v>
      </c>
      <c r="AC6" s="45">
        <f>'3_Use'!AC12</f>
        <v>5703.3333333333339</v>
      </c>
      <c r="AD6" s="45">
        <f>'3_Use'!AD12</f>
        <v>5703.3333333333339</v>
      </c>
      <c r="AE6" s="45">
        <f>'3_Use'!AE12</f>
        <v>5703.3333333333339</v>
      </c>
      <c r="AF6" s="45">
        <f>'3_Use'!AF12</f>
        <v>3237.5</v>
      </c>
      <c r="AG6" s="45">
        <f>'3_Use'!AG12</f>
        <v>13440</v>
      </c>
      <c r="AH6" s="45">
        <f>'3_Use'!AH12</f>
        <v>13440</v>
      </c>
      <c r="AI6" s="45">
        <f>'3_Use'!AI12</f>
        <v>5510</v>
      </c>
      <c r="AJ6" s="45">
        <f>'3_Use'!AJ12</f>
        <v>5510</v>
      </c>
      <c r="AK6" s="45">
        <f>'3_Use'!AK12</f>
        <v>49000</v>
      </c>
      <c r="AL6" s="45">
        <f>'3_Use'!AL12</f>
        <v>49000</v>
      </c>
      <c r="AM6" s="45">
        <f>'3_Use'!AM12</f>
        <v>19610</v>
      </c>
      <c r="AN6" s="45">
        <f>'3_Use'!AN12</f>
        <v>19610</v>
      </c>
      <c r="AO6" s="45">
        <f>'3_Use'!AO12</f>
        <v>181500</v>
      </c>
      <c r="AP6" s="45">
        <f>'3_Use'!AP12</f>
        <v>181500</v>
      </c>
      <c r="AQ6" s="45">
        <f>'3_Use'!AQ12</f>
        <v>181500</v>
      </c>
      <c r="AR6" s="45">
        <f>'3_Use'!AR12</f>
        <v>181500</v>
      </c>
      <c r="AS6" s="45">
        <f>'3_Use'!AS12</f>
        <v>181500</v>
      </c>
      <c r="AT6" s="45">
        <f>'3_Use'!AT12</f>
        <v>181500</v>
      </c>
      <c r="AU6" s="45">
        <f>'3_Use'!AU12</f>
        <v>181500</v>
      </c>
      <c r="AV6" s="45">
        <f>'3_Use'!AV12</f>
        <v>181500</v>
      </c>
      <c r="AW6" s="45">
        <f>'3_Use'!AW12</f>
        <v>181500</v>
      </c>
      <c r="AX6" s="45">
        <f>'3_Use'!AX12</f>
        <v>181500</v>
      </c>
      <c r="AY6" s="45">
        <f>'3_Use'!AY12</f>
        <v>181500</v>
      </c>
      <c r="AZ6" s="45">
        <f>'3_Use'!AY12</f>
        <v>181500</v>
      </c>
      <c r="BA6" s="45">
        <f>'3_Use'!BA12</f>
        <v>181500</v>
      </c>
      <c r="BB6" s="45">
        <f>'3_Use'!BB12</f>
        <v>181500</v>
      </c>
      <c r="BC6" s="45">
        <f>'3_Use'!BC12</f>
        <v>339531.4466036869</v>
      </c>
      <c r="BD6" s="45">
        <f>'3_Use'!BD12</f>
        <v>339531.4466036869</v>
      </c>
      <c r="BE6" s="45">
        <f>'3_Use'!BE12</f>
        <v>339531.4466036869</v>
      </c>
      <c r="BF6" s="45">
        <f>'3_Use'!BF12</f>
        <v>339531.4466036869</v>
      </c>
      <c r="BG6" s="45">
        <f>'3_Use'!BG12</f>
        <v>339531.4466036869</v>
      </c>
      <c r="BH6" s="45">
        <f>'3_Use'!BH12</f>
        <v>339531.4466036869</v>
      </c>
      <c r="BI6" s="45">
        <f>'3_Use'!BI12</f>
        <v>339531.4466036869</v>
      </c>
      <c r="BJ6" s="45">
        <f>'3_Use'!BJ12</f>
        <v>339531.4466036869</v>
      </c>
      <c r="BK6" s="45">
        <f>'3_Use'!BK12</f>
        <v>339531.4466036869</v>
      </c>
      <c r="BL6" s="45">
        <f>'3_Use'!BI12</f>
        <v>339531.4466036869</v>
      </c>
      <c r="BM6" s="45">
        <f>'3_Use'!BJ12</f>
        <v>339531.4466036869</v>
      </c>
      <c r="BN6" s="45">
        <f>'3_Use'!BK12</f>
        <v>339531.4466036869</v>
      </c>
      <c r="BO6" s="45">
        <f>'3_Use'!BO12</f>
        <v>339531.4466036869</v>
      </c>
      <c r="BP6" s="45">
        <f>'3_Use'!BP12</f>
        <v>339531.4466036869</v>
      </c>
      <c r="BQ6" s="45">
        <f>'3_Use'!BQ12</f>
        <v>339531.4466036869</v>
      </c>
      <c r="BR6" s="45">
        <f>'3_Use'!BR12</f>
        <v>339531.4466036869</v>
      </c>
      <c r="BS6" s="45">
        <f>'3_Use'!BS12</f>
        <v>339531.4466036869</v>
      </c>
      <c r="BT6" s="45">
        <f>'3_Use'!BT12</f>
        <v>339531.4466036869</v>
      </c>
      <c r="BU6" s="45">
        <f>'3_Use'!BU12</f>
        <v>339531.4466036869</v>
      </c>
      <c r="BV6" s="45">
        <f>'3_Use'!BV12</f>
        <v>339531.4466036869</v>
      </c>
      <c r="BW6" s="45">
        <f>'3_Use'!BW12</f>
        <v>339531.4466036869</v>
      </c>
      <c r="BX6" s="45">
        <f>'3_Use'!BX12</f>
        <v>339531.4466036869</v>
      </c>
      <c r="BY6" s="45">
        <f>'3_Use'!BY12</f>
        <v>339531.4466036869</v>
      </c>
      <c r="BZ6" s="45">
        <f>'3_Use'!BZ12</f>
        <v>339531.4466036869</v>
      </c>
      <c r="CA6" s="45">
        <f>'3_Use'!CA12</f>
        <v>339531.4466036869</v>
      </c>
      <c r="CB6" s="45">
        <f>'3_Use'!CB12</f>
        <v>339531.4466036869</v>
      </c>
      <c r="CC6" s="45">
        <f>'3_Use'!CC12</f>
        <v>339531.4466036869</v>
      </c>
      <c r="CD6" s="45">
        <f>'3_Use'!CD12</f>
        <v>339531.4466036869</v>
      </c>
      <c r="CE6" s="45">
        <f>'3_Use'!CE12</f>
        <v>339531.4466036869</v>
      </c>
      <c r="CF6" s="45">
        <f>'3_Use'!CF12</f>
        <v>339531.4466036869</v>
      </c>
      <c r="CG6" s="45">
        <f>'3_Use'!CG12</f>
        <v>339531.4466036869</v>
      </c>
      <c r="CH6" s="45">
        <f>'3_Use'!CH12</f>
        <v>339531.4466036869</v>
      </c>
      <c r="CI6" s="45">
        <f>'3_Use'!CI12</f>
        <v>339531.4466036869</v>
      </c>
      <c r="CJ6" s="45">
        <f>'3_Use'!CJ12</f>
        <v>339531.4466036869</v>
      </c>
      <c r="CK6" s="45">
        <f>'3_Use'!CK12</f>
        <v>339531.4466036869</v>
      </c>
      <c r="CL6" s="45">
        <f>'3_Use'!CL12</f>
        <v>339531.4466036869</v>
      </c>
      <c r="CM6" s="45">
        <f>'3_Use'!CM12</f>
        <v>339531.4466036869</v>
      </c>
      <c r="CN6" s="45">
        <f>'3_Use'!CN12</f>
        <v>181500</v>
      </c>
      <c r="CO6" s="45">
        <f>'3_Use'!CO12</f>
        <v>181500</v>
      </c>
      <c r="CP6" s="45">
        <f>'3_Use'!CP12</f>
        <v>181500</v>
      </c>
      <c r="CQ6" s="45">
        <f>'3_Use'!CQ12</f>
        <v>181500</v>
      </c>
      <c r="CR6" s="45">
        <f>'3_Use'!CR12</f>
        <v>181500</v>
      </c>
      <c r="CS6" s="45">
        <f>'3_Use'!CS12</f>
        <v>339531.4466036869</v>
      </c>
      <c r="CT6" s="45">
        <f>'3_Use'!CT12</f>
        <v>339531.4466036869</v>
      </c>
      <c r="CU6" s="45">
        <f>'3_Use'!CU12</f>
        <v>339531.4466036869</v>
      </c>
      <c r="CV6" s="45">
        <f>'3_Use'!CV12</f>
        <v>339531.4466036869</v>
      </c>
      <c r="CW6" s="45">
        <f>'3_Use'!CW12</f>
        <v>339531.4466036869</v>
      </c>
      <c r="CX6" s="45">
        <f>'3_Use'!CX12</f>
        <v>339531.4466036869</v>
      </c>
      <c r="CY6" s="45">
        <f>'3_Use'!CY12</f>
        <v>339531.4466036869</v>
      </c>
      <c r="CZ6" s="45">
        <f>'3_Use'!CZ12</f>
        <v>339531.4466036869</v>
      </c>
      <c r="DA6" s="45">
        <f>'3_Use'!DA12</f>
        <v>339531.4466036869</v>
      </c>
      <c r="DB6" s="45">
        <f>'3_Use'!DB12</f>
        <v>339531.4466036869</v>
      </c>
      <c r="DC6" s="45">
        <f>'3_Use'!DC12</f>
        <v>339531.4466036869</v>
      </c>
      <c r="DD6" s="45">
        <f>'3_Use'!DD12</f>
        <v>339531.4466036869</v>
      </c>
      <c r="DE6" s="45">
        <f>'3_Use'!DE12</f>
        <v>339531.4466036869</v>
      </c>
      <c r="DF6" s="45">
        <f>'3_Use'!DF12</f>
        <v>339531.4466036869</v>
      </c>
      <c r="DG6" s="45"/>
      <c r="DH6" s="45">
        <f>'3_Use'!DH12</f>
        <v>339531.4466036869</v>
      </c>
      <c r="DI6" s="45">
        <f>'3_Use'!DI12</f>
        <v>339531.4466036869</v>
      </c>
      <c r="DJ6" s="45">
        <f>'3_Use'!DJ12</f>
        <v>339531.4466036869</v>
      </c>
      <c r="DK6" s="45">
        <f>'3_Use'!DK12</f>
        <v>297000</v>
      </c>
      <c r="DL6" s="45">
        <f>'3_Use'!DL12</f>
        <v>495000</v>
      </c>
      <c r="DM6" s="45">
        <f>'3_Use'!DM12</f>
        <v>396000</v>
      </c>
      <c r="DN6" s="45">
        <f>'3_Use'!DN12</f>
        <v>396000</v>
      </c>
      <c r="DO6" s="45">
        <f>'3_Use'!DO12</f>
        <v>396000</v>
      </c>
      <c r="DP6" s="45">
        <f>'3_Use'!DP12</f>
        <v>396000</v>
      </c>
      <c r="DQ6" s="45">
        <f>'3_Use'!DQ12</f>
        <v>396000</v>
      </c>
      <c r="DR6" s="45">
        <f>'3_Use'!DR12</f>
        <v>396000</v>
      </c>
      <c r="DS6" s="45">
        <f>'3_Use'!DS12</f>
        <v>396000</v>
      </c>
      <c r="DT6" s="45">
        <f>'3_Use'!DT12</f>
        <v>396000</v>
      </c>
      <c r="DU6" s="45">
        <f>'3_Use'!DU12</f>
        <v>396000</v>
      </c>
      <c r="DV6" s="45">
        <f>'3_Use'!DV12</f>
        <v>396000</v>
      </c>
      <c r="DW6" s="45">
        <f>'3_Use'!DW12</f>
        <v>396000</v>
      </c>
      <c r="DX6" s="45">
        <f>'3_Use'!DX12</f>
        <v>2640000</v>
      </c>
      <c r="DY6" s="45">
        <f>'3_Use'!DY12</f>
        <v>2640000</v>
      </c>
      <c r="DZ6" s="45">
        <f>'3_Use'!DZ12</f>
        <v>2640000</v>
      </c>
      <c r="EA6" s="45">
        <f>'3_Use'!EA12</f>
        <v>2640000</v>
      </c>
      <c r="EB6" s="45">
        <f>'3_Use'!EB12</f>
        <v>2640000</v>
      </c>
      <c r="EC6" s="45">
        <f>'3_Use'!EC12</f>
        <v>2640000</v>
      </c>
      <c r="ED6" s="45">
        <f>'3_Use'!ED12</f>
        <v>2640000</v>
      </c>
    </row>
    <row r="7" spans="1:156" x14ac:dyDescent="0.3">
      <c r="A7" s="21" t="s">
        <v>420</v>
      </c>
      <c r="B7" s="21" t="s">
        <v>1328</v>
      </c>
      <c r="D7" s="278">
        <f>'0_Total'!D20</f>
        <v>0</v>
      </c>
      <c r="E7" s="303">
        <f>'0_Total'!E20</f>
        <v>16.875</v>
      </c>
      <c r="F7" s="303">
        <f>'0_Total'!F20</f>
        <v>5.625</v>
      </c>
      <c r="G7" s="303">
        <f>'0_Total'!G20</f>
        <v>11.25</v>
      </c>
      <c r="H7" s="303">
        <f>'0_Total'!H20</f>
        <v>11.25</v>
      </c>
      <c r="I7" s="303">
        <f>'0_Total'!I20</f>
        <v>11.25</v>
      </c>
      <c r="J7" s="303">
        <f>'0_Total'!J20</f>
        <v>11.25</v>
      </c>
      <c r="K7" s="303">
        <f>'0_Total'!K20</f>
        <v>11.25</v>
      </c>
      <c r="L7" s="303">
        <f>'0_Total'!L20</f>
        <v>11.25</v>
      </c>
      <c r="M7" s="303">
        <f>'0_Total'!M20</f>
        <v>5.625</v>
      </c>
      <c r="N7" s="303">
        <f>'0_Total'!N20</f>
        <v>16.875</v>
      </c>
      <c r="O7" s="303">
        <f>'0_Total'!O20</f>
        <v>11.25</v>
      </c>
      <c r="P7" s="303">
        <f>'0_Total'!P20</f>
        <v>11.25</v>
      </c>
      <c r="Q7" s="303">
        <f>'0_Total'!Q20</f>
        <v>11.25</v>
      </c>
      <c r="R7" s="303">
        <f>'0_Total'!R20</f>
        <v>11.25</v>
      </c>
      <c r="S7" s="303">
        <f>'0_Total'!S20</f>
        <v>11.25</v>
      </c>
      <c r="T7" s="303">
        <f>'0_Total'!T20</f>
        <v>11.25</v>
      </c>
      <c r="U7" s="303">
        <f>'0_Total'!U20</f>
        <v>11.25</v>
      </c>
      <c r="V7" s="303">
        <f>'0_Total'!V20</f>
        <v>11.25</v>
      </c>
      <c r="W7" s="303">
        <f>'0_Total'!W20</f>
        <v>11.25</v>
      </c>
      <c r="X7" s="303">
        <f>'0_Total'!X20</f>
        <v>5.625</v>
      </c>
      <c r="Y7" s="303">
        <f>'0_Total'!Y20</f>
        <v>11.25</v>
      </c>
      <c r="Z7" s="303">
        <f>'0_Total'!Z20</f>
        <v>5.625</v>
      </c>
      <c r="AA7" s="303">
        <f>'0_Total'!AA20</f>
        <v>11.25</v>
      </c>
      <c r="AB7" s="303">
        <f>'0_Total'!AB20</f>
        <v>11.25</v>
      </c>
      <c r="AC7" s="303">
        <f>'0_Total'!AC20</f>
        <v>11.25</v>
      </c>
      <c r="AD7" s="303">
        <f>'0_Total'!AD20</f>
        <v>11.25</v>
      </c>
      <c r="AE7" s="303">
        <f>'0_Total'!AE20</f>
        <v>11.25</v>
      </c>
      <c r="AF7" s="303">
        <f>'0_Total'!AF20</f>
        <v>21.887078399999996</v>
      </c>
      <c r="AG7" s="278">
        <f>'0_Total'!AG20</f>
        <v>0</v>
      </c>
      <c r="AH7" s="278">
        <f>'0_Total'!AH20</f>
        <v>0</v>
      </c>
      <c r="AI7" s="278">
        <f>'0_Total'!AI20</f>
        <v>5.625</v>
      </c>
      <c r="AJ7" s="303">
        <f>'0_Total'!AJ20</f>
        <v>11.25</v>
      </c>
      <c r="AK7" s="278">
        <f>'0_Total'!AK20</f>
        <v>0</v>
      </c>
      <c r="AL7" s="278">
        <f>'0_Total'!AL20</f>
        <v>0</v>
      </c>
      <c r="AM7" s="278">
        <f>'0_Total'!AM20</f>
        <v>0</v>
      </c>
      <c r="AN7" s="303">
        <f>'0_Total'!AN20</f>
        <v>11.25</v>
      </c>
      <c r="AO7" s="278">
        <f>'0_Total'!AO20</f>
        <v>0</v>
      </c>
      <c r="AP7" s="278">
        <f>'0_Total'!AP20</f>
        <v>0</v>
      </c>
      <c r="AQ7" s="278">
        <f>'0_Total'!AQ20</f>
        <v>0</v>
      </c>
      <c r="AR7" s="278">
        <f>'0_Total'!AR20</f>
        <v>0</v>
      </c>
      <c r="AS7" s="278">
        <f>'0_Total'!AS20</f>
        <v>0</v>
      </c>
      <c r="AT7" s="278">
        <f>'0_Total'!AT20</f>
        <v>0</v>
      </c>
      <c r="AU7" s="278">
        <f>'0_Total'!AU20</f>
        <v>0</v>
      </c>
      <c r="AV7" s="278">
        <f>'0_Total'!AV20</f>
        <v>0</v>
      </c>
      <c r="AW7" s="278">
        <f>'0_Total'!AW20</f>
        <v>0</v>
      </c>
      <c r="AX7" s="278">
        <f>'0_Total'!AX20</f>
        <v>0</v>
      </c>
      <c r="AY7" s="278">
        <f>'0_Total'!AY20</f>
        <v>0</v>
      </c>
      <c r="AZ7" s="278">
        <f>'0_Total'!AY20</f>
        <v>0</v>
      </c>
      <c r="BA7" s="278">
        <f>'0_Total'!BA20</f>
        <v>0</v>
      </c>
      <c r="BB7" s="278">
        <f>'0_Total'!BB20</f>
        <v>0</v>
      </c>
      <c r="BC7" s="303">
        <f>'0_Total'!BC20</f>
        <v>23.420596293311849</v>
      </c>
      <c r="BD7" s="303">
        <f>'0_Total'!BD20</f>
        <v>23.420596293311849</v>
      </c>
      <c r="BE7" s="303">
        <f>'0_Total'!BE20</f>
        <v>23.420596293311849</v>
      </c>
      <c r="BF7" s="303">
        <f>'0_Total'!BF20</f>
        <v>23.420596293311849</v>
      </c>
      <c r="BG7" s="303">
        <f>'0_Total'!BG20</f>
        <v>23.420596293311849</v>
      </c>
      <c r="BH7" s="303">
        <f>'0_Total'!BH20</f>
        <v>23.420596293311849</v>
      </c>
      <c r="BI7" s="303">
        <f>'0_Total'!BI20</f>
        <v>23.420596293311849</v>
      </c>
      <c r="BJ7" s="278">
        <f>'0_Total'!BJ20</f>
        <v>23.420596293311849</v>
      </c>
      <c r="BK7" s="278">
        <f>'0_Total'!BK20</f>
        <v>23.420596293311849</v>
      </c>
      <c r="BL7" s="278">
        <f>'0_Total'!BL20</f>
        <v>23.420596293311849</v>
      </c>
      <c r="BM7" s="278">
        <f>'0_Total'!BM20</f>
        <v>23.420596293311849</v>
      </c>
      <c r="BN7" s="278">
        <f>'0_Total'!BN20</f>
        <v>23.420596293311849</v>
      </c>
      <c r="BO7" s="278">
        <f>'0_Total'!BO20</f>
        <v>23.420596293311849</v>
      </c>
      <c r="BP7" s="278">
        <f>'0_Total'!BP20</f>
        <v>23.420596293311849</v>
      </c>
      <c r="BQ7" s="278">
        <f>'0_Total'!BQ20</f>
        <v>23.420596293311849</v>
      </c>
      <c r="BR7" s="278">
        <f>'0_Total'!BR20</f>
        <v>23.420596293311849</v>
      </c>
      <c r="BS7" s="278">
        <f>'0_Total'!BS20</f>
        <v>23.420596293311849</v>
      </c>
      <c r="BT7" s="278">
        <f>'0_Total'!BT20</f>
        <v>23.420596293311849</v>
      </c>
      <c r="BU7" s="278">
        <f>'0_Total'!BU20</f>
        <v>23.420596293311849</v>
      </c>
      <c r="BV7" s="278">
        <f>'0_Total'!BV20</f>
        <v>23.420596293311849</v>
      </c>
      <c r="BW7" s="278">
        <f>'0_Total'!BW20</f>
        <v>23.420596293311849</v>
      </c>
      <c r="BX7" s="278">
        <f>'0_Total'!BX20</f>
        <v>23.420596293311849</v>
      </c>
      <c r="BY7" s="278">
        <f>'0_Total'!BY20</f>
        <v>23.420596293311849</v>
      </c>
      <c r="BZ7" s="278">
        <f>'0_Total'!BZ20</f>
        <v>23.420596293311849</v>
      </c>
      <c r="CA7" s="278">
        <f>'0_Total'!CA20</f>
        <v>23.420596293311849</v>
      </c>
      <c r="CB7" s="278">
        <f>'0_Total'!CB20</f>
        <v>23.420596293311849</v>
      </c>
      <c r="CC7" s="278">
        <f>'0_Total'!CC20</f>
        <v>23.420596293311849</v>
      </c>
      <c r="CD7" s="278">
        <f>'0_Total'!CD20</f>
        <v>23.420596293311849</v>
      </c>
      <c r="CE7" s="278">
        <f>'0_Total'!CE20</f>
        <v>23.420596293311849</v>
      </c>
      <c r="CF7" s="278">
        <f>'0_Total'!CF20</f>
        <v>23.420596293311849</v>
      </c>
      <c r="CG7" s="278">
        <f>'0_Total'!CG20</f>
        <v>23.420596293311849</v>
      </c>
      <c r="CH7" s="278">
        <f>'0_Total'!CH20</f>
        <v>23.420596293311849</v>
      </c>
      <c r="CI7" s="278">
        <f>'0_Total'!CI20</f>
        <v>23.420596293311849</v>
      </c>
      <c r="CJ7" s="278">
        <f>'0_Total'!CJ20</f>
        <v>23.420596293311849</v>
      </c>
      <c r="CK7" s="278">
        <f>'0_Total'!CK20</f>
        <v>23.420596293311849</v>
      </c>
      <c r="CL7" s="278">
        <f>'0_Total'!CL20</f>
        <v>23.420596293311849</v>
      </c>
      <c r="CM7" s="278">
        <f>'0_Total'!CM20</f>
        <v>23.420596293311849</v>
      </c>
      <c r="CN7" s="278">
        <f>'0_Total'!CN20</f>
        <v>0</v>
      </c>
      <c r="CO7" s="278">
        <f>'0_Total'!CO20</f>
        <v>0</v>
      </c>
      <c r="CP7" s="278">
        <f>'0_Total'!CP20</f>
        <v>0</v>
      </c>
      <c r="CQ7" s="278">
        <f>'0_Total'!CQ20</f>
        <v>0</v>
      </c>
      <c r="CR7" s="278">
        <f>'0_Total'!CR20</f>
        <v>0</v>
      </c>
      <c r="CS7" s="278">
        <f>'0_Total'!CS20</f>
        <v>23.420596293311849</v>
      </c>
      <c r="CT7" s="278">
        <f>'0_Total'!CT20</f>
        <v>23.420596293311849</v>
      </c>
      <c r="CU7" s="278">
        <f>'0_Total'!CU20</f>
        <v>23.420596293311849</v>
      </c>
      <c r="CV7" s="278">
        <f>'0_Total'!CV20</f>
        <v>23.420596293311849</v>
      </c>
      <c r="CW7" s="278">
        <f>'0_Total'!CW20</f>
        <v>23.420596293311849</v>
      </c>
      <c r="CX7" s="278">
        <f>'0_Total'!CX20</f>
        <v>23.420596293311849</v>
      </c>
      <c r="CY7" s="278">
        <f>'0_Total'!CY20</f>
        <v>13.394216133942162</v>
      </c>
      <c r="CZ7" s="278">
        <f>'0_Total'!CZ20</f>
        <v>13.394216133942162</v>
      </c>
      <c r="DA7" s="278">
        <f>'0_Total'!DA20</f>
        <v>13.394216133942162</v>
      </c>
      <c r="DB7" s="278">
        <f>'0_Total'!DB20</f>
        <v>13.394216133942162</v>
      </c>
      <c r="DC7" s="278">
        <f>'0_Total'!DC20</f>
        <v>13.394216133942162</v>
      </c>
      <c r="DD7" s="278">
        <f>'0_Total'!DD20</f>
        <v>13.394216133942162</v>
      </c>
      <c r="DE7" s="278">
        <f>'0_Total'!DE20</f>
        <v>13.394216133942162</v>
      </c>
      <c r="DF7" s="278">
        <f>'0_Total'!DF20</f>
        <v>13.394216133942162</v>
      </c>
      <c r="DG7" s="278"/>
      <c r="DH7" s="278">
        <f>'0_Total'!DH20</f>
        <v>0</v>
      </c>
      <c r="DI7" s="278">
        <f>'0_Total'!DI20</f>
        <v>0</v>
      </c>
      <c r="DJ7" s="278">
        <f>'0_Total'!DJ20</f>
        <v>0</v>
      </c>
      <c r="DK7" s="278">
        <f>'0_Total'!DK20</f>
        <v>13.394216133942162</v>
      </c>
      <c r="DL7" s="278">
        <f>'0_Total'!DL20</f>
        <v>13.394216133942162</v>
      </c>
      <c r="DM7" s="278">
        <f>'0_Total'!DM20</f>
        <v>13.394216133942162</v>
      </c>
      <c r="DN7" s="278">
        <f>'0_Total'!DN20</f>
        <v>26.788432267884325</v>
      </c>
      <c r="DO7" s="278">
        <f>'0_Total'!DO20</f>
        <v>13.394216133942162</v>
      </c>
      <c r="DP7" s="278">
        <f>'0_Total'!DP20</f>
        <v>13.394216133942162</v>
      </c>
      <c r="DQ7" s="278">
        <f>'0_Total'!DQ20</f>
        <v>13.394216133942162</v>
      </c>
      <c r="DR7" s="278">
        <f>'0_Total'!DR20</f>
        <v>13.394216133942162</v>
      </c>
      <c r="DS7" s="278">
        <f>'0_Total'!DS20</f>
        <v>13.394216133942162</v>
      </c>
      <c r="DT7" s="278">
        <f>'0_Total'!DT20</f>
        <v>13.394216133942162</v>
      </c>
      <c r="DU7" s="278">
        <f>'0_Total'!DU20</f>
        <v>13.394216133942162</v>
      </c>
      <c r="DV7" s="278">
        <f>'0_Total'!DV20</f>
        <v>13.394216133942162</v>
      </c>
      <c r="DW7" s="278">
        <f>'0_Total'!DW20</f>
        <v>13.394216133942162</v>
      </c>
      <c r="DX7" s="278">
        <f>'0_Total'!DX20</f>
        <v>0</v>
      </c>
      <c r="DY7" s="278">
        <f>'0_Total'!DY20</f>
        <v>0</v>
      </c>
      <c r="DZ7" s="278">
        <f>'0_Total'!DZ20</f>
        <v>0</v>
      </c>
      <c r="EA7" s="278">
        <f>'0_Total'!EA20</f>
        <v>0</v>
      </c>
      <c r="EB7" s="278">
        <f>'0_Total'!EB20</f>
        <v>0</v>
      </c>
      <c r="EC7" s="278">
        <f>'0_Total'!EC20</f>
        <v>0</v>
      </c>
      <c r="ED7" s="278">
        <f>'0_Total'!ED20</f>
        <v>0</v>
      </c>
      <c r="EF7" s="21" t="s">
        <v>437</v>
      </c>
      <c r="EJ7" s="21" t="str">
        <f>WTW_Fuel_properties!A4</f>
        <v>Gasoline (Oil)</v>
      </c>
      <c r="EK7" s="21" t="str">
        <f>EJ7</f>
        <v>Gasoline (Oil)</v>
      </c>
      <c r="EL7" s="21" t="str">
        <f>EK7</f>
        <v>Gasoline (Oil)</v>
      </c>
      <c r="EM7" s="21" t="s">
        <v>202</v>
      </c>
      <c r="EN7" s="21" t="str">
        <f>EJ7</f>
        <v>Gasoline (Oil)</v>
      </c>
      <c r="EO7" s="21" t="str">
        <f>EK7</f>
        <v>Gasoline (Oil)</v>
      </c>
      <c r="EP7" s="21" t="str">
        <f>EL7</f>
        <v>Gasoline (Oil)</v>
      </c>
      <c r="ER7" s="21" t="str">
        <f>EN7</f>
        <v>Gasoline (Oil)</v>
      </c>
      <c r="ES7" s="21" t="str">
        <f>EO7</f>
        <v>Gasoline (Oil)</v>
      </c>
      <c r="ET7" s="21" t="str">
        <f>EP7</f>
        <v>Gasoline (Oil)</v>
      </c>
    </row>
    <row r="8" spans="1:156" x14ac:dyDescent="0.3">
      <c r="A8" s="21" t="s">
        <v>954</v>
      </c>
      <c r="B8" s="21" t="s">
        <v>426</v>
      </c>
      <c r="E8" s="303">
        <f>'0_Total'!E21</f>
        <v>5</v>
      </c>
      <c r="F8" s="303">
        <f>'0_Total'!F21</f>
        <v>15</v>
      </c>
      <c r="G8" s="303">
        <f>'0_Total'!G21</f>
        <v>10</v>
      </c>
      <c r="H8" s="303">
        <f>'0_Total'!H21</f>
        <v>10</v>
      </c>
      <c r="I8" s="303">
        <f>'0_Total'!I21</f>
        <v>10</v>
      </c>
      <c r="J8" s="303">
        <f>'0_Total'!J21</f>
        <v>10</v>
      </c>
      <c r="K8" s="303">
        <f>'0_Total'!K21</f>
        <v>15</v>
      </c>
      <c r="L8" s="303">
        <f>'0_Total'!L21</f>
        <v>5</v>
      </c>
      <c r="M8" s="303">
        <f>'0_Total'!M21</f>
        <v>10</v>
      </c>
      <c r="N8" s="303">
        <f>'0_Total'!N21</f>
        <v>10</v>
      </c>
      <c r="O8" s="303">
        <f>'0_Total'!O21</f>
        <v>10</v>
      </c>
      <c r="P8" s="303">
        <f>'0_Total'!P21</f>
        <v>10</v>
      </c>
      <c r="Q8" s="303">
        <f>'0_Total'!Q21</f>
        <v>10</v>
      </c>
      <c r="R8" s="303">
        <f>'0_Total'!R21</f>
        <v>10</v>
      </c>
      <c r="S8" s="303">
        <f>'0_Total'!S21</f>
        <v>10</v>
      </c>
      <c r="T8" s="303">
        <f>'0_Total'!T21</f>
        <v>10</v>
      </c>
      <c r="U8" s="303">
        <f>'0_Total'!U21</f>
        <v>10</v>
      </c>
      <c r="V8" s="303">
        <f>'0_Total'!V21</f>
        <v>10</v>
      </c>
      <c r="W8" s="303">
        <f>'0_Total'!W21</f>
        <v>10</v>
      </c>
      <c r="X8" s="303">
        <f>'0_Total'!X21</f>
        <v>21.087499999999999</v>
      </c>
      <c r="Y8" s="303">
        <f>'0_Total'!Y21</f>
        <v>14.058333333333334</v>
      </c>
      <c r="Z8" s="303">
        <f>'0_Total'!Z21</f>
        <v>14.058333333333334</v>
      </c>
      <c r="AA8" s="303">
        <f>'0_Total'!AA21</f>
        <v>14.058333333333334</v>
      </c>
      <c r="AB8" s="303">
        <f>'0_Total'!AB21</f>
        <v>14.058333333333334</v>
      </c>
      <c r="AC8" s="303">
        <f>'0_Total'!AC21</f>
        <v>14.058333333333334</v>
      </c>
      <c r="AD8" s="303">
        <f>'0_Total'!AD21</f>
        <v>21.087499999999999</v>
      </c>
      <c r="AE8" s="303">
        <f>'0_Total'!AE21</f>
        <v>14.058333333333334</v>
      </c>
      <c r="AF8" s="303">
        <f>'0_Total'!AF21</f>
        <v>10</v>
      </c>
      <c r="AI8" s="303">
        <f>'0_Total'!AI21</f>
        <v>7.0291666666666668</v>
      </c>
      <c r="AJ8" s="303">
        <f>'0_Total'!AJ21</f>
        <v>14.058333333333334</v>
      </c>
      <c r="AM8" s="278">
        <f>'0_Total'!AM21</f>
        <v>0</v>
      </c>
      <c r="AN8" s="278">
        <f>'0_Total'!AN21</f>
        <v>14.058333333333334</v>
      </c>
      <c r="BC8" s="303">
        <f>'0_Total'!BC21</f>
        <v>1</v>
      </c>
      <c r="BD8" s="303">
        <f>'0_Total'!BD21</f>
        <v>1</v>
      </c>
      <c r="BE8" s="303">
        <f>'0_Total'!BE21</f>
        <v>1</v>
      </c>
      <c r="BF8" s="303">
        <f>'0_Total'!BF21</f>
        <v>1</v>
      </c>
      <c r="BG8" s="303">
        <f>'0_Total'!BG21</f>
        <v>1</v>
      </c>
      <c r="BH8" s="303">
        <f>'0_Total'!BH21</f>
        <v>1</v>
      </c>
      <c r="BI8" s="303">
        <f>'0_Total'!BI21</f>
        <v>1</v>
      </c>
      <c r="BJ8" s="303">
        <f>'0_Total'!BJ21</f>
        <v>1</v>
      </c>
      <c r="BK8" s="303">
        <f>'0_Total'!BK21</f>
        <v>1</v>
      </c>
      <c r="BL8" s="303">
        <f>'0_Total'!BL21</f>
        <v>1</v>
      </c>
      <c r="BM8" s="303">
        <f>'0_Total'!BM21</f>
        <v>1</v>
      </c>
      <c r="BN8" s="303">
        <f>'0_Total'!BN21</f>
        <v>1</v>
      </c>
      <c r="BO8" s="303">
        <f>'0_Total'!BO21</f>
        <v>1</v>
      </c>
      <c r="BP8" s="303">
        <f>'0_Total'!BP21</f>
        <v>1</v>
      </c>
      <c r="BQ8" s="303">
        <f>'0_Total'!BQ21</f>
        <v>1</v>
      </c>
      <c r="BR8" s="303">
        <f>'0_Total'!BR21</f>
        <v>1</v>
      </c>
      <c r="BS8" s="303">
        <f>'0_Total'!BS21</f>
        <v>1</v>
      </c>
      <c r="BT8" s="303">
        <f>'0_Total'!BT21</f>
        <v>1</v>
      </c>
      <c r="BU8" s="303">
        <f>'0_Total'!BU21</f>
        <v>1</v>
      </c>
      <c r="BV8" s="303">
        <f>'0_Total'!BV21</f>
        <v>1</v>
      </c>
      <c r="BW8" s="303">
        <f>'0_Total'!BW21</f>
        <v>1</v>
      </c>
      <c r="BX8" s="303">
        <f>'0_Total'!BX21</f>
        <v>1</v>
      </c>
      <c r="BY8" s="303">
        <f>'0_Total'!BY21</f>
        <v>1</v>
      </c>
      <c r="BZ8" s="303">
        <f>'0_Total'!BZ21</f>
        <v>1</v>
      </c>
      <c r="CA8" s="303">
        <f>'0_Total'!CA21</f>
        <v>1</v>
      </c>
      <c r="CB8" s="303">
        <f>'0_Total'!CB21</f>
        <v>1</v>
      </c>
      <c r="CC8" s="303">
        <f>'0_Total'!CC21</f>
        <v>1</v>
      </c>
      <c r="CD8" s="303">
        <f>'0_Total'!CD21</f>
        <v>1</v>
      </c>
      <c r="CE8" s="303">
        <f>'0_Total'!CE21</f>
        <v>1</v>
      </c>
      <c r="CF8" s="303">
        <f>'0_Total'!CF21</f>
        <v>1</v>
      </c>
      <c r="CG8" s="303">
        <f>'0_Total'!CG21</f>
        <v>1</v>
      </c>
      <c r="CH8" s="303">
        <f>'0_Total'!CH21</f>
        <v>1</v>
      </c>
      <c r="CI8" s="303">
        <f>'0_Total'!CI21</f>
        <v>1</v>
      </c>
      <c r="CJ8" s="303">
        <f>'0_Total'!CJ21</f>
        <v>1</v>
      </c>
      <c r="CK8" s="303">
        <f>'0_Total'!CK21</f>
        <v>1</v>
      </c>
      <c r="CL8" s="303">
        <f>'0_Total'!CL21</f>
        <v>1</v>
      </c>
      <c r="CM8" s="303">
        <f>'0_Total'!CM21</f>
        <v>1</v>
      </c>
      <c r="CS8" s="303">
        <f>'0_Total'!CS21</f>
        <v>1</v>
      </c>
      <c r="CT8" s="303">
        <f>'0_Total'!CT21</f>
        <v>1</v>
      </c>
      <c r="CU8" s="303">
        <f>'0_Total'!CU21</f>
        <v>1</v>
      </c>
      <c r="CV8" s="303">
        <f>'0_Total'!CV21</f>
        <v>1</v>
      </c>
      <c r="CW8" s="303">
        <f>'0_Total'!CW21</f>
        <v>1</v>
      </c>
      <c r="CX8" s="303">
        <f>'0_Total'!CX21</f>
        <v>1</v>
      </c>
      <c r="CY8" s="303">
        <f>'0_Total'!CY21</f>
        <v>1</v>
      </c>
      <c r="CZ8" s="303">
        <f>'0_Total'!CZ21</f>
        <v>1</v>
      </c>
      <c r="DA8" s="303">
        <f>'0_Total'!DA21</f>
        <v>1</v>
      </c>
      <c r="DB8" s="303">
        <f>'0_Total'!DB21</f>
        <v>1</v>
      </c>
      <c r="DC8" s="303">
        <f>'0_Total'!DC21</f>
        <v>1</v>
      </c>
      <c r="DD8" s="303">
        <f>'0_Total'!DD21</f>
        <v>1</v>
      </c>
      <c r="DE8" s="303">
        <f>'0_Total'!DE21</f>
        <v>1</v>
      </c>
      <c r="DF8" s="303">
        <f>'0_Total'!DF21</f>
        <v>1</v>
      </c>
      <c r="DG8" s="303"/>
      <c r="DH8" s="303">
        <f>'0_Total'!DH21</f>
        <v>1</v>
      </c>
      <c r="DI8" s="303">
        <f>'0_Total'!DI21</f>
        <v>1</v>
      </c>
      <c r="DJ8" s="303">
        <f>'0_Total'!DJ21</f>
        <v>1</v>
      </c>
      <c r="DK8" s="278">
        <f>'0_Total'!DK21</f>
        <v>1</v>
      </c>
      <c r="DL8" s="278">
        <f>'0_Total'!DL21</f>
        <v>1</v>
      </c>
      <c r="DM8" s="278">
        <f>'0_Total'!DM21</f>
        <v>1</v>
      </c>
      <c r="DN8" s="278">
        <f>'0_Total'!DN21</f>
        <v>1</v>
      </c>
      <c r="DO8" s="278">
        <f>'0_Total'!DO21</f>
        <v>1</v>
      </c>
      <c r="DP8" s="278">
        <f>'0_Total'!DP21</f>
        <v>1</v>
      </c>
      <c r="DQ8" s="278">
        <f>'0_Total'!DQ21</f>
        <v>1</v>
      </c>
      <c r="DR8" s="278">
        <f>'0_Total'!DR21</f>
        <v>1</v>
      </c>
      <c r="DS8" s="278">
        <f>'0_Total'!DS21</f>
        <v>1</v>
      </c>
      <c r="DT8" s="278">
        <f>'0_Total'!DT21</f>
        <v>1</v>
      </c>
      <c r="DU8" s="278">
        <f>'0_Total'!DU21</f>
        <v>1</v>
      </c>
      <c r="DV8" s="278">
        <f>'0_Total'!DV21</f>
        <v>1</v>
      </c>
      <c r="DW8" s="278">
        <f>'0_Total'!DW21</f>
        <v>1</v>
      </c>
      <c r="EF8" s="21" t="s">
        <v>439</v>
      </c>
      <c r="EL8" s="21" t="s">
        <v>440</v>
      </c>
      <c r="EM8" s="21" t="s">
        <v>440</v>
      </c>
      <c r="EP8" s="21" t="s">
        <v>440</v>
      </c>
      <c r="EQ8" s="21" t="s">
        <v>440</v>
      </c>
      <c r="ET8" s="21" t="s">
        <v>440</v>
      </c>
      <c r="EU8" s="21" t="s">
        <v>440</v>
      </c>
      <c r="EV8" s="21" t="s">
        <v>440</v>
      </c>
    </row>
    <row r="9" spans="1:156" x14ac:dyDescent="0.3">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EF9" s="21" t="str">
        <f>'3_Use'!A6</f>
        <v>Share of electric driving</v>
      </c>
      <c r="EL9" s="177">
        <f>'3_Use'!BK6</f>
        <v>0.3591431387331247</v>
      </c>
      <c r="EM9" s="177">
        <v>1</v>
      </c>
      <c r="EP9" s="177">
        <f>'3_Use'!CU6</f>
        <v>0.3591431387331247</v>
      </c>
      <c r="EQ9" s="177">
        <v>1</v>
      </c>
      <c r="EU9" s="177">
        <v>1</v>
      </c>
      <c r="EV9" s="177">
        <v>1</v>
      </c>
    </row>
    <row r="10" spans="1:156" x14ac:dyDescent="0.3">
      <c r="A10" s="21" t="s">
        <v>424</v>
      </c>
      <c r="B10" s="21" t="s">
        <v>1205</v>
      </c>
      <c r="D10" s="41">
        <f>IF(D7=0,0,D7/D8/D5)</f>
        <v>0</v>
      </c>
      <c r="E10" s="41">
        <f>IF(E7=0,0,E7/E8/E5)</f>
        <v>0.84956896551724137</v>
      </c>
      <c r="F10" s="41">
        <f>IF(F7=0,0,F7/F8/F5)</f>
        <v>3.1465517241379311E-2</v>
      </c>
      <c r="G10" s="41">
        <f>IF(G7=0,0,G7/G8/G5)</f>
        <v>0.28318965517241379</v>
      </c>
      <c r="H10" s="41">
        <f t="shared" ref="H10:AF10" si="0">IF(H7=0,0,H7/H8/H5)</f>
        <v>9.4396551724137925E-2</v>
      </c>
      <c r="I10" s="41">
        <f t="shared" ref="I10" si="1">IF(I7=0,0,I7/I8/I5)</f>
        <v>0.1415948275862069</v>
      </c>
      <c r="J10" s="41">
        <f t="shared" si="0"/>
        <v>0.1415948275862069</v>
      </c>
      <c r="K10" s="41">
        <f t="shared" si="0"/>
        <v>9.4396551724137939E-2</v>
      </c>
      <c r="L10" s="41">
        <f t="shared" si="0"/>
        <v>0.28318965517241379</v>
      </c>
      <c r="M10" s="41">
        <f t="shared" si="0"/>
        <v>7.0797413793103448E-2</v>
      </c>
      <c r="N10" s="41">
        <f t="shared" si="0"/>
        <v>0.21239224137931034</v>
      </c>
      <c r="O10" s="41">
        <f t="shared" ref="O10:T10" si="2">IF(O7=0,0,O7/O8/O5)</f>
        <v>0.1415948275862069</v>
      </c>
      <c r="P10" s="41">
        <f t="shared" si="2"/>
        <v>0.1415948275862069</v>
      </c>
      <c r="Q10" s="41">
        <f t="shared" si="2"/>
        <v>0.1415948275862069</v>
      </c>
      <c r="R10" s="41">
        <f t="shared" si="2"/>
        <v>0.1415948275862069</v>
      </c>
      <c r="S10" s="41">
        <f t="shared" si="2"/>
        <v>0.1415948275862069</v>
      </c>
      <c r="T10" s="41">
        <f t="shared" si="2"/>
        <v>0.1415948275862069</v>
      </c>
      <c r="U10" s="41">
        <f t="shared" si="0"/>
        <v>0.1415948275862069</v>
      </c>
      <c r="V10" s="41">
        <f t="shared" si="0"/>
        <v>0.1415948275862069</v>
      </c>
      <c r="W10" s="41">
        <f>IF(W7=0,0,W7/W8/W5)</f>
        <v>0.1415948275862069</v>
      </c>
      <c r="X10" s="41">
        <f>IF(X7=0,0,X7/X8/X5)</f>
        <v>2.2382110663696012E-2</v>
      </c>
      <c r="Y10" s="41">
        <f>IF(Y7=0,0,Y7/Y8/Y5)</f>
        <v>0.10071949798663205</v>
      </c>
      <c r="Z10" s="41">
        <f>IF(Z7=0,0,Z7/Z8/Z5)</f>
        <v>5.0359748993316023E-2</v>
      </c>
      <c r="AA10" s="41">
        <f>IF(AA7=0,0,AA7/AA8/AA5)</f>
        <v>6.7146331991088021E-2</v>
      </c>
      <c r="AB10" s="41">
        <f t="shared" ref="AB10:AC10" si="3">IF(AB7=0,0,AB7/AB8/AB5)</f>
        <v>0.10071949798663205</v>
      </c>
      <c r="AC10" s="41">
        <f t="shared" si="3"/>
        <v>0.10071949798663205</v>
      </c>
      <c r="AD10" s="41">
        <f t="shared" ref="AD10" si="4">IF(AD7=0,0,AD7/AD8/AD5)</f>
        <v>6.7146331991088035E-2</v>
      </c>
      <c r="AE10" s="41">
        <f>IF(AE7=0,0,AE7/AE8/AE5)</f>
        <v>0.10071949798663205</v>
      </c>
      <c r="AF10" s="41">
        <f t="shared" si="0"/>
        <v>0.21591307070270269</v>
      </c>
      <c r="AG10" s="41">
        <f t="shared" ref="AG10:BT10" si="5">IF(AG7=0,0,AG7/AG8/AG5)</f>
        <v>0</v>
      </c>
      <c r="AH10" s="41">
        <f t="shared" si="5"/>
        <v>0</v>
      </c>
      <c r="AI10" s="41">
        <f t="shared" si="5"/>
        <v>0.10071949798663205</v>
      </c>
      <c r="AJ10" s="41">
        <f t="shared" si="5"/>
        <v>0.10071949798663205</v>
      </c>
      <c r="AK10" s="41">
        <f t="shared" si="5"/>
        <v>0</v>
      </c>
      <c r="AL10" s="41">
        <f t="shared" si="5"/>
        <v>0</v>
      </c>
      <c r="AM10" s="41">
        <f t="shared" si="5"/>
        <v>0</v>
      </c>
      <c r="AN10" s="41">
        <f t="shared" si="5"/>
        <v>5.5110668709666591E-2</v>
      </c>
      <c r="AO10" s="41">
        <f t="shared" si="5"/>
        <v>0</v>
      </c>
      <c r="AP10" s="41">
        <f t="shared" si="5"/>
        <v>0</v>
      </c>
      <c r="AQ10" s="41">
        <f t="shared" si="5"/>
        <v>0</v>
      </c>
      <c r="AR10" s="41">
        <f t="shared" si="5"/>
        <v>0</v>
      </c>
      <c r="AS10" s="41">
        <f t="shared" si="5"/>
        <v>0</v>
      </c>
      <c r="AT10" s="41">
        <f t="shared" si="5"/>
        <v>0</v>
      </c>
      <c r="AU10" s="41">
        <f t="shared" si="5"/>
        <v>0</v>
      </c>
      <c r="AV10" s="41">
        <f t="shared" si="5"/>
        <v>0</v>
      </c>
      <c r="AW10" s="41">
        <f t="shared" si="5"/>
        <v>0</v>
      </c>
      <c r="AX10" s="41">
        <f t="shared" si="5"/>
        <v>0</v>
      </c>
      <c r="AY10" s="41">
        <f t="shared" si="5"/>
        <v>0</v>
      </c>
      <c r="AZ10" s="41">
        <f t="shared" si="5"/>
        <v>0</v>
      </c>
      <c r="BA10" s="41">
        <f t="shared" si="5"/>
        <v>0</v>
      </c>
      <c r="BB10" s="41">
        <f t="shared" si="5"/>
        <v>0</v>
      </c>
      <c r="BC10" s="41">
        <f t="shared" si="5"/>
        <v>0.17809411764705885</v>
      </c>
      <c r="BD10" s="41">
        <f t="shared" si="5"/>
        <v>0.17809411764705885</v>
      </c>
      <c r="BE10" s="41">
        <f t="shared" si="5"/>
        <v>0.17809411764705885</v>
      </c>
      <c r="BF10" s="41">
        <f t="shared" si="5"/>
        <v>0.17809411764705885</v>
      </c>
      <c r="BG10" s="41">
        <f t="shared" si="5"/>
        <v>0.17809411764705885</v>
      </c>
      <c r="BH10" s="41">
        <f t="shared" si="5"/>
        <v>0.17809411764705885</v>
      </c>
      <c r="BI10" s="41">
        <f t="shared" si="5"/>
        <v>0.17809411764705885</v>
      </c>
      <c r="BJ10" s="41">
        <f t="shared" si="5"/>
        <v>0.17809411764705885</v>
      </c>
      <c r="BK10" s="41">
        <f t="shared" si="5"/>
        <v>0.17809411764705885</v>
      </c>
      <c r="BL10" s="41">
        <f t="shared" si="5"/>
        <v>0.17809411764705885</v>
      </c>
      <c r="BM10" s="41">
        <f t="shared" si="5"/>
        <v>0.17809411764705885</v>
      </c>
      <c r="BN10" s="41">
        <f t="shared" si="5"/>
        <v>0.17809411764705885</v>
      </c>
      <c r="BO10" s="41">
        <f t="shared" si="5"/>
        <v>0.17809411764705885</v>
      </c>
      <c r="BP10" s="41">
        <f t="shared" si="5"/>
        <v>0.17809411764705885</v>
      </c>
      <c r="BQ10" s="41">
        <f t="shared" si="5"/>
        <v>0.17809411764705885</v>
      </c>
      <c r="BR10" s="41">
        <f t="shared" si="5"/>
        <v>0.17809411764705885</v>
      </c>
      <c r="BS10" s="41">
        <f t="shared" si="5"/>
        <v>0.17809411764705885</v>
      </c>
      <c r="BT10" s="41">
        <f t="shared" si="5"/>
        <v>0.17809411764705885</v>
      </c>
      <c r="BU10" s="41">
        <f t="shared" ref="BU10:CC10" si="6">IF(BU7=0,0,BU7/BU8/BU5)</f>
        <v>0.17809411764705885</v>
      </c>
      <c r="BV10" s="41">
        <f t="shared" si="6"/>
        <v>0.17809411764705885</v>
      </c>
      <c r="BW10" s="41">
        <f t="shared" si="6"/>
        <v>0.17809411764705885</v>
      </c>
      <c r="BX10" s="41">
        <f t="shared" si="6"/>
        <v>0.17809411764705885</v>
      </c>
      <c r="BY10" s="41">
        <f t="shared" si="6"/>
        <v>0.17809411764705885</v>
      </c>
      <c r="BZ10" s="41">
        <f t="shared" si="6"/>
        <v>0.17809411764705885</v>
      </c>
      <c r="CA10" s="41">
        <f t="shared" si="6"/>
        <v>0.17809411764705885</v>
      </c>
      <c r="CB10" s="41">
        <f t="shared" si="6"/>
        <v>0.17809411764705885</v>
      </c>
      <c r="CC10" s="41">
        <f t="shared" si="6"/>
        <v>0.17809411764705885</v>
      </c>
      <c r="CD10" s="41">
        <f t="shared" ref="CD10:DF10" si="7">IF(CD7=0,0,CD7/CD8/CD5)</f>
        <v>0.17809411764705885</v>
      </c>
      <c r="CE10" s="41">
        <f t="shared" si="7"/>
        <v>0.17809411764705885</v>
      </c>
      <c r="CF10" s="41">
        <f t="shared" si="7"/>
        <v>0.17809411764705885</v>
      </c>
      <c r="CG10" s="41">
        <f t="shared" si="7"/>
        <v>0.17809411764705885</v>
      </c>
      <c r="CH10" s="41">
        <f t="shared" si="7"/>
        <v>0.17809411764705885</v>
      </c>
      <c r="CI10" s="41">
        <f t="shared" si="7"/>
        <v>0.17809411764705885</v>
      </c>
      <c r="CJ10" s="41">
        <f t="shared" si="7"/>
        <v>0.17809411764705885</v>
      </c>
      <c r="CK10" s="41">
        <f t="shared" si="7"/>
        <v>0.17809411764705885</v>
      </c>
      <c r="CL10" s="41">
        <f t="shared" si="7"/>
        <v>0.17809411764705885</v>
      </c>
      <c r="CM10" s="41">
        <f t="shared" si="7"/>
        <v>0.17809411764705885</v>
      </c>
      <c r="CN10" s="41">
        <f t="shared" si="7"/>
        <v>0</v>
      </c>
      <c r="CO10" s="41">
        <f t="shared" si="7"/>
        <v>0</v>
      </c>
      <c r="CP10" s="41">
        <f t="shared" si="7"/>
        <v>0</v>
      </c>
      <c r="CQ10" s="41">
        <f t="shared" si="7"/>
        <v>0</v>
      </c>
      <c r="CR10" s="41">
        <f t="shared" si="7"/>
        <v>0</v>
      </c>
      <c r="CS10" s="41">
        <f t="shared" si="7"/>
        <v>0.17809411764705885</v>
      </c>
      <c r="CT10" s="41">
        <f t="shared" si="7"/>
        <v>0.17809411764705885</v>
      </c>
      <c r="CU10" s="41">
        <f t="shared" si="7"/>
        <v>0.17809411764705885</v>
      </c>
      <c r="CV10" s="41">
        <f t="shared" si="7"/>
        <v>0.17809411764705885</v>
      </c>
      <c r="CW10" s="41">
        <f t="shared" si="7"/>
        <v>0.17809411764705885</v>
      </c>
      <c r="CX10" s="41">
        <f t="shared" si="7"/>
        <v>0.17809411764705885</v>
      </c>
      <c r="CY10" s="41">
        <f t="shared" si="7"/>
        <v>0.10185185185185185</v>
      </c>
      <c r="CZ10" s="41">
        <f t="shared" si="7"/>
        <v>0.10185185185185185</v>
      </c>
      <c r="DA10" s="41">
        <f t="shared" si="7"/>
        <v>0.10185185185185185</v>
      </c>
      <c r="DB10" s="41">
        <f t="shared" si="7"/>
        <v>0.10185185185185185</v>
      </c>
      <c r="DC10" s="41">
        <f t="shared" si="7"/>
        <v>0.10185185185185185</v>
      </c>
      <c r="DD10" s="41">
        <f t="shared" si="7"/>
        <v>0.10185185185185185</v>
      </c>
      <c r="DE10" s="41">
        <f t="shared" si="7"/>
        <v>0.10185185185185185</v>
      </c>
      <c r="DF10" s="41">
        <f t="shared" si="7"/>
        <v>0.10185185185185185</v>
      </c>
      <c r="DG10" s="41"/>
      <c r="DH10" s="41">
        <f>IF(DH7=0,0,DH7/DH8/DH5)</f>
        <v>0</v>
      </c>
      <c r="DI10" s="41">
        <f>IF(DI7=0,0,DI7/DI8/DI5)</f>
        <v>0</v>
      </c>
      <c r="DJ10" s="41">
        <f>IF(DJ7=0,0,DJ7/DJ8/DJ5)</f>
        <v>0</v>
      </c>
      <c r="DK10" s="41">
        <f t="shared" ref="DK10:DP10" si="8">IF(DK7=0,0,DK7/DK8/DK5)</f>
        <v>0.11111111111111112</v>
      </c>
      <c r="DL10" s="41">
        <f t="shared" si="8"/>
        <v>0.11111111111111112</v>
      </c>
      <c r="DM10" s="41">
        <f>IF(DM7=0,0,DM7/DM8/DM5)</f>
        <v>0.11111111111111112</v>
      </c>
      <c r="DN10" s="41">
        <f t="shared" si="8"/>
        <v>0.22222222222222224</v>
      </c>
      <c r="DO10" s="41">
        <f t="shared" si="8"/>
        <v>0.11111111111111112</v>
      </c>
      <c r="DP10" s="41">
        <f t="shared" si="8"/>
        <v>0.11111111111111112</v>
      </c>
      <c r="DQ10" s="41">
        <f t="shared" ref="DQ10:DW10" si="9">IF(DQ7=0,0,DQ7/DQ8/DQ5)</f>
        <v>0.11111111111111112</v>
      </c>
      <c r="DR10" s="41">
        <f t="shared" si="9"/>
        <v>0.11111111111111112</v>
      </c>
      <c r="DS10" s="41">
        <f t="shared" si="9"/>
        <v>0.11111111111111112</v>
      </c>
      <c r="DT10" s="41">
        <f t="shared" si="9"/>
        <v>0.11111111111111112</v>
      </c>
      <c r="DU10" s="41">
        <f t="shared" si="9"/>
        <v>0.11111111111111112</v>
      </c>
      <c r="DV10" s="41">
        <f t="shared" si="9"/>
        <v>0.11111111111111112</v>
      </c>
      <c r="DW10" s="41">
        <f t="shared" si="9"/>
        <v>0.11111111111111112</v>
      </c>
      <c r="DX10" s="41">
        <f t="shared" ref="DX10:EC10" si="10">IF(DX7=0,0,DX7/DX8/DX5)</f>
        <v>0</v>
      </c>
      <c r="DY10" s="41">
        <f t="shared" si="10"/>
        <v>0</v>
      </c>
      <c r="DZ10" s="41">
        <f t="shared" si="10"/>
        <v>0</v>
      </c>
      <c r="EA10" s="41">
        <f t="shared" si="10"/>
        <v>0</v>
      </c>
      <c r="EB10" s="41">
        <f t="shared" si="10"/>
        <v>0</v>
      </c>
      <c r="EC10" s="41">
        <f t="shared" si="10"/>
        <v>0</v>
      </c>
      <c r="ED10" s="41">
        <f>IF(ED7=0,0,ED7/ED8/ED5)</f>
        <v>0</v>
      </c>
      <c r="EF10" s="21" t="s">
        <v>903</v>
      </c>
      <c r="EH10" s="124" t="s">
        <v>962</v>
      </c>
      <c r="EJ10" s="21">
        <f>IF(EJ7="",NA(),VLOOKUP(EJ7,WTW_Fuel_properties!$A$75:$C$90,3,FALSE)/VLOOKUP(EJ7,WTW_Fuel_properties!$A$75:$D$90,4,FALSE))-1</f>
        <v>0.19415475828519324</v>
      </c>
      <c r="EK10" s="21">
        <f>IF(EK7="",NA(),VLOOKUP(EK7,WTW_Fuel_properties!$A$75:$C$90,3,FALSE)/VLOOKUP(EK7,WTW_Fuel_properties!$A$75:$D$90,4,FALSE))-1</f>
        <v>0.19415475828519324</v>
      </c>
      <c r="EL10" s="21">
        <f>IF(EL7="",NA(),VLOOKUP(EL7,WTW_Fuel_properties!$A$75:$C$90,3,FALSE)/VLOOKUP(EL7,WTW_Fuel_properties!$A$75:$D$90,4,FALSE))-1</f>
        <v>0.19415475828519324</v>
      </c>
      <c r="EN10" s="21">
        <f>IF(EN7="",NA(),VLOOKUP(EN7,WTW_Fuel_properties!$A$75:$C$90,3,FALSE)/VLOOKUP(EN7,WTW_Fuel_properties!$A$75:$D$90,4,FALSE))-1</f>
        <v>0.19415475828519324</v>
      </c>
      <c r="EO10" s="21">
        <f>IF(EO7="",NA(),VLOOKUP(EO7,WTW_Fuel_properties!$A$75:$C$90,3,FALSE)/VLOOKUP(EO7,WTW_Fuel_properties!$A$75:$D$90,4,FALSE))-1</f>
        <v>0.19415475828519324</v>
      </c>
      <c r="EP10" s="21">
        <f>IF(EP7="",NA(),VLOOKUP(EP7,WTW_Fuel_properties!$A$75:$C$90,3,FALSE)/VLOOKUP(EP7,WTW_Fuel_properties!$A$75:$D$90,4,FALSE))-1</f>
        <v>0.19415475828519324</v>
      </c>
      <c r="ER10" s="21">
        <f>IF(ER7="",NA(),VLOOKUP(ER7,WTW_Fuel_properties!$A$75:$C$90,3,FALSE)/VLOOKUP(ER7,WTW_Fuel_properties!$A$75:$D$90,4,FALSE))-1</f>
        <v>0.19415475828519324</v>
      </c>
      <c r="ES10" s="21">
        <f>IF(ES7="",NA(),VLOOKUP(ES7,WTW_Fuel_properties!$A$75:$C$90,3,FALSE)/VLOOKUP(ES7,WTW_Fuel_properties!$A$75:$D$90,4,FALSE))-1</f>
        <v>0.19415475828519324</v>
      </c>
      <c r="ET10" s="21">
        <f>IF(ET7="",NA(),VLOOKUP(ET7,WTW_Fuel_properties!$A$75:$C$90,3,FALSE)/VLOOKUP(ET7,WTW_Fuel_properties!$A$75:$D$90,4,FALSE))-1</f>
        <v>0.19415475828519324</v>
      </c>
    </row>
    <row r="11" spans="1:156" x14ac:dyDescent="0.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41"/>
      <c r="EF11" s="21" t="s">
        <v>846</v>
      </c>
      <c r="EH11" s="124" t="s">
        <v>962</v>
      </c>
      <c r="EL11" s="21">
        <f>$EX$11</f>
        <v>1.5941846809027087</v>
      </c>
      <c r="EM11" s="21">
        <f>$EX$11</f>
        <v>1.5941846809027087</v>
      </c>
      <c r="EP11" s="21">
        <f>$EX$11</f>
        <v>1.5941846809027087</v>
      </c>
      <c r="EQ11" s="21">
        <f>$EX$11</f>
        <v>1.5941846809027087</v>
      </c>
      <c r="ET11" s="21">
        <f>$EX$11</f>
        <v>1.5941846809027087</v>
      </c>
      <c r="EU11" s="21">
        <f>$EX$11</f>
        <v>1.5941846809027087</v>
      </c>
      <c r="EV11" s="21">
        <f>$EX$12</f>
        <v>5.1524710830704645E-2</v>
      </c>
      <c r="EX11" s="21">
        <f>'3_Use'!D28</f>
        <v>1.5941846809027087</v>
      </c>
      <c r="EY11" s="21" t="str">
        <f>'3_Use'!C28</f>
        <v>Well-to-tank</v>
      </c>
      <c r="EZ11" s="21" t="str">
        <f>'3_Use'!A28</f>
        <v>Energy intensity of electricity production</v>
      </c>
    </row>
    <row r="12" spans="1:156" x14ac:dyDescent="0.3">
      <c r="A12" s="21" t="s">
        <v>417</v>
      </c>
      <c r="B12" s="21" t="s">
        <v>422</v>
      </c>
      <c r="C12" s="21" t="s">
        <v>435</v>
      </c>
      <c r="D12" s="21">
        <f t="shared" ref="D12:AN12" si="11">HLOOKUP(D$3,$EI$3:$EV$15,ROW($EF12)-ROW($EF$3)+1,FALSE)</f>
        <v>0</v>
      </c>
      <c r="E12" s="21">
        <f t="shared" si="11"/>
        <v>3.5391021272727277</v>
      </c>
      <c r="F12" s="21">
        <f t="shared" si="11"/>
        <v>1.8687303024833966</v>
      </c>
      <c r="G12" s="21">
        <f t="shared" si="11"/>
        <v>3.5391021272727277</v>
      </c>
      <c r="H12" s="21">
        <f t="shared" si="11"/>
        <v>3.5391021272727277</v>
      </c>
      <c r="I12" s="21">
        <f t="shared" si="11"/>
        <v>0.75746962250029726</v>
      </c>
      <c r="J12" s="21">
        <f t="shared" si="11"/>
        <v>1.8687303024833966</v>
      </c>
      <c r="K12" s="21">
        <f t="shared" si="11"/>
        <v>3.5391021272727277</v>
      </c>
      <c r="L12" s="21">
        <f t="shared" si="11"/>
        <v>3.5391021272727277</v>
      </c>
      <c r="M12" s="21">
        <f t="shared" si="11"/>
        <v>3.5391021272727277</v>
      </c>
      <c r="N12" s="21">
        <f t="shared" si="11"/>
        <v>3.5391021272727277</v>
      </c>
      <c r="O12" s="21">
        <f t="shared" si="11"/>
        <v>3.5391021272727277</v>
      </c>
      <c r="P12" s="21">
        <f t="shared" si="11"/>
        <v>3.5391021272727277</v>
      </c>
      <c r="Q12" s="21">
        <f t="shared" si="11"/>
        <v>3.5391021272727277</v>
      </c>
      <c r="R12" s="21">
        <f t="shared" si="11"/>
        <v>3.5391021272727277</v>
      </c>
      <c r="S12" s="21">
        <f t="shared" si="11"/>
        <v>3.5391021272727277</v>
      </c>
      <c r="T12" s="21">
        <f t="shared" si="11"/>
        <v>3.5391021272727277</v>
      </c>
      <c r="U12" s="21">
        <f t="shared" si="11"/>
        <v>3.5391021272727277</v>
      </c>
      <c r="V12" s="21">
        <f t="shared" si="11"/>
        <v>3.5391021272727277</v>
      </c>
      <c r="W12" s="21">
        <f t="shared" si="11"/>
        <v>3.5391021272727277</v>
      </c>
      <c r="X12" s="21">
        <f t="shared" si="11"/>
        <v>0.75746962250029726</v>
      </c>
      <c r="Y12" s="21">
        <f t="shared" si="11"/>
        <v>3.5391021272727277</v>
      </c>
      <c r="Z12" s="21">
        <f t="shared" si="11"/>
        <v>3.5391021272727277</v>
      </c>
      <c r="AA12" s="21">
        <f t="shared" si="11"/>
        <v>3.5391021272727277</v>
      </c>
      <c r="AB12" s="21">
        <f t="shared" si="11"/>
        <v>3.5391021272727277</v>
      </c>
      <c r="AC12" s="21">
        <f t="shared" si="11"/>
        <v>0.75746962250029726</v>
      </c>
      <c r="AD12" s="21">
        <f t="shared" si="11"/>
        <v>3.5391021272727277</v>
      </c>
      <c r="AE12" s="21">
        <f t="shared" si="11"/>
        <v>3.5391021272727277</v>
      </c>
      <c r="AF12" s="21">
        <f t="shared" si="11"/>
        <v>3.5391021272727277</v>
      </c>
      <c r="AG12" s="21">
        <f t="shared" si="11"/>
        <v>0</v>
      </c>
      <c r="AH12" s="21">
        <f t="shared" si="11"/>
        <v>0</v>
      </c>
      <c r="AI12" s="21">
        <f t="shared" si="11"/>
        <v>3.5391021272727277</v>
      </c>
      <c r="AJ12" s="21">
        <f t="shared" si="11"/>
        <v>3.5391021272727277</v>
      </c>
      <c r="AK12" s="21">
        <f t="shared" si="11"/>
        <v>0</v>
      </c>
      <c r="AL12" s="21">
        <f t="shared" si="11"/>
        <v>0</v>
      </c>
      <c r="AM12" s="21">
        <f t="shared" si="11"/>
        <v>0</v>
      </c>
      <c r="AN12" s="21">
        <f t="shared" si="11"/>
        <v>3.5391021272727277</v>
      </c>
      <c r="EF12" s="21" t="str">
        <f>A12</f>
        <v>Energy required by the service vehicle</v>
      </c>
      <c r="EH12" s="21" t="s">
        <v>422</v>
      </c>
      <c r="EJ12" s="21">
        <f t="shared" ref="EJ12:ET12" si="12">(EJ4*(1-EJ9)*(1+EJ10)+EJ9*EJ5*(1+EJ11))</f>
        <v>2.7193101090909098</v>
      </c>
      <c r="EK12" s="21">
        <f t="shared" si="12"/>
        <v>2.0256085506493511</v>
      </c>
      <c r="EL12" s="21">
        <f t="shared" si="12"/>
        <v>1.9365580756487752</v>
      </c>
      <c r="EM12" s="21">
        <f t="shared" si="12"/>
        <v>1.7776559507063292</v>
      </c>
      <c r="EN12" s="21">
        <f t="shared" si="12"/>
        <v>3.5391021272727277</v>
      </c>
      <c r="EO12" s="21">
        <f t="shared" si="12"/>
        <v>2.6052813885910102</v>
      </c>
      <c r="EP12" s="21">
        <f t="shared" si="12"/>
        <v>2.3080453911337289</v>
      </c>
      <c r="EQ12" s="21">
        <f t="shared" si="12"/>
        <v>1.7776559507063292</v>
      </c>
      <c r="ER12" s="21">
        <f t="shared" si="12"/>
        <v>3.5391021272727277</v>
      </c>
      <c r="ES12" s="21">
        <f t="shared" si="12"/>
        <v>2.6052813885910102</v>
      </c>
      <c r="ET12" s="21">
        <f t="shared" si="12"/>
        <v>2.6052813885910102</v>
      </c>
      <c r="EU12" s="21">
        <f t="shared" ref="EU12" si="13">(EU4*(1-EU9)*(1+EU10)+EU9*EU5*(1+EU11))</f>
        <v>1.8687303024833966</v>
      </c>
      <c r="EV12" s="21">
        <f>(EV4*(1-EV9)*(1+EV10)+EV9*EV5*(1+EV11))</f>
        <v>0.75746962250029726</v>
      </c>
      <c r="EX12" s="21">
        <f>WTW_Fuel_properties!$I$50-1</f>
        <v>5.1524710830704645E-2</v>
      </c>
      <c r="EY12" s="21" t="s">
        <v>331</v>
      </c>
      <c r="EZ12" s="21" t="s">
        <v>1359</v>
      </c>
    </row>
    <row r="13" spans="1:156" x14ac:dyDescent="0.3">
      <c r="A13" s="21" t="s">
        <v>436</v>
      </c>
      <c r="B13" s="21" t="s">
        <v>423</v>
      </c>
      <c r="C13" s="21" t="s">
        <v>435</v>
      </c>
      <c r="D13" s="21">
        <f t="shared" ref="D13:AA13" si="14">HLOOKUP(D$3,$EI$3:$EV$15,ROW($EF15)-ROW($EF$3)+1,FALSE)</f>
        <v>0</v>
      </c>
      <c r="E13" s="21">
        <f t="shared" si="14"/>
        <v>245.25977741999998</v>
      </c>
      <c r="F13" s="21">
        <f t="shared" si="14"/>
        <v>25.902127154113785</v>
      </c>
      <c r="G13" s="21">
        <f t="shared" si="14"/>
        <v>245.25977741999998</v>
      </c>
      <c r="H13" s="21">
        <f t="shared" si="14"/>
        <v>245.25977741999998</v>
      </c>
      <c r="I13" s="21">
        <f t="shared" si="14"/>
        <v>0</v>
      </c>
      <c r="J13" s="21">
        <f t="shared" si="14"/>
        <v>25.902127154113785</v>
      </c>
      <c r="K13" s="21">
        <f t="shared" si="14"/>
        <v>245.25977741999998</v>
      </c>
      <c r="L13" s="21">
        <f t="shared" si="14"/>
        <v>245.25977741999998</v>
      </c>
      <c r="M13" s="21">
        <f t="shared" si="14"/>
        <v>245.25977741999998</v>
      </c>
      <c r="N13" s="21">
        <f t="shared" si="14"/>
        <v>245.25977741999998</v>
      </c>
      <c r="O13" s="21">
        <f t="shared" si="14"/>
        <v>245.25977741999998</v>
      </c>
      <c r="P13" s="21">
        <f t="shared" si="14"/>
        <v>245.25977741999998</v>
      </c>
      <c r="Q13" s="21">
        <f t="shared" si="14"/>
        <v>245.25977741999998</v>
      </c>
      <c r="R13" s="21">
        <f t="shared" si="14"/>
        <v>245.25977741999998</v>
      </c>
      <c r="S13" s="21">
        <f t="shared" si="14"/>
        <v>245.25977741999998</v>
      </c>
      <c r="T13" s="21">
        <f t="shared" si="14"/>
        <v>245.25977741999998</v>
      </c>
      <c r="U13" s="21">
        <f t="shared" si="14"/>
        <v>245.25977741999998</v>
      </c>
      <c r="V13" s="21">
        <f t="shared" si="14"/>
        <v>245.25977741999998</v>
      </c>
      <c r="W13" s="21">
        <f t="shared" si="14"/>
        <v>245.25977741999998</v>
      </c>
      <c r="X13" s="21">
        <f t="shared" si="14"/>
        <v>0</v>
      </c>
      <c r="Y13" s="21">
        <f t="shared" si="14"/>
        <v>245.25977741999998</v>
      </c>
      <c r="Z13" s="21">
        <f t="shared" si="14"/>
        <v>245.25977741999998</v>
      </c>
      <c r="AA13" s="21">
        <f t="shared" si="14"/>
        <v>245.25977741999998</v>
      </c>
      <c r="AB13" s="21">
        <f t="shared" ref="AB13:AC13" si="15">HLOOKUP(AB$3,$EI$3:$EV$15,ROW($EF15)-ROW($EF$3)+1,FALSE)</f>
        <v>245.25977741999998</v>
      </c>
      <c r="AC13" s="21">
        <f t="shared" si="15"/>
        <v>0</v>
      </c>
      <c r="AD13" s="21">
        <f t="shared" ref="AD13" si="16">HLOOKUP(AD$3,$EI$3:$EV$15,ROW($EF15)-ROW($EF$3)+1,FALSE)</f>
        <v>245.25977741999998</v>
      </c>
      <c r="AE13" s="21">
        <f t="shared" ref="AE13:AN13" si="17">HLOOKUP(AE$3,$EI$3:$EV$15,ROW($EF15)-ROW($EF$3)+1,FALSE)</f>
        <v>245.25977741999998</v>
      </c>
      <c r="AF13" s="21">
        <f t="shared" si="17"/>
        <v>245.25977741999998</v>
      </c>
      <c r="AG13" s="21">
        <f t="shared" si="17"/>
        <v>0</v>
      </c>
      <c r="AH13" s="21">
        <f t="shared" si="17"/>
        <v>0</v>
      </c>
      <c r="AI13" s="21">
        <f t="shared" si="17"/>
        <v>245.25977741999998</v>
      </c>
      <c r="AJ13" s="21">
        <f t="shared" si="17"/>
        <v>245.25977741999998</v>
      </c>
      <c r="AK13" s="21">
        <f t="shared" si="17"/>
        <v>0</v>
      </c>
      <c r="AL13" s="21">
        <f t="shared" si="17"/>
        <v>0</v>
      </c>
      <c r="AM13" s="21">
        <f t="shared" si="17"/>
        <v>0</v>
      </c>
      <c r="AN13" s="21">
        <f t="shared" si="17"/>
        <v>245.25977741999998</v>
      </c>
      <c r="EF13" s="21" t="str">
        <f>'3_Use'!A40</f>
        <v>GHG emission intensity of fuel</v>
      </c>
      <c r="EH13" s="21" t="str">
        <f>'3_Use'!B40</f>
        <v>[g CO2 eq/MJ]</v>
      </c>
      <c r="EJ13" s="21">
        <f>IF(EJ$7="",NA(),VLOOKUP(EJ$7,WTW_Fuel_properties!$A$75:$C$90,3,FALSE))/Convert!$C$17*1000</f>
        <v>82.754924749163877</v>
      </c>
      <c r="EK13" s="21">
        <f>IF(EK$7="",NA(),VLOOKUP(EK$7,WTW_Fuel_properties!$A$75:$C$90,3,FALSE))/Convert!$C$17*1000</f>
        <v>82.754924749163877</v>
      </c>
      <c r="EL13" s="21">
        <f>IF(EL$7="",NA(),VLOOKUP(EL$7,WTW_Fuel_properties!$A$75:$C$90,3,FALSE))/Convert!$C$17*1000</f>
        <v>82.754924749163877</v>
      </c>
      <c r="EM13" s="21" t="e">
        <f>IF(EM$7="",NA(),VLOOKUP(EM$7,WTW_Fuel_properties!$A$75:$C$90,3,FALSE))/Convert!$C$17*1000</f>
        <v>#N/A</v>
      </c>
      <c r="EN13" s="21">
        <f>IF(EN$7="",NA(),VLOOKUP(EN$7,WTW_Fuel_properties!$A$75:$C$90,3,FALSE))/Convert!$C$17*1000</f>
        <v>82.754924749163877</v>
      </c>
      <c r="EO13" s="21">
        <f>IF(EO$7="",NA(),VLOOKUP(EO$7,WTW_Fuel_properties!$A$75:$C$90,3,FALSE))/Convert!$C$17*1000</f>
        <v>82.754924749163877</v>
      </c>
      <c r="EP13" s="21">
        <f>IF(EP$7="",NA(),VLOOKUP(EP$7,WTW_Fuel_properties!$A$75:$C$90,3,FALSE))/Convert!$C$17*1000</f>
        <v>82.754924749163877</v>
      </c>
      <c r="EQ13" s="21" t="e">
        <f>IF(EQ$7="",NA(),VLOOKUP(EQ$7,WTW_Fuel_properties!$A$75:$C$90,3,FALSE))/Convert!$C$17*1000</f>
        <v>#N/A</v>
      </c>
      <c r="ER13" s="21">
        <f>IF(ER$7="",NA(),VLOOKUP(ER$7,WTW_Fuel_properties!$A$75:$C$90,3,FALSE))/Convert!$C$17*1000</f>
        <v>82.754924749163877</v>
      </c>
      <c r="ES13" s="21">
        <f>IF(ES$7="",NA(),VLOOKUP(ES$7,WTW_Fuel_properties!$A$75:$C$90,3,FALSE))/Convert!$C$17*1000</f>
        <v>82.754924749163877</v>
      </c>
      <c r="ET13" s="21">
        <f>IF(ET$7="",NA(),VLOOKUP(ET$7,WTW_Fuel_properties!$A$75:$C$90,3,FALSE))/Convert!$C$17*1000</f>
        <v>82.754924749163877</v>
      </c>
      <c r="EU13" s="21" t="e">
        <f>IF(EU$7="",NA(),VLOOKUP(EU$7,WTW_Fuel_properties!$A$75:$C$90,3,FALSE))/Convert!$C$17*1000</f>
        <v>#N/A</v>
      </c>
      <c r="EV13" s="21" t="e">
        <f>IF(EV$7="",NA(),VLOOKUP(EV$7,WTW_Fuel_properties!$A$75:$C$90,3,FALSE))/Convert!$C$17*1000</f>
        <v>#N/A</v>
      </c>
      <c r="EX13" s="21">
        <f>'3_Use'!D32</f>
        <v>129.44706090339383</v>
      </c>
      <c r="EY13" s="21" t="str">
        <f>'3_Use'!B32</f>
        <v>[g CO2 eq/kWh]</v>
      </c>
      <c r="EZ13" s="21" t="str">
        <f>'3_Use'!A32</f>
        <v>GHG emission intensity of electricity production</v>
      </c>
    </row>
    <row r="14" spans="1:156" x14ac:dyDescent="0.3">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F14" s="21" t="str">
        <f>'3_Use'!A41</f>
        <v>GHG emission intensity of electricity</v>
      </c>
      <c r="EH14" s="21" t="str">
        <f>'3_Use'!B41</f>
        <v>[g CO2 eq/MJ]</v>
      </c>
      <c r="EJ14" s="21">
        <f>$EX$13/Convert!$B$12</f>
        <v>35.957516917609397</v>
      </c>
      <c r="EK14" s="21">
        <f>$EX$13/Convert!$B$12</f>
        <v>35.957516917609397</v>
      </c>
      <c r="EL14" s="21">
        <f>$EX$13/Convert!$B$12</f>
        <v>35.957516917609397</v>
      </c>
      <c r="EM14" s="21">
        <f>$EX$13/Convert!$B$12</f>
        <v>35.957516917609397</v>
      </c>
      <c r="EN14" s="21">
        <f>$EX$13/Convert!$B$12</f>
        <v>35.957516917609397</v>
      </c>
      <c r="EO14" s="21">
        <f>$EX$13/Convert!$B$12</f>
        <v>35.957516917609397</v>
      </c>
      <c r="EP14" s="21">
        <f>$EX$13/Convert!$B$12</f>
        <v>35.957516917609397</v>
      </c>
      <c r="EQ14" s="21">
        <f>$EX$13/Convert!$B$12</f>
        <v>35.957516917609397</v>
      </c>
      <c r="ER14" s="21">
        <f>$EX$13/Convert!$B$12</f>
        <v>35.957516917609397</v>
      </c>
      <c r="ES14" s="21">
        <f>$EX$13/Convert!$B$12</f>
        <v>35.957516917609397</v>
      </c>
      <c r="ET14" s="21">
        <f>$EX$13/Convert!$B$12</f>
        <v>35.957516917609397</v>
      </c>
      <c r="EU14" s="21">
        <f>$EX$13/Convert!$B$12</f>
        <v>35.957516917609397</v>
      </c>
      <c r="EV14" s="499">
        <f>EX14</f>
        <v>0</v>
      </c>
      <c r="EX14" s="499">
        <f>WTW_Fuel_properties!$E$50</f>
        <v>0</v>
      </c>
      <c r="EY14" s="21" t="str">
        <f>'3_Use'!B33</f>
        <v>[g CO2 eq/MJ]</v>
      </c>
      <c r="EZ14" s="21" t="s">
        <v>1357</v>
      </c>
    </row>
    <row r="15" spans="1:156" x14ac:dyDescent="0.3">
      <c r="A15" s="21" t="s">
        <v>418</v>
      </c>
      <c r="B15" s="21" t="str">
        <f>'3_Use'!B43</f>
        <v>[MJ/vehicle]</v>
      </c>
      <c r="D15" s="305">
        <f t="shared" ref="D15:V15" si="18">D12*D10*D6</f>
        <v>0</v>
      </c>
      <c r="E15" s="305">
        <f t="shared" si="18"/>
        <v>2179.8657165170457</v>
      </c>
      <c r="F15" s="305">
        <f t="shared" si="18"/>
        <v>383.67369022862238</v>
      </c>
      <c r="G15" s="305">
        <f t="shared" si="18"/>
        <v>1211.0365091761366</v>
      </c>
      <c r="H15" s="305">
        <f t="shared" si="18"/>
        <v>1211.0365091761364</v>
      </c>
      <c r="I15" s="305">
        <f t="shared" ref="I15" si="19">I12*I10*I6</f>
        <v>259.19663644932047</v>
      </c>
      <c r="J15" s="305">
        <f t="shared" si="18"/>
        <v>639.45615038103733</v>
      </c>
      <c r="K15" s="305">
        <f t="shared" si="18"/>
        <v>807.35767278409116</v>
      </c>
      <c r="L15" s="305">
        <f t="shared" si="18"/>
        <v>2422.0730183522733</v>
      </c>
      <c r="M15" s="305">
        <f t="shared" si="18"/>
        <v>605.51825458806832</v>
      </c>
      <c r="N15" s="305">
        <f t="shared" si="18"/>
        <v>1816.5547637642048</v>
      </c>
      <c r="O15" s="305">
        <f t="shared" ref="O15:T15" si="20">O12*O10*O6</f>
        <v>2179.8657165170457</v>
      </c>
      <c r="P15" s="305">
        <f t="shared" si="20"/>
        <v>726.62190550568187</v>
      </c>
      <c r="Q15" s="305">
        <f t="shared" si="20"/>
        <v>1211.0365091761366</v>
      </c>
      <c r="R15" s="305">
        <f t="shared" si="20"/>
        <v>1211.0365091761366</v>
      </c>
      <c r="S15" s="305">
        <f t="shared" si="20"/>
        <v>1211.0365091761366</v>
      </c>
      <c r="T15" s="305">
        <f t="shared" si="20"/>
        <v>1211.0365091761366</v>
      </c>
      <c r="U15" s="305">
        <f t="shared" si="18"/>
        <v>1211.0365091761366</v>
      </c>
      <c r="V15" s="305">
        <f t="shared" si="18"/>
        <v>1211.0365091761366</v>
      </c>
      <c r="W15" s="305">
        <f t="shared" ref="W15:AN15" si="21">W12*W10*W6</f>
        <v>1211.0365091761366</v>
      </c>
      <c r="X15" s="305">
        <f t="shared" ref="X15:Y15" si="22">X12*X10*X6</f>
        <v>145.03949306944784</v>
      </c>
      <c r="Y15" s="305">
        <f t="shared" si="22"/>
        <v>2032.9907492512261</v>
      </c>
      <c r="Z15" s="305">
        <f t="shared" si="21"/>
        <v>1016.4953746256131</v>
      </c>
      <c r="AA15" s="305">
        <f t="shared" ref="AA15" si="23">AA12*AA10*AA6</f>
        <v>2032.9907492512257</v>
      </c>
      <c r="AB15" s="305">
        <f t="shared" ref="AB15:AC15" si="24">AB12*AB10*AB6</f>
        <v>2032.9907492512261</v>
      </c>
      <c r="AC15" s="305">
        <f t="shared" si="24"/>
        <v>435.11847920834356</v>
      </c>
      <c r="AD15" s="305">
        <f t="shared" ref="AD15" si="25">AD12*AD10*AD6</f>
        <v>1355.3271661674842</v>
      </c>
      <c r="AE15" s="305">
        <f t="shared" ref="AE15" si="26">AE12*AE10*AE6</f>
        <v>2032.9907492512261</v>
      </c>
      <c r="AF15" s="305">
        <f>AF12*AF10*AF6</f>
        <v>2473.8980953493724</v>
      </c>
      <c r="AG15" s="305">
        <f t="shared" si="21"/>
        <v>0</v>
      </c>
      <c r="AH15" s="305">
        <f t="shared" si="21"/>
        <v>0</v>
      </c>
      <c r="AI15" s="305">
        <f>AI12*AI10*AI6</f>
        <v>1964.075808598642</v>
      </c>
      <c r="AJ15" s="305">
        <f t="shared" si="21"/>
        <v>1964.075808598642</v>
      </c>
      <c r="AK15" s="305">
        <f t="shared" si="21"/>
        <v>0</v>
      </c>
      <c r="AL15" s="305">
        <f t="shared" si="21"/>
        <v>0</v>
      </c>
      <c r="AM15" s="305">
        <f t="shared" si="21"/>
        <v>0</v>
      </c>
      <c r="AN15" s="305">
        <f t="shared" si="21"/>
        <v>3824.779206218408</v>
      </c>
      <c r="AO15" s="21">
        <f>'3_Use'!AO43*AO10</f>
        <v>0</v>
      </c>
      <c r="AP15" s="21">
        <f>'3_Use'!AP43*AP10</f>
        <v>0</v>
      </c>
      <c r="AQ15" s="21">
        <f>'3_Use'!AQ43*AQ10</f>
        <v>0</v>
      </c>
      <c r="AR15" s="21">
        <f>'3_Use'!AR43*AR10</f>
        <v>0</v>
      </c>
      <c r="AS15" s="21">
        <f>'3_Use'!AS43*AS10</f>
        <v>0</v>
      </c>
      <c r="AT15" s="21">
        <f>'3_Use'!AT43*AT10</f>
        <v>0</v>
      </c>
      <c r="AU15" s="21">
        <f>'3_Use'!AU43*AU10</f>
        <v>0</v>
      </c>
      <c r="AV15" s="21">
        <f>'3_Use'!AV43*AV10</f>
        <v>0</v>
      </c>
      <c r="AW15" s="21">
        <f>'3_Use'!AW43*AW10</f>
        <v>0</v>
      </c>
      <c r="AX15" s="21">
        <f>'3_Use'!AX43*AX10</f>
        <v>0</v>
      </c>
      <c r="AY15" s="21">
        <f>'3_Use'!AY43*AY10</f>
        <v>0</v>
      </c>
      <c r="AZ15" s="21">
        <f>'3_Use'!AY43*AZ10</f>
        <v>0</v>
      </c>
      <c r="BA15" s="21">
        <f>'3_Use'!BA43*BA10</f>
        <v>0</v>
      </c>
      <c r="BB15" s="21">
        <f>'3_Use'!BB43*BB10</f>
        <v>0</v>
      </c>
      <c r="BC15" s="21">
        <f>'3_Use'!BC43*BC10</f>
        <v>168228.56015509018</v>
      </c>
      <c r="BD15" s="21">
        <f>'3_Use'!BD43*BD10</f>
        <v>168228.56015509018</v>
      </c>
      <c r="BE15" s="21">
        <f>'3_Use'!BE43*BE10</f>
        <v>168228.56015509018</v>
      </c>
      <c r="BF15" s="21">
        <f>'3_Use'!BF43*BF10</f>
        <v>168228.56015509018</v>
      </c>
      <c r="BG15" s="21">
        <f>'3_Use'!BG43*BG10</f>
        <v>168228.56015509018</v>
      </c>
      <c r="BH15" s="21">
        <f>'3_Use'!BH43*BH10</f>
        <v>168228.56015509018</v>
      </c>
      <c r="BI15" s="21">
        <f>'3_Use'!BI43*BI10</f>
        <v>168228.56015509018</v>
      </c>
      <c r="BJ15" s="21">
        <f>'3_Use'!BJ43*BJ10</f>
        <v>125313.11113593454</v>
      </c>
      <c r="BK15" s="21">
        <f>'3_Use'!BK43*BK10</f>
        <v>118912.88326290826</v>
      </c>
      <c r="BL15" s="21">
        <f>'3_Use'!BI43*BL10</f>
        <v>168228.56015509018</v>
      </c>
      <c r="BM15" s="21">
        <f>'3_Use'!BJ43*BM10</f>
        <v>125313.11113593454</v>
      </c>
      <c r="BN15" s="21">
        <f>'3_Use'!BK43*BN10</f>
        <v>118912.88326290826</v>
      </c>
      <c r="BO15" s="21">
        <f>'3_Use'!BO43*BO10</f>
        <v>123567.64651366227</v>
      </c>
      <c r="BP15" s="21">
        <f>'3_Use'!BP43*BP10</f>
        <v>43570.834970120697</v>
      </c>
      <c r="BQ15" s="21">
        <f>'3_Use'!BQ43*BQ10</f>
        <v>107492.28377555939</v>
      </c>
      <c r="BR15" s="21">
        <f>'3_Use'!BR43*BR10</f>
        <v>107492.28377555939</v>
      </c>
      <c r="BS15" s="21">
        <f>'3_Use'!BS43*BS10</f>
        <v>107492.28377555939</v>
      </c>
      <c r="BT15" s="21">
        <f>'3_Use'!BT43*BT10</f>
        <v>107492.28377555939</v>
      </c>
      <c r="BU15" s="21">
        <f>'3_Use'!BU43*BU10</f>
        <v>107492.28377555939</v>
      </c>
      <c r="BV15" s="21">
        <f>'3_Use'!BV43*BV10</f>
        <v>107492.28377555939</v>
      </c>
      <c r="BW15" s="21">
        <f>'3_Use'!BW43*BW10</f>
        <v>107492.28377555939</v>
      </c>
      <c r="BX15" s="21">
        <f>'3_Use'!BX43*BX10</f>
        <v>123567.64651366227</v>
      </c>
      <c r="BY15" s="21">
        <f>'3_Use'!BY43*BY10</f>
        <v>43570.834970120697</v>
      </c>
      <c r="BZ15" s="21">
        <f>'3_Use'!BZ43*BZ10</f>
        <v>107492.28377555939</v>
      </c>
      <c r="CA15" s="21">
        <f>'3_Use'!CA43*CA10</f>
        <v>107492.28377555939</v>
      </c>
      <c r="CB15" s="21">
        <f>'3_Use'!CB43*CB10</f>
        <v>107492.28377555939</v>
      </c>
      <c r="CC15" s="21">
        <f>'3_Use'!CC43*CC10</f>
        <v>107492.28377555939</v>
      </c>
      <c r="CD15" s="21">
        <f>'3_Use'!CD43*CD10</f>
        <v>304713.64713900699</v>
      </c>
      <c r="CE15" s="21">
        <f>'3_Use'!CE43*CE10</f>
        <v>175778.92434059634</v>
      </c>
      <c r="CF15" s="21">
        <f>'3_Use'!CF43*CF10</f>
        <v>337492.09621187038</v>
      </c>
      <c r="CG15" s="21">
        <f>'3_Use'!CG43*CG10</f>
        <v>117573.57971066204</v>
      </c>
      <c r="CH15" s="21">
        <f>'3_Use'!CH43*CH10</f>
        <v>168228.56015509018</v>
      </c>
      <c r="CI15" s="21">
        <f>'3_Use'!CI43*CI10</f>
        <v>125313.11113593454</v>
      </c>
      <c r="CJ15" s="21">
        <f>'3_Use'!CJ43*CJ10</f>
        <v>118912.88326290826</v>
      </c>
      <c r="CK15" s="21">
        <f>'3_Use'!CK43*CK10</f>
        <v>107492.28377555939</v>
      </c>
      <c r="CL15" s="21">
        <f>'3_Use'!CL43*CL10</f>
        <v>107492.28377555939</v>
      </c>
      <c r="CM15" s="21">
        <f>'3_Use'!CM43*CM10</f>
        <v>117573.57971066204</v>
      </c>
      <c r="CN15" s="21">
        <f>'3_Use'!CN43*CN10</f>
        <v>0</v>
      </c>
      <c r="CO15" s="21">
        <f>'3_Use'!CO43*CO10</f>
        <v>0</v>
      </c>
      <c r="CP15" s="21">
        <f>'3_Use'!CP43*CP10</f>
        <v>0</v>
      </c>
      <c r="CQ15" s="21">
        <f>'3_Use'!CQ43*CQ10</f>
        <v>0</v>
      </c>
      <c r="CR15" s="21">
        <f>'3_Use'!CR43*CR10</f>
        <v>0</v>
      </c>
      <c r="CS15" s="21">
        <f>'3_Use'!CS43*CS10</f>
        <v>218944.52314302171</v>
      </c>
      <c r="CT15" s="21">
        <f>'3_Use'!CT43*CT10</f>
        <v>161174.23876603818</v>
      </c>
      <c r="CU15" s="21">
        <f>'3_Use'!CU43*CU10</f>
        <v>143872.58245659902</v>
      </c>
      <c r="CV15" s="21">
        <f>'3_Use'!CV43*CV10</f>
        <v>112999.41807902558</v>
      </c>
      <c r="CW15" s="21">
        <f>'3_Use'!CW43*CW10</f>
        <v>112999.41807902558</v>
      </c>
      <c r="CX15" s="21">
        <f>'3_Use'!CX43*CX10</f>
        <v>134356.76379687965</v>
      </c>
      <c r="CY15" s="21">
        <f>'3_Use'!CY43*CY10</f>
        <v>125214.1588366811</v>
      </c>
      <c r="CZ15" s="21">
        <f>'3_Use'!CZ43*CZ10</f>
        <v>92175.389653610036</v>
      </c>
      <c r="DA15" s="21">
        <f>'3_Use'!DA43*DA10</f>
        <v>81121.878696702945</v>
      </c>
      <c r="DB15" s="21">
        <f>'3_Use'!DB43*DB10</f>
        <v>64624.25677831169</v>
      </c>
      <c r="DC15" s="21">
        <f>'3_Use'!DC43*DC10</f>
        <v>64624.25677831169</v>
      </c>
      <c r="DD15" s="21">
        <f>'3_Use'!DD43*DD10</f>
        <v>76838.501924322438</v>
      </c>
      <c r="DE15" s="21">
        <f>'3_Use'!DE43*DE10</f>
        <v>213648.67021785068</v>
      </c>
      <c r="DF15" s="21">
        <f>'3_Use'!DF43*DF10</f>
        <v>157275.73949518055</v>
      </c>
      <c r="DH15" s="21">
        <f>'3_Use'!DH43*DH10</f>
        <v>0</v>
      </c>
      <c r="DI15" s="21">
        <f>'3_Use'!DI43*DI10</f>
        <v>0</v>
      </c>
      <c r="DJ15" s="21">
        <f>'3_Use'!DJ43*DJ10</f>
        <v>0</v>
      </c>
      <c r="DK15" s="21">
        <f>'3_Use'!DK43*DK10</f>
        <v>541775.79287184274</v>
      </c>
      <c r="DL15" s="21">
        <f>'3_Use'!DL43*DL10</f>
        <v>902959.65478640446</v>
      </c>
      <c r="DM15" s="21">
        <f>'3_Use'!DM43*DM10</f>
        <v>650130.95144621131</v>
      </c>
      <c r="DN15" s="21">
        <f>'3_Use'!DN43*DN10</f>
        <v>1444735.4476582473</v>
      </c>
      <c r="DO15" s="21">
        <f>'3_Use'!DO43*DO10</f>
        <v>722367.72382912366</v>
      </c>
      <c r="DP15" s="21">
        <f>'3_Use'!DP43*DP10</f>
        <v>722367.72382912366</v>
      </c>
      <c r="DQ15" s="21">
        <f>'3_Use'!DQ43*DQ10</f>
        <v>722367.72382912366</v>
      </c>
      <c r="DR15" s="21">
        <f>'3_Use'!DR43*DR10</f>
        <v>531765.15368352353</v>
      </c>
      <c r="DS15" s="21">
        <f>'3_Use'!DS43*DS10</f>
        <v>228855.52050473192</v>
      </c>
      <c r="DT15" s="21">
        <f>'3_Use'!DT43*DT10</f>
        <v>564602.50464715506</v>
      </c>
      <c r="DU15" s="21">
        <f>'3_Use'!DU43*DU10</f>
        <v>564602.50464715506</v>
      </c>
      <c r="DV15" s="21">
        <f>'3_Use'!DV43*DV10</f>
        <v>769924.79159096896</v>
      </c>
      <c r="DW15" s="21">
        <f>'3_Use'!DW43*DW10</f>
        <v>514981.04334701126</v>
      </c>
      <c r="DX15" s="21">
        <f>'3_Use'!DX43*DX10</f>
        <v>0</v>
      </c>
      <c r="DY15" s="21">
        <f>'3_Use'!DY43*DY10</f>
        <v>0</v>
      </c>
      <c r="DZ15" s="21">
        <f>'3_Use'!DZ43*DZ10</f>
        <v>0</v>
      </c>
      <c r="EA15" s="21">
        <f>'3_Use'!EA43*EA10</f>
        <v>0</v>
      </c>
      <c r="EB15" s="21">
        <f>'3_Use'!EB43*EB10</f>
        <v>0</v>
      </c>
      <c r="EC15" s="21">
        <f>'3_Use'!EC43*EC10</f>
        <v>0</v>
      </c>
      <c r="ED15" s="21">
        <f>'3_Use'!ED43*ED10</f>
        <v>0</v>
      </c>
      <c r="EF15" s="21" t="str">
        <f>A13</f>
        <v>GHG emissions of the service vehicle</v>
      </c>
      <c r="EH15" s="21" t="s">
        <v>441</v>
      </c>
      <c r="EJ15" s="21">
        <f t="shared" ref="EJ15:EV15" si="27">IF(EJ9=1,EJ5*EJ14,EJ4*EJ13*(1-EJ9)+EJ5*EJ14*EJ9)</f>
        <v>188.44819056</v>
      </c>
      <c r="EK15" s="21">
        <f t="shared" si="27"/>
        <v>140.37467255999999</v>
      </c>
      <c r="EL15" s="21">
        <f t="shared" si="27"/>
        <v>98.809273631199105</v>
      </c>
      <c r="EM15" s="21">
        <f t="shared" si="27"/>
        <v>24.639762308275341</v>
      </c>
      <c r="EN15" s="21">
        <f t="shared" si="27"/>
        <v>245.25977741999998</v>
      </c>
      <c r="EO15" s="21">
        <f t="shared" si="27"/>
        <v>180.54600022935696</v>
      </c>
      <c r="EP15" s="21">
        <f t="shared" si="27"/>
        <v>124.5533445943064</v>
      </c>
      <c r="EQ15" s="21">
        <f t="shared" si="27"/>
        <v>24.639762308275341</v>
      </c>
      <c r="ER15" s="21">
        <f t="shared" si="27"/>
        <v>245.25977741999998</v>
      </c>
      <c r="ES15" s="21">
        <f t="shared" si="27"/>
        <v>180.54600022935696</v>
      </c>
      <c r="ET15" s="21">
        <f t="shared" si="27"/>
        <v>180.54600022935696</v>
      </c>
      <c r="EU15" s="21">
        <f t="shared" ref="EU15" si="28">IF(EU9=1,EU5*EU14,EU4*EU13*(1-EU9)+EU5*EU14*EU9)</f>
        <v>25.902127154113785</v>
      </c>
      <c r="EV15" s="21">
        <f t="shared" si="27"/>
        <v>0</v>
      </c>
    </row>
    <row r="17" spans="1:134" x14ac:dyDescent="0.3">
      <c r="A17" s="21" t="s">
        <v>421</v>
      </c>
      <c r="B17" s="21" t="s">
        <v>343</v>
      </c>
      <c r="D17" s="305">
        <f>D13*D10*D6</f>
        <v>0</v>
      </c>
      <c r="E17" s="305">
        <f>E13*E10*E6</f>
        <v>151064.69415463123</v>
      </c>
      <c r="F17" s="305">
        <f>F13*F10*F6</f>
        <v>5318.0304813289868</v>
      </c>
      <c r="G17" s="305">
        <f t="shared" ref="G17:AF17" si="29">G13*G10*G6</f>
        <v>83924.830085906258</v>
      </c>
      <c r="H17" s="305">
        <f t="shared" si="29"/>
        <v>83924.830085906244</v>
      </c>
      <c r="I17" s="305">
        <f t="shared" ref="I17" si="30">I13*I10*I6</f>
        <v>0</v>
      </c>
      <c r="J17" s="305">
        <f t="shared" si="29"/>
        <v>8863.3841355483128</v>
      </c>
      <c r="K17" s="305">
        <f t="shared" si="29"/>
        <v>55949.88672393751</v>
      </c>
      <c r="L17" s="305">
        <f t="shared" si="29"/>
        <v>167849.66017181252</v>
      </c>
      <c r="M17" s="305">
        <f t="shared" si="29"/>
        <v>41962.415042953129</v>
      </c>
      <c r="N17" s="305">
        <f t="shared" si="29"/>
        <v>125887.24512885937</v>
      </c>
      <c r="O17" s="305">
        <f t="shared" ref="O17:T17" si="31">O13*O10*O6</f>
        <v>151064.69415463123</v>
      </c>
      <c r="P17" s="305">
        <f t="shared" si="31"/>
        <v>50354.898051543751</v>
      </c>
      <c r="Q17" s="305">
        <f t="shared" si="31"/>
        <v>83924.830085906258</v>
      </c>
      <c r="R17" s="305">
        <f t="shared" si="31"/>
        <v>83924.830085906258</v>
      </c>
      <c r="S17" s="305">
        <f t="shared" si="31"/>
        <v>83924.830085906258</v>
      </c>
      <c r="T17" s="305">
        <f t="shared" si="31"/>
        <v>83924.830085906258</v>
      </c>
      <c r="U17" s="305">
        <f t="shared" si="29"/>
        <v>83924.830085906258</v>
      </c>
      <c r="V17" s="305">
        <f t="shared" si="29"/>
        <v>83924.830085906258</v>
      </c>
      <c r="W17" s="305">
        <f t="shared" si="29"/>
        <v>83924.830085906258</v>
      </c>
      <c r="X17" s="305">
        <f t="shared" ref="X17:Y17" si="32">X13*X10*X6</f>
        <v>0</v>
      </c>
      <c r="Y17" s="305">
        <f t="shared" si="32"/>
        <v>140886.25892310994</v>
      </c>
      <c r="Z17" s="305">
        <f t="shared" si="29"/>
        <v>70443.12946155497</v>
      </c>
      <c r="AA17" s="305">
        <f t="shared" ref="AA17" si="33">AA13*AA10*AA6</f>
        <v>140886.25892310991</v>
      </c>
      <c r="AB17" s="305">
        <f t="shared" ref="AB17:AC17" si="34">AB13*AB10*AB6</f>
        <v>140886.25892310994</v>
      </c>
      <c r="AC17" s="305">
        <f t="shared" si="34"/>
        <v>0</v>
      </c>
      <c r="AD17" s="305">
        <f t="shared" ref="AD17" si="35">AD13*AD10*AD6</f>
        <v>93924.172615406642</v>
      </c>
      <c r="AE17" s="305">
        <f t="shared" ref="AE17" si="36">AE13*AE10*AE6</f>
        <v>140886.25892310994</v>
      </c>
      <c r="AF17" s="305">
        <f t="shared" si="29"/>
        <v>171441.13800771147</v>
      </c>
      <c r="AG17" s="305">
        <f t="shared" ref="AG17:AN17" si="37">AG13*AG10*AG6</f>
        <v>0</v>
      </c>
      <c r="AH17" s="305">
        <f t="shared" si="37"/>
        <v>0</v>
      </c>
      <c r="AI17" s="305">
        <f t="shared" si="37"/>
        <v>136110.45353588587</v>
      </c>
      <c r="AJ17" s="305">
        <f t="shared" si="37"/>
        <v>136110.45353588587</v>
      </c>
      <c r="AK17" s="305">
        <f t="shared" si="37"/>
        <v>0</v>
      </c>
      <c r="AL17" s="305">
        <f t="shared" si="37"/>
        <v>0</v>
      </c>
      <c r="AM17" s="305">
        <f t="shared" si="37"/>
        <v>0</v>
      </c>
      <c r="AN17" s="305">
        <f t="shared" si="37"/>
        <v>265057.19899093563</v>
      </c>
      <c r="AO17" s="21">
        <f>AO10*'3_Use'!AO45</f>
        <v>0</v>
      </c>
      <c r="AP17" s="21">
        <f>AP10*'3_Use'!AP45</f>
        <v>0</v>
      </c>
      <c r="AQ17" s="21">
        <f>AQ10*'3_Use'!AQ45</f>
        <v>0</v>
      </c>
      <c r="AR17" s="21">
        <f>AR10*'3_Use'!AR45</f>
        <v>0</v>
      </c>
      <c r="AS17" s="21">
        <f>AS10*'3_Use'!AS45</f>
        <v>0</v>
      </c>
      <c r="AT17" s="21">
        <f>AT10*'3_Use'!AT45</f>
        <v>0</v>
      </c>
      <c r="AU17" s="21">
        <f>AU10*'3_Use'!AU45</f>
        <v>0</v>
      </c>
      <c r="AV17" s="21">
        <f>AV10*'3_Use'!AV45</f>
        <v>0</v>
      </c>
      <c r="AW17" s="21">
        <f>AW10*'3_Use'!AW45</f>
        <v>0</v>
      </c>
      <c r="AX17" s="21">
        <f>AX10*'3_Use'!AX45</f>
        <v>0</v>
      </c>
      <c r="AY17" s="21">
        <f>AY10*'3_Use'!AY45</f>
        <v>0</v>
      </c>
      <c r="AZ17" s="21">
        <f>AZ10*'3_Use'!AY45</f>
        <v>0</v>
      </c>
      <c r="BA17" s="21">
        <f>BA10*'3_Use'!BA45</f>
        <v>0</v>
      </c>
      <c r="BB17" s="21">
        <f>BB10*'3_Use'!BB45</f>
        <v>0</v>
      </c>
      <c r="BC17" s="21">
        <f>BC10*'3_Use'!BC45</f>
        <v>11395189.473315945</v>
      </c>
      <c r="BD17" s="21">
        <f>BD10*'3_Use'!BD45</f>
        <v>11395189.473315945</v>
      </c>
      <c r="BE17" s="21">
        <f>BE10*'3_Use'!BE45</f>
        <v>11395189.473315945</v>
      </c>
      <c r="BF17" s="21">
        <f>BF10*'3_Use'!BF45</f>
        <v>11395189.473315945</v>
      </c>
      <c r="BG17" s="21">
        <f>BG10*'3_Use'!BG45</f>
        <v>11395189.473315945</v>
      </c>
      <c r="BH17" s="21">
        <f>BH10*'3_Use'!BH45</f>
        <v>11395189.473315945</v>
      </c>
      <c r="BI17" s="21">
        <f>BI10*'3_Use'!BI45</f>
        <v>11395189.473315945</v>
      </c>
      <c r="BJ17" s="21">
        <f>BJ10*'3_Use'!BJ45</f>
        <v>8488253.3831843287</v>
      </c>
      <c r="BK17" s="21">
        <f>BK10*'3_Use'!BK45</f>
        <v>5974853.8386190748</v>
      </c>
      <c r="BL17" s="21">
        <f>BL10*'3_Use'!BL45</f>
        <v>1489930.7828104103</v>
      </c>
      <c r="BM17" s="21">
        <f>BM10*'3_Use'!BM45</f>
        <v>1489930.7828104103</v>
      </c>
      <c r="BN17" s="21">
        <f>BN10*'3_Use'!BN45</f>
        <v>1489930.7828104103</v>
      </c>
      <c r="BO17" s="21">
        <f>BO10*'3_Use'!BO45</f>
        <v>12221235.30633791</v>
      </c>
      <c r="BP17" s="21">
        <f>BP10*'3_Use'!BP45</f>
        <v>0</v>
      </c>
      <c r="BQ17" s="21">
        <f>BQ10*'3_Use'!BQ45</f>
        <v>1489930.7828104103</v>
      </c>
      <c r="BR17" s="21">
        <f>BR10*'3_Use'!BR45</f>
        <v>1489930.7828104103</v>
      </c>
      <c r="BS17" s="21">
        <f>BS10*'3_Use'!BS45</f>
        <v>1489930.7828104103</v>
      </c>
      <c r="BT17" s="21">
        <f>BT10*'3_Use'!BT45</f>
        <v>1489930.7828104103</v>
      </c>
      <c r="BU17" s="21">
        <f>BU10*'3_Use'!BU45</f>
        <v>1489930.7828104103</v>
      </c>
      <c r="BV17" s="21">
        <f>BV10*'3_Use'!BV45</f>
        <v>1489930.7828104103</v>
      </c>
      <c r="BW17" s="21">
        <f>BW10*'3_Use'!BW45</f>
        <v>1489930.7828104103</v>
      </c>
      <c r="BX17" s="21">
        <f>BX10*'3_Use'!BX45</f>
        <v>12221235.30633791</v>
      </c>
      <c r="BY17" s="21">
        <f>BY10*'3_Use'!BY45</f>
        <v>0</v>
      </c>
      <c r="BZ17" s="21">
        <f>BZ10*'3_Use'!BZ45</f>
        <v>1489930.7828104103</v>
      </c>
      <c r="CA17" s="21">
        <f>CA10*'3_Use'!CA45</f>
        <v>1489930.7828104103</v>
      </c>
      <c r="CB17" s="21">
        <f>CB10*'3_Use'!CB45</f>
        <v>1489930.7828104103</v>
      </c>
      <c r="CC17" s="21">
        <f>CC10*'3_Use'!CC45</f>
        <v>1489930.7828104103</v>
      </c>
      <c r="CD17" s="21">
        <f>CD10*'3_Use'!CD45</f>
        <v>14765629.959021468</v>
      </c>
      <c r="CE17" s="21">
        <f>CE10*'3_Use'!CE45</f>
        <v>75893.004303308</v>
      </c>
      <c r="CF17" s="21">
        <f>CF10*'3_Use'!CF45</f>
        <v>3796894.5507557783</v>
      </c>
      <c r="CG17" s="21">
        <f>CG10*'3_Use'!CG45</f>
        <v>7499283.245124612</v>
      </c>
      <c r="CH17" s="21">
        <f>CH10*'3_Use'!CH45</f>
        <v>11395189.473315945</v>
      </c>
      <c r="CI17" s="21">
        <f>CI10*'3_Use'!CI45</f>
        <v>8488253.3831843287</v>
      </c>
      <c r="CJ17" s="21">
        <f>CJ10*'3_Use'!CJ45</f>
        <v>5974853.8386190748</v>
      </c>
      <c r="CK17" s="21">
        <f>CK10*'3_Use'!CK45</f>
        <v>1489930.7828104103</v>
      </c>
      <c r="CL17" s="21">
        <f>CL10*'3_Use'!CL45</f>
        <v>1489930.7828104103</v>
      </c>
      <c r="CM17" s="21">
        <f>CM10*'3_Use'!CM45</f>
        <v>7499283.245124612</v>
      </c>
      <c r="CN17" s="21">
        <f>CN10*'3_Use'!CN45</f>
        <v>0</v>
      </c>
      <c r="CO17" s="21">
        <f>CO10*'3_Use'!CO45</f>
        <v>0</v>
      </c>
      <c r="CP17" s="21">
        <f>CP10*'3_Use'!CP45</f>
        <v>0</v>
      </c>
      <c r="CQ17" s="21">
        <f>CQ10*'3_Use'!CQ45</f>
        <v>0</v>
      </c>
      <c r="CR17" s="21">
        <f>CR10*'3_Use'!CR45</f>
        <v>0</v>
      </c>
      <c r="CS17" s="21">
        <f>CS10*'3_Use'!CS45</f>
        <v>14830503.946889132</v>
      </c>
      <c r="CT17" s="21">
        <f>CT10*'3_Use'!CT45</f>
        <v>10917355.455359627</v>
      </c>
      <c r="CU17" s="21">
        <f>CU10*'3_Use'!CU45</f>
        <v>7558975.1765678981</v>
      </c>
      <c r="CV17" s="21">
        <f>CV10*'3_Use'!CV45</f>
        <v>1566264.1588966206</v>
      </c>
      <c r="CW17" s="21">
        <f>CW10*'3_Use'!CW45</f>
        <v>1566264.1588966206</v>
      </c>
      <c r="CX17" s="21">
        <f>CX10*'3_Use'!CX45</f>
        <v>8569777.5817549042</v>
      </c>
      <c r="CY17" s="21">
        <f>CY10*'3_Use'!CY45</f>
        <v>8481550.7151131406</v>
      </c>
      <c r="CZ17" s="21">
        <f>CZ10*'3_Use'!CZ45</f>
        <v>6243624.9166686544</v>
      </c>
      <c r="DA17" s="21">
        <f>DA10*'3_Use'!DA45</f>
        <v>4098056.1604084419</v>
      </c>
      <c r="DB17" s="21">
        <f>DB10*'3_Use'!DB45</f>
        <v>895744.94194664643</v>
      </c>
      <c r="DC17" s="21">
        <f>DC10*'3_Use'!DC45</f>
        <v>895744.94194664643</v>
      </c>
      <c r="DD17" s="21">
        <f>DD10*'3_Use'!DD45</f>
        <v>4901047.4247667342</v>
      </c>
      <c r="DE17" s="21">
        <f>DE10*'3_Use'!DE45</f>
        <v>14471782.173074365</v>
      </c>
      <c r="DF17" s="21">
        <f>DF10*'3_Use'!DF45</f>
        <v>10653285.32474654</v>
      </c>
      <c r="DH17" s="21">
        <f>DH10*'3_Use'!DH45</f>
        <v>0</v>
      </c>
      <c r="DI17" s="21">
        <f>DI10*'3_Use'!DI45</f>
        <v>0</v>
      </c>
      <c r="DJ17" s="21">
        <f>DJ10*'3_Use'!DJ45</f>
        <v>0</v>
      </c>
      <c r="DK17" s="21">
        <f>DK10*'3_Use'!DK45</f>
        <v>40299785.621575698</v>
      </c>
      <c r="DL17" s="21">
        <f>DL10*'3_Use'!DL45</f>
        <v>67166309.369292825</v>
      </c>
      <c r="DM17" s="21">
        <f>DM10*'3_Use'!DM45</f>
        <v>48359742.745890833</v>
      </c>
      <c r="DN17" s="21">
        <f>DN10*'3_Use'!DN45</f>
        <v>107466094.99086852</v>
      </c>
      <c r="DO17" s="21">
        <f>DO10*'3_Use'!DO45</f>
        <v>53733047.495434262</v>
      </c>
      <c r="DP17" s="21">
        <f>DP10*'3_Use'!DP45</f>
        <v>53733047.495434262</v>
      </c>
      <c r="DQ17" s="21">
        <f>DQ10*'3_Use'!DQ45</f>
        <v>53733047.495434262</v>
      </c>
      <c r="DR17" s="21">
        <f>DR10*'3_Use'!DR45</f>
        <v>39555148.045419462</v>
      </c>
      <c r="DS17" s="21">
        <f>DS10*'3_Use'!DS45</f>
        <v>0</v>
      </c>
      <c r="DT17" s="21">
        <f>DT10*'3_Use'!DT45</f>
        <v>7825851.5139755765</v>
      </c>
      <c r="DU17" s="21">
        <f>DU10*'3_Use'!DU45</f>
        <v>7825851.5139755765</v>
      </c>
      <c r="DV17" s="21">
        <f>DV10*'3_Use'!DV45</f>
        <v>332417.01609356143</v>
      </c>
      <c r="DW17" s="21">
        <f>DW10*'3_Use'!DW45</f>
        <v>32847419.628057927</v>
      </c>
      <c r="DX17" s="21">
        <f>DX10*'3_Use'!DX45</f>
        <v>0</v>
      </c>
      <c r="DY17" s="21">
        <f>DY10*'3_Use'!DY45</f>
        <v>0</v>
      </c>
      <c r="DZ17" s="21">
        <f>DZ10*'3_Use'!DZ45</f>
        <v>0</v>
      </c>
      <c r="EA17" s="21">
        <f>EA10*'3_Use'!EA45</f>
        <v>0</v>
      </c>
      <c r="EB17" s="21">
        <f>EB10*'3_Use'!EB45</f>
        <v>0</v>
      </c>
      <c r="EC17" s="21">
        <f>EC10*'3_Use'!EC45</f>
        <v>0</v>
      </c>
      <c r="ED17" s="21">
        <f>ED10*'3_Use'!ED45</f>
        <v>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EH81"/>
  <sheetViews>
    <sheetView zoomScale="70" zoomScaleNormal="70" workbookViewId="0">
      <pane xSplit="3" ySplit="2" topLeftCell="CN3" activePane="bottomRight" state="frozen"/>
      <selection activeCell="DV1" sqref="DV1:DV1048576"/>
      <selection pane="topRight" activeCell="DV1" sqref="DV1:DV1048576"/>
      <selection pane="bottomLeft" activeCell="DV1" sqref="DV1:DV1048576"/>
      <selection pane="bottomRight" activeCell="D40" sqref="D40"/>
    </sheetView>
  </sheetViews>
  <sheetFormatPr defaultColWidth="9" defaultRowHeight="13.8" x14ac:dyDescent="0.3"/>
  <cols>
    <col min="1" max="1" width="44.21875" style="21" bestFit="1" customWidth="1"/>
    <col min="2" max="2" width="31" style="21" customWidth="1"/>
    <col min="3" max="3" width="9" style="21"/>
    <col min="4" max="4" width="9" style="21" customWidth="1"/>
    <col min="5" max="40" width="9" style="21"/>
    <col min="41" max="41" width="10" style="21" bestFit="1" customWidth="1"/>
    <col min="42" max="42" width="9" style="21"/>
    <col min="43" max="43" width="9" style="21" customWidth="1"/>
    <col min="44" max="16384" width="9" style="21"/>
  </cols>
  <sheetData>
    <row r="1" spans="1:138" x14ac:dyDescent="0.3">
      <c r="D1" s="21" t="s">
        <v>64</v>
      </c>
      <c r="EH1" s="74"/>
    </row>
    <row r="2" spans="1:138" s="174" customFormat="1" ht="179.4" x14ac:dyDescent="0.25">
      <c r="C2" s="174" t="s">
        <v>62</v>
      </c>
      <c r="D2" s="174" t="str">
        <f>'1_Manufacturing'!D2</f>
        <v>Private e-scooter</v>
      </c>
      <c r="E2" s="174" t="str">
        <f>'1_Manufacturing'!E2</f>
        <v>Shared e-scooter (first generation, worst case)</v>
      </c>
      <c r="F2" s="174" t="str">
        <f>'1_Manufacturing'!F2</f>
        <v>Shared e-scooter (first generation, best case)</v>
      </c>
      <c r="G2" s="174" t="str">
        <f>'1_Manufacturing'!G2</f>
        <v>Shared e-scooter (first generation central case, daily distance 50% lower)</v>
      </c>
      <c r="H2" s="174" t="str">
        <f>'1_Manufacturing'!H2</f>
        <v>Shared e-scooter (first generation central case, daily distance 50% higher)</v>
      </c>
      <c r="I2" s="174" t="str">
        <f>'1_Manufacturing'!I2</f>
        <v>Shared e-scooter (first generation central case, low-carbon EVs for operational services)</v>
      </c>
      <c r="J2" s="174" t="str">
        <f>'1_Manufacturing'!J2</f>
        <v>Shared e-scooter (first generation central case, EVs for operational services)</v>
      </c>
      <c r="K2" s="174" t="str">
        <f>'1_Manufacturing'!K2</f>
        <v>Shared e-scooter (first generation central case, 50% more vehicles per servicing trip)</v>
      </c>
      <c r="L2" s="174" t="str">
        <f>'1_Manufacturing'!L2</f>
        <v>Shared e-scooter (first generation central case, 50% less vehicles per servcing trip)</v>
      </c>
      <c r="M2" s="174" t="str">
        <f>'1_Manufacturing'!M2</f>
        <v>Shared e-scooter (first generation central case, vehicle servicing distance 50% down)</v>
      </c>
      <c r="N2" s="174" t="str">
        <f>'1_Manufacturing'!N2</f>
        <v>Shared e-scooter (first generation central case, vehicle servicing distance 50% up)</v>
      </c>
      <c r="O2" s="174" t="str">
        <f>'1_Manufacturing'!O2</f>
        <v>Shared e-scooter (first generation central case, 50% higher lifetime)</v>
      </c>
      <c r="P2" s="174" t="str">
        <f>'1_Manufacturing'!P2</f>
        <v>Shared e-scooter (first generation central case, 50% lower lifetime)</v>
      </c>
      <c r="Q2" s="174" t="str">
        <f>'1_Manufacturing'!Q2</f>
        <v>Shared e-scooter (first generation central case, 25% less battery capacity)</v>
      </c>
      <c r="R2" s="174" t="str">
        <f>'1_Manufacturing'!R2</f>
        <v>Shared e-scooter (first generation central case, 25% more battery capacity)</v>
      </c>
      <c r="S2" s="174" t="str">
        <f>'1_Manufacturing'!S2</f>
        <v>Shared e-scooter (first generation central case, 25% heavier vehicle)</v>
      </c>
      <c r="T2" s="174" t="str">
        <f>'1_Manufacturing'!T2</f>
        <v>Shared e-scooter (first generation central case, low carbon Al smelting)</v>
      </c>
      <c r="U2" s="174" t="str">
        <f>'1_Manufacturing'!U2</f>
        <v>Shared e-scooter (first generation central case, high carbon electricity in use phase)</v>
      </c>
      <c r="V2" s="174" t="str">
        <f>'1_Manufacturing'!V2</f>
        <v>Shared e-scooter (first generation central case, low carbon electricity in use phase)</v>
      </c>
      <c r="W2" s="174" t="str">
        <f>'1_Manufacturing'!W2</f>
        <v>Shared e-scooter (first generation, central case)</v>
      </c>
      <c r="X2" s="174" t="str">
        <f>'1_Manufacturing'!X2</f>
        <v>Shared e-scooter (new generation),- All improvements combined</v>
      </c>
      <c r="Y2" s="174" t="str">
        <f>'1_Manufacturing'!Y2</f>
        <v>Shared e-scooter (new generation) - Low-carbon electricity in use phase</v>
      </c>
      <c r="Z2" s="174" t="str">
        <f>'1_Manufacturing'!Z2</f>
        <v>Shared e-scooter (new generation) - 50% lower service distance</v>
      </c>
      <c r="AA2" s="174" t="str">
        <f>'1_Manufacturing'!AA2</f>
        <v>Shared e-scooter (new generation) - 50% higher daily e-scooter distance</v>
      </c>
      <c r="AB2" s="174" t="str">
        <f>'1_Manufacturing'!AB2</f>
        <v>Shared e-scooter (new generation) - Low carbon Al smelting</v>
      </c>
      <c r="AC2" s="174" t="str">
        <f>'1_Manufacturing'!AC2</f>
        <v>Shared e-scooter (new generation) - Low-carbon EVs for operational services</v>
      </c>
      <c r="AD2" s="174" t="str">
        <f>'1_Manufacturing'!AD2</f>
        <v>Shared e-scooter (new generation) - 50% more vehicles per servicing trip</v>
      </c>
      <c r="AE2" s="174" t="str">
        <f>'1_Manufacturing'!AE2</f>
        <v>Shared e-scooter (new generation) - Central case</v>
      </c>
      <c r="AF2" s="174" t="str">
        <f>'1_Manufacturing'!AF2</f>
        <v>Shared e-scooter (Hollingsworth et al. 2019 simulation)</v>
      </c>
      <c r="AG2" s="174" t="str">
        <f>'1_Manufacturing'!AG2</f>
        <v>Private bike</v>
      </c>
      <c r="AH2" s="174" t="str">
        <f>'1_Manufacturing'!AH2</f>
        <v>Private e-bike</v>
      </c>
      <c r="AI2" s="174" t="str">
        <f>'1_Manufacturing'!AI2</f>
        <v>Shared bike</v>
      </c>
      <c r="AJ2" s="174" t="str">
        <f>'1_Manufacturing'!AJ2</f>
        <v>Shared e-bike</v>
      </c>
      <c r="AK2" s="174" t="str">
        <f>'1_Manufacturing'!AK2</f>
        <v>Private moped - ICE</v>
      </c>
      <c r="AL2" s="174" t="str">
        <f>'1_Manufacturing'!AL2</f>
        <v>Private moped - BEV</v>
      </c>
      <c r="AM2" s="174" t="str">
        <f>'1_Manufacturing'!AM2</f>
        <v>Shared moped - ICE</v>
      </c>
      <c r="AN2" s="174" t="str">
        <f>'1_Manufacturing'!AN2</f>
        <v>Shared moped - BEV</v>
      </c>
      <c r="AO2" s="174" t="str">
        <f>'1_Manufacturing'!AO2</f>
        <v>Private car - ICE</v>
      </c>
      <c r="AP2" s="174" t="str">
        <f>'1_Manufacturing'!AP2</f>
        <v>Private car - HEV</v>
      </c>
      <c r="AQ2" s="174" t="str">
        <f>'1_Manufacturing'!AQ2</f>
        <v>Private car - PHEV</v>
      </c>
      <c r="AR2" s="174" t="str">
        <f>'1_Manufacturing'!AR2</f>
        <v>AVAILABLE</v>
      </c>
      <c r="AS2" s="174" t="str">
        <f>'1_Manufacturing'!AS2</f>
        <v>Private car - BEV (high carbon intensity of electricity in use phase)</v>
      </c>
      <c r="AT2" s="174" t="str">
        <f>'1_Manufacturing'!AT2</f>
        <v>Private car - BEV (low carbon intensity of electricity in use phase)</v>
      </c>
      <c r="AU2" s="174" t="str">
        <f>'1_Manufacturing'!AU2</f>
        <v>Private car - BEV (Lower carbon intensity of battery manufacturing)</v>
      </c>
      <c r="AV2" s="174" t="str">
        <f>'1_Manufacturing'!AV2</f>
        <v>Private car - BEV (25% smaller battery)</v>
      </c>
      <c r="AW2" s="174" t="str">
        <f>'1_Manufacturing'!AW2</f>
        <v>Private car - BEV (25% larger battery)</v>
      </c>
      <c r="AX2" s="174" t="str">
        <f>'1_Manufacturing'!AX2</f>
        <v>Private car - BEV</v>
      </c>
      <c r="AY2" s="174" t="str">
        <f>'1_Manufacturing'!AY2</f>
        <v>Private car - FCEV (hydrogen from electrolysis, 100% natural gas electricity)</v>
      </c>
      <c r="AZ2" s="174" t="str">
        <f>'1_Manufacturing'!AZ2</f>
        <v>Private car - FCEV (hydrogen from electrolysis, 100% renewable electricity)</v>
      </c>
      <c r="BA2" s="174" t="str">
        <f>'1_Manufacturing'!BA2</f>
        <v>Private car - FCEV (hydrogen from electrolysis, global grid mix)</v>
      </c>
      <c r="BB2" s="174" t="str">
        <f>'1_Manufacturing'!BB2</f>
        <v>Private car - FCEV</v>
      </c>
      <c r="BC2" s="174" t="str">
        <f>'1_Manufacturing'!BC2</f>
        <v>Ridesourcing - car - ICE (25% lower deadheading km share and 2.25 passengers)</v>
      </c>
      <c r="BD2" s="174" t="str">
        <f>'1_Manufacturing'!BD2</f>
        <v>Ridesourcing - car - ICE (average load, 25% higher deadheading km share)</v>
      </c>
      <c r="BE2" s="174" t="str">
        <f>'1_Manufacturing'!BE2</f>
        <v>Ridesourcing - car - ICE (average load, 25% lower deadheading km share)</v>
      </c>
      <c r="BF2" s="174" t="str">
        <f>'1_Manufacturing'!BF2</f>
        <v>Ridesourcing - car - ICE (single passenger on board, no change in deadheading km share)</v>
      </c>
      <c r="BG2" s="174" t="str">
        <f>'1_Manufacturing'!BG2</f>
        <v>Ridesourcing - car - ICE (two passengers on board, no change in deadheading km share)</v>
      </c>
      <c r="BH2" s="174" t="str">
        <f>'1_Manufacturing'!BH2</f>
        <v>Ridesourcing - car - ICE (25% higher average load: 1,94 passengers on board, no change in deadheading km share)</v>
      </c>
      <c r="BI2" s="174" t="str">
        <f>'1_Manufacturing'!BI2</f>
        <v>Ridesourcing - car - ICE</v>
      </c>
      <c r="BJ2" s="174" t="str">
        <f>'1_Manufacturing'!BJ2</f>
        <v>Ridesourcing - car - HEV</v>
      </c>
      <c r="BK2" s="174" t="str">
        <f>'1_Manufacturing'!BK2</f>
        <v>Ridesourcing - car - PHEV</v>
      </c>
      <c r="BL2" s="174" t="str">
        <f>'1_Manufacturing'!BL2</f>
        <v>Ridesourcing - car - BEV single passenger on board, no change in deadheading km share)</v>
      </c>
      <c r="BM2" s="174" t="str">
        <f>'1_Manufacturing'!BM2</f>
        <v>Ridesourcing - car - BEV two passengers on board, no change in deadheading km share)</v>
      </c>
      <c r="BN2" s="174" t="str">
        <f>'1_Manufacturing'!BN2</f>
        <v>Ridesourcing - car - BEV 25% higher average load: 1,94 passengers on board, no change in deadheading km share)</v>
      </c>
      <c r="BO2" s="174" t="str">
        <f>'1_Manufacturing'!BO2</f>
        <v>Ridesourcing - car - BEV (high carbon intensity of electricity in use phase)</v>
      </c>
      <c r="BP2" s="174" t="str">
        <f>'1_Manufacturing'!BP2</f>
        <v>Ridesourcing - car - BEV (low carbon intensity of electricity in use phase)</v>
      </c>
      <c r="BQ2" s="174" t="str">
        <f>'1_Manufacturing'!BQ2</f>
        <v>Ridesourcing - car - BEV (Lower carbon intensity of battery manufacturing)</v>
      </c>
      <c r="BR2" s="174" t="str">
        <f>'1_Manufacturing'!BR2</f>
        <v>Ridesourcing - car - BEV (25% smaller battery)</v>
      </c>
      <c r="BS2" s="174" t="str">
        <f>'1_Manufacturing'!BS2</f>
        <v>Ridesourcing - car - BEV (25% larger battery)</v>
      </c>
      <c r="BT2" s="174" t="str">
        <f>'1_Manufacturing'!BT2</f>
        <v>Ridesourcing - car - BEV</v>
      </c>
      <c r="BU2" s="472" t="str">
        <f>'1_Manufacturing'!BC2</f>
        <v>Ridesourcing - car - ICE (25% lower deadheading km share and 2.25 passengers)</v>
      </c>
      <c r="BV2" s="472" t="str">
        <f>'1_Manufacturing'!BD2</f>
        <v>Ridesourcing - car - ICE (average load, 25% higher deadheading km share)</v>
      </c>
      <c r="BW2" s="472" t="str">
        <f>'1_Manufacturing'!BE2</f>
        <v>Ridesourcing - car - ICE (average load, 25% lower deadheading km share)</v>
      </c>
      <c r="BX2" s="472" t="str">
        <f>'1_Manufacturing'!BF2</f>
        <v>Ridesourcing - car - ICE (single passenger on board, no change in deadheading km share)</v>
      </c>
      <c r="BY2" s="472" t="str">
        <f>'1_Manufacturing'!BG2</f>
        <v>Ridesourcing - car - ICE (two passengers on board, no change in deadheading km share)</v>
      </c>
      <c r="BZ2" s="472" t="str">
        <f>'1_Manufacturing'!BH2</f>
        <v>Ridesourcing - car - ICE (25% higher average load: 1,94 passengers on board, no change in deadheading km share)</v>
      </c>
      <c r="CA2" s="472" t="str">
        <f>'1_Manufacturing'!BI2</f>
        <v>Ridesourcing - car - ICE</v>
      </c>
      <c r="CB2" s="472" t="str">
        <f>'1_Manufacturing'!BJ2</f>
        <v>Ridesourcing - car - HEV</v>
      </c>
      <c r="CC2" s="472" t="str">
        <f>'1_Manufacturing'!BK2</f>
        <v>Ridesourcing - car - PHEV</v>
      </c>
      <c r="CD2" s="174" t="str">
        <f>'1_Manufacturing'!CD2</f>
        <v>Ridesourcing car - FCEV (hydrogen from electrolysis, 100% natural gas electricity)</v>
      </c>
      <c r="CE2" s="174" t="str">
        <f>'1_Manufacturing'!CE2</f>
        <v>Ridesourcing car - FCEV (hydrogen from electrolysis, 100% renewable electricity)</v>
      </c>
      <c r="CF2" s="174" t="str">
        <f>'1_Manufacturing'!CF2</f>
        <v>Ridesourcing car - FCEV (hydrogen from electrolysis, global grid mix)</v>
      </c>
      <c r="CG2" s="174" t="str">
        <f>'1_Manufacturing'!CG2</f>
        <v>Ridesourcing - car - FCEV</v>
      </c>
      <c r="CH2" s="174" t="str">
        <f>'1_Manufacturing'!CH2</f>
        <v>Taxi  ICE</v>
      </c>
      <c r="CI2" s="174" t="str">
        <f>'1_Manufacturing'!CI2</f>
        <v>Taxi  HEV</v>
      </c>
      <c r="CJ2" s="174" t="str">
        <f>'1_Manufacturing'!CJ2</f>
        <v>Taxi  PHEV</v>
      </c>
      <c r="CK2" s="174" t="str">
        <f>'1_Manufacturing'!CK2</f>
        <v>Taxi  BEV</v>
      </c>
      <c r="CL2" s="174" t="str">
        <f>'1_Manufacturing'!CL2</f>
        <v>Taxi  BEV (two packs)</v>
      </c>
      <c r="CM2" s="174" t="str">
        <f>'1_Manufacturing'!CM2</f>
        <v>Taxi - FCEV</v>
      </c>
      <c r="CN2" s="174" t="str">
        <f>'1_Manufacturing'!CN2</f>
        <v>Large Private car - ICE</v>
      </c>
      <c r="CO2" s="174" t="str">
        <f>'1_Manufacturing'!CO2</f>
        <v>Large Private car - HEV</v>
      </c>
      <c r="CP2" s="174" t="str">
        <f>'1_Manufacturing'!CP2</f>
        <v>Large Private car - PHEV</v>
      </c>
      <c r="CQ2" s="174" t="str">
        <f>'1_Manufacturing'!CQ2</f>
        <v>Large Private car - BEV</v>
      </c>
      <c r="CR2" s="174" t="str">
        <f>'1_Manufacturing'!CR2</f>
        <v>Large Private car - FCEV</v>
      </c>
      <c r="CS2" s="174" t="str">
        <f>'1_Manufacturing'!CS2</f>
        <v>Ridesourcing - Large car - ICE</v>
      </c>
      <c r="CT2" s="174" t="str">
        <f>'1_Manufacturing'!CT2</f>
        <v>Ridesourcing - Large car - HEV</v>
      </c>
      <c r="CU2" s="174" t="str">
        <f>'1_Manufacturing'!CU2</f>
        <v>Ridesourcing - Large car - PHEV</v>
      </c>
      <c r="CV2" s="174" t="str">
        <f>'1_Manufacturing'!CV2</f>
        <v>Ridesourcing - Large car - BEV</v>
      </c>
      <c r="CW2" s="472" t="str">
        <f>'1_Manufacturing'!CW2</f>
        <v>Ridesourcing - Large car - BEV (two packs)</v>
      </c>
      <c r="CX2" s="174" t="str">
        <f>'1_Manufacturing'!CX2</f>
        <v>Ridesourcing - Large car - FCEV</v>
      </c>
      <c r="CY2" s="174" t="str">
        <f>'1_Manufacturing'!CY2</f>
        <v>Ridesourcing - Shared van - ICE</v>
      </c>
      <c r="CZ2" s="174" t="str">
        <f>'1_Manufacturing'!CZ2</f>
        <v>Ridesourcing - Shared van - HEV</v>
      </c>
      <c r="DA2" s="174" t="str">
        <f>'1_Manufacturing'!DA2</f>
        <v>Ridesourcing - Shared van - PHEV</v>
      </c>
      <c r="DB2" s="174" t="str">
        <f>'1_Manufacturing'!DB2</f>
        <v>Ridesourcing - Shared van - BEV</v>
      </c>
      <c r="DC2" s="472" t="str">
        <f>'1_Manufacturing'!DC2</f>
        <v>Ridesourcing - Shared van - BEV (two packs)</v>
      </c>
      <c r="DD2" s="174" t="str">
        <f>'1_Manufacturing'!DD2</f>
        <v>Ridesourcing - Shared van - FCEV</v>
      </c>
      <c r="DE2" s="174" t="str">
        <f>'1_Manufacturing'!DE2</f>
        <v>Ridesourcing - Shared minibus - ICE</v>
      </c>
      <c r="DF2" s="174" t="str">
        <f>'1_Manufacturing'!DF2</f>
        <v>Ridesourcing - Shared minibus - HEV</v>
      </c>
      <c r="DH2" s="174" t="str">
        <f>'1_Manufacturing'!DH2</f>
        <v>Ridesourcing - Shared minibus - BEV</v>
      </c>
      <c r="DI2" s="472" t="str">
        <f>'1_Manufacturing'!DI2</f>
        <v>Ridesourcing - Shared minibus - BEV (two packs)</v>
      </c>
      <c r="DJ2" s="174" t="str">
        <f>'1_Manufacturing'!DJ2</f>
        <v>Ridesourcing - Shared minibus - FCEV</v>
      </c>
      <c r="DK2" s="174" t="str">
        <f>'1_Manufacturing'!DK2</f>
        <v>Bus - ICE (lifetime 25% lower)</v>
      </c>
      <c r="DL2" s="174" t="str">
        <f>'1_Manufacturing'!DL2</f>
        <v>Bus - ICE (lifetime 25% larger)</v>
      </c>
      <c r="DM2" s="174" t="str">
        <f>'1_Manufacturing'!DM2</f>
        <v>Bus - ICE (100% bus lane)</v>
      </c>
      <c r="DN2" s="174" t="str">
        <f>'1_Manufacturing'!DN2</f>
        <v>Bus - ICE (deadheading doubled)</v>
      </c>
      <c r="DO2" s="174" t="str">
        <f>'1_Manufacturing'!DO2</f>
        <v>Bus - ICE (ridership down by 50%)</v>
      </c>
      <c r="DP2" s="174" t="str">
        <f>'1_Manufacturing'!DP2</f>
        <v>Bus - ICE (ridership up by 50%)</v>
      </c>
      <c r="DQ2" s="174" t="str">
        <f>'1_Manufacturing'!DQ2</f>
        <v>Bus - ICE</v>
      </c>
      <c r="DR2" s="174" t="str">
        <f>'1_Manufacturing'!DR2</f>
        <v>Bus - HEV</v>
      </c>
      <c r="DS2" s="174" t="str">
        <f>'1_Manufacturing'!DS2</f>
        <v>Bus - BEV (two packs, 100% zero-carbon electricity)</v>
      </c>
      <c r="DT2" s="174" t="str">
        <f>'1_Manufacturing'!DT2</f>
        <v>Bus - BEV (two packs)</v>
      </c>
      <c r="DU2" s="174" t="str">
        <f>'1_Manufacturing'!DU2</f>
        <v>Bus - BEV</v>
      </c>
      <c r="DV2" s="174" t="str">
        <f>'1_Manufacturing'!DV2</f>
        <v>Bus - FCEV, hydrogen from electrolysis (100% zero-carbon electricity)</v>
      </c>
      <c r="DW2" s="174" t="str">
        <f>'1_Manufacturing'!DW2</f>
        <v>Bus - FCEV</v>
      </c>
      <c r="DX2" s="174" t="str">
        <f>'1_Manufacturing'!DX2</f>
        <v>Metro/urban train (infrastructure lifetime 25% higher)</v>
      </c>
      <c r="DY2" s="174" t="str">
        <f>'1_Manufacturing'!DY2</f>
        <v>Metro/urban train (infrastructure lifetime 25% lower)</v>
      </c>
      <c r="DZ2" s="174" t="str">
        <f>'1_Manufacturing'!DZ2</f>
        <v>Metro/urban train (network usage frequency down by 25%)</v>
      </c>
      <c r="EA2" s="174" t="str">
        <f>'1_Manufacturing'!EA2</f>
        <v>Metro/urban train (network usage frequency up by 25%)</v>
      </c>
      <c r="EB2" s="174" t="str">
        <f>'1_Manufacturing'!EB2</f>
        <v>Metro/urban train (ridership per train down by 50%)</v>
      </c>
      <c r="EC2" s="174" t="str">
        <f>'1_Manufacturing'!EC2</f>
        <v>Metro/urban train (ridership per train up by 50%)</v>
      </c>
      <c r="ED2" s="174" t="str">
        <f>'1_Manufacturing'!ED2</f>
        <v>Metro/urban train</v>
      </c>
      <c r="EH2" s="175"/>
    </row>
    <row r="3" spans="1:138" x14ac:dyDescent="0.3">
      <c r="A3" s="21" t="s">
        <v>790</v>
      </c>
      <c r="D3" s="117" t="s">
        <v>1152</v>
      </c>
      <c r="E3" s="117" t="s">
        <v>1152</v>
      </c>
      <c r="F3" s="117" t="s">
        <v>1152</v>
      </c>
      <c r="G3" s="117" t="s">
        <v>1152</v>
      </c>
      <c r="H3" s="117" t="s">
        <v>1152</v>
      </c>
      <c r="I3" s="117" t="s">
        <v>1152</v>
      </c>
      <c r="J3" s="117" t="s">
        <v>1152</v>
      </c>
      <c r="K3" s="117" t="s">
        <v>1152</v>
      </c>
      <c r="L3" s="117" t="s">
        <v>1152</v>
      </c>
      <c r="M3" s="117" t="s">
        <v>1152</v>
      </c>
      <c r="N3" s="117" t="s">
        <v>1152</v>
      </c>
      <c r="O3" s="117" t="s">
        <v>1152</v>
      </c>
      <c r="P3" s="117" t="s">
        <v>1152</v>
      </c>
      <c r="Q3" s="117" t="s">
        <v>1152</v>
      </c>
      <c r="R3" s="117" t="s">
        <v>1152</v>
      </c>
      <c r="S3" s="117" t="s">
        <v>1152</v>
      </c>
      <c r="T3" s="117" t="s">
        <v>1152</v>
      </c>
      <c r="U3" s="117" t="s">
        <v>1152</v>
      </c>
      <c r="V3" s="117" t="s">
        <v>1152</v>
      </c>
      <c r="W3" s="117" t="s">
        <v>1152</v>
      </c>
      <c r="X3" s="117" t="s">
        <v>1152</v>
      </c>
      <c r="Y3" s="117" t="s">
        <v>1152</v>
      </c>
      <c r="Z3" s="117" t="s">
        <v>1152</v>
      </c>
      <c r="AA3" s="117" t="s">
        <v>1152</v>
      </c>
      <c r="AB3" s="117" t="s">
        <v>1152</v>
      </c>
      <c r="AC3" s="117" t="s">
        <v>1152</v>
      </c>
      <c r="AD3" s="117" t="s">
        <v>1152</v>
      </c>
      <c r="AE3" s="117" t="s">
        <v>1152</v>
      </c>
      <c r="AF3" s="117" t="s">
        <v>1152</v>
      </c>
      <c r="AG3" s="117" t="s">
        <v>1152</v>
      </c>
      <c r="AH3" s="117" t="s">
        <v>1152</v>
      </c>
      <c r="AI3" s="117" t="s">
        <v>1152</v>
      </c>
      <c r="AJ3" s="117" t="s">
        <v>1152</v>
      </c>
      <c r="AK3" s="117" t="s">
        <v>784</v>
      </c>
      <c r="AL3" s="117" t="s">
        <v>784</v>
      </c>
      <c r="AM3" s="117" t="s">
        <v>784</v>
      </c>
      <c r="AN3" s="117" t="s">
        <v>784</v>
      </c>
      <c r="AO3" s="117" t="s">
        <v>785</v>
      </c>
      <c r="AP3" s="117" t="s">
        <v>785</v>
      </c>
      <c r="AQ3" s="117" t="s">
        <v>785</v>
      </c>
      <c r="AR3" s="48" t="str">
        <f t="shared" ref="AR3:AW3" si="0">$AX3</f>
        <v>Cars</v>
      </c>
      <c r="AS3" s="48" t="str">
        <f t="shared" si="0"/>
        <v>Cars</v>
      </c>
      <c r="AT3" s="48" t="str">
        <f t="shared" si="0"/>
        <v>Cars</v>
      </c>
      <c r="AU3" s="48" t="str">
        <f t="shared" si="0"/>
        <v>Cars</v>
      </c>
      <c r="AV3" s="48" t="str">
        <f t="shared" si="0"/>
        <v>Cars</v>
      </c>
      <c r="AW3" s="48" t="str">
        <f t="shared" si="0"/>
        <v>Cars</v>
      </c>
      <c r="AX3" s="117" t="s">
        <v>785</v>
      </c>
      <c r="AY3" s="48" t="str">
        <f>$BB3</f>
        <v>Cars</v>
      </c>
      <c r="AZ3" s="48" t="str">
        <f>$BB3</f>
        <v>Cars</v>
      </c>
      <c r="BA3" s="48" t="str">
        <f>$BB3</f>
        <v>Cars</v>
      </c>
      <c r="BB3" s="117" t="s">
        <v>785</v>
      </c>
      <c r="BC3" s="48" t="str">
        <f t="shared" ref="BC3:BH3" si="1">$BI3</f>
        <v>Shared cars</v>
      </c>
      <c r="BD3" s="48" t="str">
        <f t="shared" si="1"/>
        <v>Shared cars</v>
      </c>
      <c r="BE3" s="48" t="str">
        <f t="shared" si="1"/>
        <v>Shared cars</v>
      </c>
      <c r="BF3" s="48" t="str">
        <f t="shared" si="1"/>
        <v>Shared cars</v>
      </c>
      <c r="BG3" s="48" t="str">
        <f t="shared" si="1"/>
        <v>Shared cars</v>
      </c>
      <c r="BH3" s="48" t="str">
        <f t="shared" si="1"/>
        <v>Shared cars</v>
      </c>
      <c r="BI3" s="117" t="s">
        <v>801</v>
      </c>
      <c r="BJ3" s="117" t="s">
        <v>801</v>
      </c>
      <c r="BK3" s="117" t="s">
        <v>801</v>
      </c>
      <c r="BL3" s="48" t="str">
        <f t="shared" ref="BL3:BS3" si="2">$BT3</f>
        <v>Shared cars</v>
      </c>
      <c r="BM3" s="48" t="str">
        <f t="shared" si="2"/>
        <v>Shared cars</v>
      </c>
      <c r="BN3" s="48" t="str">
        <f t="shared" si="2"/>
        <v>Shared cars</v>
      </c>
      <c r="BO3" s="48" t="str">
        <f t="shared" si="2"/>
        <v>Shared cars</v>
      </c>
      <c r="BP3" s="48" t="str">
        <f t="shared" si="2"/>
        <v>Shared cars</v>
      </c>
      <c r="BQ3" s="48" t="str">
        <f t="shared" si="2"/>
        <v>Shared cars</v>
      </c>
      <c r="BR3" s="48" t="str">
        <f t="shared" si="2"/>
        <v>Shared cars</v>
      </c>
      <c r="BS3" s="48" t="str">
        <f t="shared" si="2"/>
        <v>Shared cars</v>
      </c>
      <c r="BT3" s="117" t="s">
        <v>801</v>
      </c>
      <c r="BU3" s="48" t="str">
        <f t="shared" ref="BU3:CB3" si="3">$CC3</f>
        <v>Shared cars</v>
      </c>
      <c r="BV3" s="48" t="str">
        <f t="shared" si="3"/>
        <v>Shared cars</v>
      </c>
      <c r="BW3" s="48" t="str">
        <f t="shared" si="3"/>
        <v>Shared cars</v>
      </c>
      <c r="BX3" s="48" t="str">
        <f t="shared" si="3"/>
        <v>Shared cars</v>
      </c>
      <c r="BY3" s="48" t="str">
        <f t="shared" si="3"/>
        <v>Shared cars</v>
      </c>
      <c r="BZ3" s="48" t="str">
        <f t="shared" si="3"/>
        <v>Shared cars</v>
      </c>
      <c r="CA3" s="48" t="str">
        <f t="shared" si="3"/>
        <v>Shared cars</v>
      </c>
      <c r="CB3" s="48" t="str">
        <f t="shared" si="3"/>
        <v>Shared cars</v>
      </c>
      <c r="CC3" s="117" t="s">
        <v>801</v>
      </c>
      <c r="CD3" s="48" t="str">
        <f>$CG3</f>
        <v>Shared cars</v>
      </c>
      <c r="CE3" s="48" t="str">
        <f>$CG3</f>
        <v>Shared cars</v>
      </c>
      <c r="CF3" s="48" t="str">
        <f>$CG3</f>
        <v>Shared cars</v>
      </c>
      <c r="CG3" s="117" t="s">
        <v>801</v>
      </c>
      <c r="CH3" s="117" t="s">
        <v>801</v>
      </c>
      <c r="CI3" s="117" t="s">
        <v>801</v>
      </c>
      <c r="CJ3" s="117" t="s">
        <v>801</v>
      </c>
      <c r="CK3" s="117" t="s">
        <v>801</v>
      </c>
      <c r="CL3" s="117" t="s">
        <v>801</v>
      </c>
      <c r="CM3" s="117" t="s">
        <v>801</v>
      </c>
      <c r="CN3" s="117" t="s">
        <v>785</v>
      </c>
      <c r="CO3" s="117" t="s">
        <v>785</v>
      </c>
      <c r="CP3" s="117" t="s">
        <v>785</v>
      </c>
      <c r="CQ3" s="117" t="s">
        <v>785</v>
      </c>
      <c r="CR3" s="117" t="s">
        <v>785</v>
      </c>
      <c r="CS3" s="117" t="s">
        <v>801</v>
      </c>
      <c r="CT3" s="117" t="s">
        <v>801</v>
      </c>
      <c r="CU3" s="117" t="s">
        <v>801</v>
      </c>
      <c r="CV3" s="117" t="s">
        <v>801</v>
      </c>
      <c r="CW3" s="117" t="s">
        <v>801</v>
      </c>
      <c r="CX3" s="117" t="s">
        <v>801</v>
      </c>
      <c r="CY3" s="117" t="s">
        <v>801</v>
      </c>
      <c r="CZ3" s="117" t="s">
        <v>801</v>
      </c>
      <c r="DA3" s="117" t="s">
        <v>801</v>
      </c>
      <c r="DB3" s="117" t="s">
        <v>801</v>
      </c>
      <c r="DC3" s="117" t="s">
        <v>801</v>
      </c>
      <c r="DD3" s="117" t="s">
        <v>801</v>
      </c>
      <c r="DE3" s="117" t="s">
        <v>801</v>
      </c>
      <c r="DF3" s="117" t="s">
        <v>801</v>
      </c>
      <c r="DG3" s="117"/>
      <c r="DH3" s="117" t="s">
        <v>801</v>
      </c>
      <c r="DI3" s="117" t="s">
        <v>801</v>
      </c>
      <c r="DJ3" s="117" t="s">
        <v>801</v>
      </c>
      <c r="DK3" s="117" t="s">
        <v>734</v>
      </c>
      <c r="DL3" s="117" t="s">
        <v>734</v>
      </c>
      <c r="DM3" s="117" t="s">
        <v>734</v>
      </c>
      <c r="DN3" s="117" t="s">
        <v>734</v>
      </c>
      <c r="DO3" s="117" t="s">
        <v>734</v>
      </c>
      <c r="DP3" s="117" t="s">
        <v>734</v>
      </c>
      <c r="DQ3" s="117" t="s">
        <v>734</v>
      </c>
      <c r="DR3" s="117" t="s">
        <v>734</v>
      </c>
      <c r="DS3" s="117" t="s">
        <v>734</v>
      </c>
      <c r="DT3" s="117" t="s">
        <v>734</v>
      </c>
      <c r="DU3" s="117" t="s">
        <v>734</v>
      </c>
      <c r="DV3" s="117" t="s">
        <v>734</v>
      </c>
      <c r="DW3" s="117" t="s">
        <v>734</v>
      </c>
      <c r="DX3" s="117" t="s">
        <v>445</v>
      </c>
      <c r="DY3" s="117" t="s">
        <v>445</v>
      </c>
      <c r="DZ3" s="117" t="s">
        <v>445</v>
      </c>
      <c r="EA3" s="117" t="s">
        <v>445</v>
      </c>
      <c r="EB3" s="117" t="s">
        <v>445</v>
      </c>
      <c r="EC3" s="117" t="s">
        <v>445</v>
      </c>
      <c r="ED3" s="117" t="s">
        <v>445</v>
      </c>
    </row>
    <row r="5" spans="1:138" s="124" customFormat="1" ht="55.2" x14ac:dyDescent="0.3">
      <c r="A5" s="124" t="s">
        <v>797</v>
      </c>
      <c r="D5" s="462" t="str">
        <f>IF(VLOOKUP(D$3,Tech_Specs_Infra!$A$216:$C$222,COLUMN(Tech_Specs_Infra!$B$215)-COLUMN(Tech_Specs_Infra!$A$215)+1,FALSE)=0,"",VLOOKUP(D$3,Tech_Specs_Infra!$A$216:$C$222,COLUMN(Tech_Specs_Infra!$B$215)-COLUMN(Tech_Specs_Infra!$A$215)+1,FALSE))</f>
        <v>Bike lane</v>
      </c>
      <c r="E5" s="462" t="str">
        <f>IF(VLOOKUP(E$3,Tech_Specs_Infra!$A$216:$C$222,COLUMN(Tech_Specs_Infra!$B$215)-COLUMN(Tech_Specs_Infra!$A$215)+1,FALSE)=0,"",VLOOKUP(E$3,Tech_Specs_Infra!$A$216:$C$222,COLUMN(Tech_Specs_Infra!$B$215)-COLUMN(Tech_Specs_Infra!$A$215)+1,FALSE))</f>
        <v>Bike lane</v>
      </c>
      <c r="F5" s="462" t="str">
        <f>IF(VLOOKUP(F$3,Tech_Specs_Infra!$A$216:$C$222,COLUMN(Tech_Specs_Infra!$B$215)-COLUMN(Tech_Specs_Infra!$A$215)+1,FALSE)=0,"",VLOOKUP(F$3,Tech_Specs_Infra!$A$216:$C$222,COLUMN(Tech_Specs_Infra!$B$215)-COLUMN(Tech_Specs_Infra!$A$215)+1,FALSE))</f>
        <v>Bike lane</v>
      </c>
      <c r="G5" s="462" t="str">
        <f>IF(VLOOKUP(G$3,Tech_Specs_Infra!$A$216:$C$222,COLUMN(Tech_Specs_Infra!$B$215)-COLUMN(Tech_Specs_Infra!$A$215)+1,FALSE)=0,"",VLOOKUP(G$3,Tech_Specs_Infra!$A$216:$C$222,COLUMN(Tech_Specs_Infra!$B$215)-COLUMN(Tech_Specs_Infra!$A$215)+1,FALSE))</f>
        <v>Bike lane</v>
      </c>
      <c r="H5" s="462" t="str">
        <f>IF(VLOOKUP(H$3,Tech_Specs_Infra!$A$216:$C$222,COLUMN(Tech_Specs_Infra!$B$215)-COLUMN(Tech_Specs_Infra!$A$215)+1,FALSE)=0,"",VLOOKUP(H$3,Tech_Specs_Infra!$A$216:$C$222,COLUMN(Tech_Specs_Infra!$B$215)-COLUMN(Tech_Specs_Infra!$A$215)+1,FALSE))</f>
        <v>Bike lane</v>
      </c>
      <c r="I5" s="462" t="str">
        <f>IF(VLOOKUP(I$3,Tech_Specs_Infra!$A$216:$C$222,COLUMN(Tech_Specs_Infra!$B$215)-COLUMN(Tech_Specs_Infra!$A$215)+1,FALSE)=0,"",VLOOKUP(I$3,Tech_Specs_Infra!$A$216:$C$222,COLUMN(Tech_Specs_Infra!$B$215)-COLUMN(Tech_Specs_Infra!$A$215)+1,FALSE))</f>
        <v>Bike lane</v>
      </c>
      <c r="J5" s="462" t="str">
        <f>IF(VLOOKUP(J$3,Tech_Specs_Infra!$A$216:$C$222,COLUMN(Tech_Specs_Infra!$B$215)-COLUMN(Tech_Specs_Infra!$A$215)+1,FALSE)=0,"",VLOOKUP(J$3,Tech_Specs_Infra!$A$216:$C$222,COLUMN(Tech_Specs_Infra!$B$215)-COLUMN(Tech_Specs_Infra!$A$215)+1,FALSE))</f>
        <v>Bike lane</v>
      </c>
      <c r="K5" s="462" t="str">
        <f>IF(VLOOKUP(K$3,Tech_Specs_Infra!$A$216:$C$222,COLUMN(Tech_Specs_Infra!$B$215)-COLUMN(Tech_Specs_Infra!$A$215)+1,FALSE)=0,"",VLOOKUP(K$3,Tech_Specs_Infra!$A$216:$C$222,COLUMN(Tech_Specs_Infra!$B$215)-COLUMN(Tech_Specs_Infra!$A$215)+1,FALSE))</f>
        <v>Bike lane</v>
      </c>
      <c r="L5" s="462" t="str">
        <f>IF(VLOOKUP(L$3,Tech_Specs_Infra!$A$216:$C$222,COLUMN(Tech_Specs_Infra!$B$215)-COLUMN(Tech_Specs_Infra!$A$215)+1,FALSE)=0,"",VLOOKUP(L$3,Tech_Specs_Infra!$A$216:$C$222,COLUMN(Tech_Specs_Infra!$B$215)-COLUMN(Tech_Specs_Infra!$A$215)+1,FALSE))</f>
        <v>Bike lane</v>
      </c>
      <c r="M5" s="462" t="str">
        <f>IF(VLOOKUP(M$3,Tech_Specs_Infra!$A$216:$C$222,COLUMN(Tech_Specs_Infra!$B$215)-COLUMN(Tech_Specs_Infra!$A$215)+1,FALSE)=0,"",VLOOKUP(M$3,Tech_Specs_Infra!$A$216:$C$222,COLUMN(Tech_Specs_Infra!$B$215)-COLUMN(Tech_Specs_Infra!$A$215)+1,FALSE))</f>
        <v>Bike lane</v>
      </c>
      <c r="N5" s="462" t="str">
        <f>IF(VLOOKUP(N$3,Tech_Specs_Infra!$A$216:$C$222,COLUMN(Tech_Specs_Infra!$B$215)-COLUMN(Tech_Specs_Infra!$A$215)+1,FALSE)=0,"",VLOOKUP(N$3,Tech_Specs_Infra!$A$216:$C$222,COLUMN(Tech_Specs_Infra!$B$215)-COLUMN(Tech_Specs_Infra!$A$215)+1,FALSE))</f>
        <v>Bike lane</v>
      </c>
      <c r="O5" s="462" t="str">
        <f>IF(VLOOKUP(O$3,Tech_Specs_Infra!$A$216:$C$222,COLUMN(Tech_Specs_Infra!$B$215)-COLUMN(Tech_Specs_Infra!$A$215)+1,FALSE)=0,"",VLOOKUP(O$3,Tech_Specs_Infra!$A$216:$C$222,COLUMN(Tech_Specs_Infra!$B$215)-COLUMN(Tech_Specs_Infra!$A$215)+1,FALSE))</f>
        <v>Bike lane</v>
      </c>
      <c r="P5" s="462" t="str">
        <f>IF(VLOOKUP(P$3,Tech_Specs_Infra!$A$216:$C$222,COLUMN(Tech_Specs_Infra!$B$215)-COLUMN(Tech_Specs_Infra!$A$215)+1,FALSE)=0,"",VLOOKUP(P$3,Tech_Specs_Infra!$A$216:$C$222,COLUMN(Tech_Specs_Infra!$B$215)-COLUMN(Tech_Specs_Infra!$A$215)+1,FALSE))</f>
        <v>Bike lane</v>
      </c>
      <c r="Q5" s="462" t="str">
        <f>IF(VLOOKUP(Q$3,Tech_Specs_Infra!$A$216:$C$222,COLUMN(Tech_Specs_Infra!$B$215)-COLUMN(Tech_Specs_Infra!$A$215)+1,FALSE)=0,"",VLOOKUP(Q$3,Tech_Specs_Infra!$A$216:$C$222,COLUMN(Tech_Specs_Infra!$B$215)-COLUMN(Tech_Specs_Infra!$A$215)+1,FALSE))</f>
        <v>Bike lane</v>
      </c>
      <c r="R5" s="462" t="str">
        <f>IF(VLOOKUP(R$3,Tech_Specs_Infra!$A$216:$C$222,COLUMN(Tech_Specs_Infra!$B$215)-COLUMN(Tech_Specs_Infra!$A$215)+1,FALSE)=0,"",VLOOKUP(R$3,Tech_Specs_Infra!$A$216:$C$222,COLUMN(Tech_Specs_Infra!$B$215)-COLUMN(Tech_Specs_Infra!$A$215)+1,FALSE))</f>
        <v>Bike lane</v>
      </c>
      <c r="S5" s="462" t="str">
        <f>IF(VLOOKUP(S$3,Tech_Specs_Infra!$A$216:$C$222,COLUMN(Tech_Specs_Infra!$B$215)-COLUMN(Tech_Specs_Infra!$A$215)+1,FALSE)=0,"",VLOOKUP(S$3,Tech_Specs_Infra!$A$216:$C$222,COLUMN(Tech_Specs_Infra!$B$215)-COLUMN(Tech_Specs_Infra!$A$215)+1,FALSE))</f>
        <v>Bike lane</v>
      </c>
      <c r="T5" s="462" t="str">
        <f>IF(VLOOKUP(T$3,Tech_Specs_Infra!$A$216:$C$222,COLUMN(Tech_Specs_Infra!$B$215)-COLUMN(Tech_Specs_Infra!$A$215)+1,FALSE)=0,"",VLOOKUP(T$3,Tech_Specs_Infra!$A$216:$C$222,COLUMN(Tech_Specs_Infra!$B$215)-COLUMN(Tech_Specs_Infra!$A$215)+1,FALSE))</f>
        <v>Bike lane</v>
      </c>
      <c r="U5" s="462" t="str">
        <f>IF(VLOOKUP(U$3,Tech_Specs_Infra!$A$216:$C$222,COLUMN(Tech_Specs_Infra!$B$215)-COLUMN(Tech_Specs_Infra!$A$215)+1,FALSE)=0,"",VLOOKUP(U$3,Tech_Specs_Infra!$A$216:$C$222,COLUMN(Tech_Specs_Infra!$B$215)-COLUMN(Tech_Specs_Infra!$A$215)+1,FALSE))</f>
        <v>Bike lane</v>
      </c>
      <c r="V5" s="462" t="str">
        <f>IF(VLOOKUP(V$3,Tech_Specs_Infra!$A$216:$C$222,COLUMN(Tech_Specs_Infra!$B$215)-COLUMN(Tech_Specs_Infra!$A$215)+1,FALSE)=0,"",VLOOKUP(V$3,Tech_Specs_Infra!$A$216:$C$222,COLUMN(Tech_Specs_Infra!$B$215)-COLUMN(Tech_Specs_Infra!$A$215)+1,FALSE))</f>
        <v>Bike lane</v>
      </c>
      <c r="W5" s="462" t="str">
        <f>IF(VLOOKUP(W$3,Tech_Specs_Infra!$A$216:$C$222,COLUMN(Tech_Specs_Infra!$B$215)-COLUMN(Tech_Specs_Infra!$A$215)+1,FALSE)=0,"",VLOOKUP(W$3,Tech_Specs_Infra!$A$216:$C$222,COLUMN(Tech_Specs_Infra!$B$215)-COLUMN(Tech_Specs_Infra!$A$215)+1,FALSE))</f>
        <v>Bike lane</v>
      </c>
      <c r="X5" s="462" t="str">
        <f>IF(VLOOKUP(X$3,Tech_Specs_Infra!$A$216:$C$222,COLUMN(Tech_Specs_Infra!$B$215)-COLUMN(Tech_Specs_Infra!$A$215)+1,FALSE)=0,"",VLOOKUP(X$3,Tech_Specs_Infra!$A$216:$C$222,COLUMN(Tech_Specs_Infra!$B$215)-COLUMN(Tech_Specs_Infra!$A$215)+1,FALSE))</f>
        <v>Bike lane</v>
      </c>
      <c r="Y5" s="462" t="str">
        <f>IF(VLOOKUP(Y$3,Tech_Specs_Infra!$A$216:$C$222,COLUMN(Tech_Specs_Infra!$B$215)-COLUMN(Tech_Specs_Infra!$A$215)+1,FALSE)=0,"",VLOOKUP(Y$3,Tech_Specs_Infra!$A$216:$C$222,COLUMN(Tech_Specs_Infra!$B$215)-COLUMN(Tech_Specs_Infra!$A$215)+1,FALSE))</f>
        <v>Bike lane</v>
      </c>
      <c r="Z5" s="462" t="str">
        <f>IF(VLOOKUP(Z$3,Tech_Specs_Infra!$A$216:$C$222,COLUMN(Tech_Specs_Infra!$B$215)-COLUMN(Tech_Specs_Infra!$A$215)+1,FALSE)=0,"",VLOOKUP(Z$3,Tech_Specs_Infra!$A$216:$C$222,COLUMN(Tech_Specs_Infra!$B$215)-COLUMN(Tech_Specs_Infra!$A$215)+1,FALSE))</f>
        <v>Bike lane</v>
      </c>
      <c r="AA5" s="462" t="str">
        <f>IF(VLOOKUP(AA$3,Tech_Specs_Infra!$A$216:$C$222,COLUMN(Tech_Specs_Infra!$B$215)-COLUMN(Tech_Specs_Infra!$A$215)+1,FALSE)=0,"",VLOOKUP(AA$3,Tech_Specs_Infra!$A$216:$C$222,COLUMN(Tech_Specs_Infra!$B$215)-COLUMN(Tech_Specs_Infra!$A$215)+1,FALSE))</f>
        <v>Bike lane</v>
      </c>
      <c r="AB5" s="462" t="str">
        <f>IF(VLOOKUP(AB$3,Tech_Specs_Infra!$A$216:$C$222,COLUMN(Tech_Specs_Infra!$B$215)-COLUMN(Tech_Specs_Infra!$A$215)+1,FALSE)=0,"",VLOOKUP(AB$3,Tech_Specs_Infra!$A$216:$C$222,COLUMN(Tech_Specs_Infra!$B$215)-COLUMN(Tech_Specs_Infra!$A$215)+1,FALSE))</f>
        <v>Bike lane</v>
      </c>
      <c r="AC5" s="462" t="str">
        <f>IF(VLOOKUP(AC$3,Tech_Specs_Infra!$A$216:$C$222,COLUMN(Tech_Specs_Infra!$B$215)-COLUMN(Tech_Specs_Infra!$A$215)+1,FALSE)=0,"",VLOOKUP(AC$3,Tech_Specs_Infra!$A$216:$C$222,COLUMN(Tech_Specs_Infra!$B$215)-COLUMN(Tech_Specs_Infra!$A$215)+1,FALSE))</f>
        <v>Bike lane</v>
      </c>
      <c r="AD5" s="462" t="str">
        <f>IF(VLOOKUP(AD$3,Tech_Specs_Infra!$A$216:$C$222,COLUMN(Tech_Specs_Infra!$B$215)-COLUMN(Tech_Specs_Infra!$A$215)+1,FALSE)=0,"",VLOOKUP(AD$3,Tech_Specs_Infra!$A$216:$C$222,COLUMN(Tech_Specs_Infra!$B$215)-COLUMN(Tech_Specs_Infra!$A$215)+1,FALSE))</f>
        <v>Bike lane</v>
      </c>
      <c r="AE5" s="462" t="str">
        <f>IF(VLOOKUP(AE$3,Tech_Specs_Infra!$A$216:$C$222,COLUMN(Tech_Specs_Infra!$B$215)-COLUMN(Tech_Specs_Infra!$A$215)+1,FALSE)=0,"",VLOOKUP(AE$3,Tech_Specs_Infra!$A$216:$C$222,COLUMN(Tech_Specs_Infra!$B$215)-COLUMN(Tech_Specs_Infra!$A$215)+1,FALSE))</f>
        <v>Bike lane</v>
      </c>
      <c r="AF5" s="462" t="str">
        <f>IF(VLOOKUP(AF$3,Tech_Specs_Infra!$A$216:$C$222,COLUMN(Tech_Specs_Infra!$B$215)-COLUMN(Tech_Specs_Infra!$A$215)+1,FALSE)=0,"",VLOOKUP(AF$3,Tech_Specs_Infra!$A$216:$C$222,COLUMN(Tech_Specs_Infra!$B$215)-COLUMN(Tech_Specs_Infra!$A$215)+1,FALSE))</f>
        <v>Bike lane</v>
      </c>
      <c r="AG5" s="462" t="str">
        <f>IF(VLOOKUP(AG$3,Tech_Specs_Infra!$A$216:$C$222,COLUMN(Tech_Specs_Infra!$B$215)-COLUMN(Tech_Specs_Infra!$A$215)+1,FALSE)=0,"",VLOOKUP(AG$3,Tech_Specs_Infra!$A$216:$C$222,COLUMN(Tech_Specs_Infra!$B$215)-COLUMN(Tech_Specs_Infra!$A$215)+1,FALSE))</f>
        <v>Bike lane</v>
      </c>
      <c r="AH5" s="462" t="str">
        <f>IF(VLOOKUP(AH$3,Tech_Specs_Infra!$A$216:$C$222,COLUMN(Tech_Specs_Infra!$B$215)-COLUMN(Tech_Specs_Infra!$A$215)+1,FALSE)=0,"",VLOOKUP(AH$3,Tech_Specs_Infra!$A$216:$C$222,COLUMN(Tech_Specs_Infra!$B$215)-COLUMN(Tech_Specs_Infra!$A$215)+1,FALSE))</f>
        <v>Bike lane</v>
      </c>
      <c r="AI5" s="462" t="str">
        <f>IF(VLOOKUP(AI$3,Tech_Specs_Infra!$A$216:$C$222,COLUMN(Tech_Specs_Infra!$B$215)-COLUMN(Tech_Specs_Infra!$A$215)+1,FALSE)=0,"",VLOOKUP(AI$3,Tech_Specs_Infra!$A$216:$C$222,COLUMN(Tech_Specs_Infra!$B$215)-COLUMN(Tech_Specs_Infra!$A$215)+1,FALSE))</f>
        <v>Bike lane</v>
      </c>
      <c r="AJ5" s="462" t="str">
        <f>IF(VLOOKUP(AJ$3,Tech_Specs_Infra!$A$216:$C$222,COLUMN(Tech_Specs_Infra!$B$215)-COLUMN(Tech_Specs_Infra!$A$215)+1,FALSE)=0,"",VLOOKUP(AJ$3,Tech_Specs_Infra!$A$216:$C$222,COLUMN(Tech_Specs_Infra!$B$215)-COLUMN(Tech_Specs_Infra!$A$215)+1,FALSE))</f>
        <v>Bike lane</v>
      </c>
      <c r="AK5" s="462" t="str">
        <f>IF(VLOOKUP(AK$3,Tech_Specs_Infra!$A$216:$C$222,COLUMN(Tech_Specs_Infra!$B$215)-COLUMN(Tech_Specs_Infra!$A$215)+1,FALSE)=0,"",VLOOKUP(AK$3,Tech_Specs_Infra!$A$216:$C$222,COLUMN(Tech_Specs_Infra!$B$215)-COLUMN(Tech_Specs_Infra!$A$215)+1,FALSE))</f>
        <v>Urban road</v>
      </c>
      <c r="AL5" s="462" t="str">
        <f>IF(VLOOKUP(AL$3,Tech_Specs_Infra!$A$216:$C$222,COLUMN(Tech_Specs_Infra!$B$215)-COLUMN(Tech_Specs_Infra!$A$215)+1,FALSE)=0,"",VLOOKUP(AL$3,Tech_Specs_Infra!$A$216:$C$222,COLUMN(Tech_Specs_Infra!$B$215)-COLUMN(Tech_Specs_Infra!$A$215)+1,FALSE))</f>
        <v>Urban road</v>
      </c>
      <c r="AM5" s="462" t="str">
        <f>IF(VLOOKUP(AM$3,Tech_Specs_Infra!$A$216:$C$222,COLUMN(Tech_Specs_Infra!$B$215)-COLUMN(Tech_Specs_Infra!$A$215)+1,FALSE)=0,"",VLOOKUP(AM$3,Tech_Specs_Infra!$A$216:$C$222,COLUMN(Tech_Specs_Infra!$B$215)-COLUMN(Tech_Specs_Infra!$A$215)+1,FALSE))</f>
        <v>Urban road</v>
      </c>
      <c r="AN5" s="462" t="str">
        <f>IF(VLOOKUP(AN$3,Tech_Specs_Infra!$A$216:$C$222,COLUMN(Tech_Specs_Infra!$B$215)-COLUMN(Tech_Specs_Infra!$A$215)+1,FALSE)=0,"",VLOOKUP(AN$3,Tech_Specs_Infra!$A$216:$C$222,COLUMN(Tech_Specs_Infra!$B$215)-COLUMN(Tech_Specs_Infra!$A$215)+1,FALSE))</f>
        <v>Urban road</v>
      </c>
      <c r="AO5" s="462" t="str">
        <f>IF(VLOOKUP(AO$3,Tech_Specs_Infra!$A$216:$C$222,COLUMN(Tech_Specs_Infra!$B$215)-COLUMN(Tech_Specs_Infra!$A$215)+1,FALSE)=0,"",VLOOKUP(AO$3,Tech_Specs_Infra!$A$216:$C$222,COLUMN(Tech_Specs_Infra!$B$215)-COLUMN(Tech_Specs_Infra!$A$215)+1,FALSE))</f>
        <v>Urban road including parking</v>
      </c>
      <c r="AP5" s="462" t="str">
        <f>IF(VLOOKUP(AP$3,Tech_Specs_Infra!$A$216:$C$222,COLUMN(Tech_Specs_Infra!$B$215)-COLUMN(Tech_Specs_Infra!$A$215)+1,FALSE)=0,"",VLOOKUP(AP$3,Tech_Specs_Infra!$A$216:$C$222,COLUMN(Tech_Specs_Infra!$B$215)-COLUMN(Tech_Specs_Infra!$A$215)+1,FALSE))</f>
        <v>Urban road including parking</v>
      </c>
      <c r="AQ5" s="462" t="str">
        <f>IF(VLOOKUP(AQ$3,Tech_Specs_Infra!$A$216:$C$222,COLUMN(Tech_Specs_Infra!$B$215)-COLUMN(Tech_Specs_Infra!$A$215)+1,FALSE)=0,"",VLOOKUP(AQ$3,Tech_Specs_Infra!$A$216:$C$222,COLUMN(Tech_Specs_Infra!$B$215)-COLUMN(Tech_Specs_Infra!$A$215)+1,FALSE))</f>
        <v>Urban road including parking</v>
      </c>
      <c r="AR5" s="462" t="str">
        <f>IF(VLOOKUP(AR$3,Tech_Specs_Infra!$A$216:$C$222,COLUMN(Tech_Specs_Infra!$B$215)-COLUMN(Tech_Specs_Infra!$A$215)+1,FALSE)=0,"",VLOOKUP(AR$3,Tech_Specs_Infra!$A$216:$C$222,COLUMN(Tech_Specs_Infra!$B$215)-COLUMN(Tech_Specs_Infra!$A$215)+1,FALSE))</f>
        <v>Urban road including parking</v>
      </c>
      <c r="AS5" s="462" t="str">
        <f>IF(VLOOKUP(AS$3,Tech_Specs_Infra!$A$216:$C$222,COLUMN(Tech_Specs_Infra!$B$215)-COLUMN(Tech_Specs_Infra!$A$215)+1,FALSE)=0,"",VLOOKUP(AS$3,Tech_Specs_Infra!$A$216:$C$222,COLUMN(Tech_Specs_Infra!$B$215)-COLUMN(Tech_Specs_Infra!$A$215)+1,FALSE))</f>
        <v>Urban road including parking</v>
      </c>
      <c r="AT5" s="462" t="str">
        <f>IF(VLOOKUP(AT$3,Tech_Specs_Infra!$A$216:$C$222,COLUMN(Tech_Specs_Infra!$B$215)-COLUMN(Tech_Specs_Infra!$A$215)+1,FALSE)=0,"",VLOOKUP(AT$3,Tech_Specs_Infra!$A$216:$C$222,COLUMN(Tech_Specs_Infra!$B$215)-COLUMN(Tech_Specs_Infra!$A$215)+1,FALSE))</f>
        <v>Urban road including parking</v>
      </c>
      <c r="AU5" s="462" t="str">
        <f>IF(VLOOKUP(AU$3,Tech_Specs_Infra!$A$216:$C$222,COLUMN(Tech_Specs_Infra!$B$215)-COLUMN(Tech_Specs_Infra!$A$215)+1,FALSE)=0,"",VLOOKUP(AU$3,Tech_Specs_Infra!$A$216:$C$222,COLUMN(Tech_Specs_Infra!$B$215)-COLUMN(Tech_Specs_Infra!$A$215)+1,FALSE))</f>
        <v>Urban road including parking</v>
      </c>
      <c r="AV5" s="462" t="str">
        <f>IF(VLOOKUP(AV$3,Tech_Specs_Infra!$A$216:$C$222,COLUMN(Tech_Specs_Infra!$B$215)-COLUMN(Tech_Specs_Infra!$A$215)+1,FALSE)=0,"",VLOOKUP(AV$3,Tech_Specs_Infra!$A$216:$C$222,COLUMN(Tech_Specs_Infra!$B$215)-COLUMN(Tech_Specs_Infra!$A$215)+1,FALSE))</f>
        <v>Urban road including parking</v>
      </c>
      <c r="AW5" s="462" t="str">
        <f>IF(VLOOKUP(AW$3,Tech_Specs_Infra!$A$216:$C$222,COLUMN(Tech_Specs_Infra!$B$215)-COLUMN(Tech_Specs_Infra!$A$215)+1,FALSE)=0,"",VLOOKUP(AW$3,Tech_Specs_Infra!$A$216:$C$222,COLUMN(Tech_Specs_Infra!$B$215)-COLUMN(Tech_Specs_Infra!$A$215)+1,FALSE))</f>
        <v>Urban road including parking</v>
      </c>
      <c r="AX5" s="462" t="str">
        <f>IF(VLOOKUP(AX$3,Tech_Specs_Infra!$A$216:$C$222,COLUMN(Tech_Specs_Infra!$B$215)-COLUMN(Tech_Specs_Infra!$A$215)+1,FALSE)=0,"",VLOOKUP(AX$3,Tech_Specs_Infra!$A$216:$C$222,COLUMN(Tech_Specs_Infra!$B$215)-COLUMN(Tech_Specs_Infra!$A$215)+1,FALSE))</f>
        <v>Urban road including parking</v>
      </c>
      <c r="AY5" s="462" t="str">
        <f>IF(VLOOKUP(AY$3,Tech_Specs_Infra!$A$216:$C$222,COLUMN(Tech_Specs_Infra!$B$215)-COLUMN(Tech_Specs_Infra!$A$215)+1,FALSE)=0,"",VLOOKUP(AY$3,Tech_Specs_Infra!$A$216:$C$222,COLUMN(Tech_Specs_Infra!$B$215)-COLUMN(Tech_Specs_Infra!$A$215)+1,FALSE))</f>
        <v>Urban road including parking</v>
      </c>
      <c r="AZ5" s="462" t="str">
        <f>IF(VLOOKUP(AZ$3,Tech_Specs_Infra!$A$216:$C$222,COLUMN(Tech_Specs_Infra!$B$215)-COLUMN(Tech_Specs_Infra!$A$215)+1,FALSE)=0,"",VLOOKUP(AZ$3,Tech_Specs_Infra!$A$216:$C$222,COLUMN(Tech_Specs_Infra!$B$215)-COLUMN(Tech_Specs_Infra!$A$215)+1,FALSE))</f>
        <v>Urban road including parking</v>
      </c>
      <c r="BA5" s="462" t="str">
        <f>IF(VLOOKUP(BA$3,Tech_Specs_Infra!$A$216:$C$222,COLUMN(Tech_Specs_Infra!$B$215)-COLUMN(Tech_Specs_Infra!$A$215)+1,FALSE)=0,"",VLOOKUP(BA$3,Tech_Specs_Infra!$A$216:$C$222,COLUMN(Tech_Specs_Infra!$B$215)-COLUMN(Tech_Specs_Infra!$A$215)+1,FALSE))</f>
        <v>Urban road including parking</v>
      </c>
      <c r="BB5" s="462" t="str">
        <f>IF(VLOOKUP(BB$3,Tech_Specs_Infra!$A$216:$C$222,COLUMN(Tech_Specs_Infra!$B$215)-COLUMN(Tech_Specs_Infra!$A$215)+1,FALSE)=0,"",VLOOKUP(BB$3,Tech_Specs_Infra!$A$216:$C$222,COLUMN(Tech_Specs_Infra!$B$215)-COLUMN(Tech_Specs_Infra!$A$215)+1,FALSE))</f>
        <v>Urban road including parking</v>
      </c>
      <c r="BC5" s="462" t="str">
        <f>IF(VLOOKUP(BC$3,Tech_Specs_Infra!$A$216:$C$222,COLUMN(Tech_Specs_Infra!$B$215)-COLUMN(Tech_Specs_Infra!$A$215)+1,FALSE)=0,"",VLOOKUP(BC$3,Tech_Specs_Infra!$A$216:$C$222,COLUMN(Tech_Specs_Infra!$B$215)-COLUMN(Tech_Specs_Infra!$A$215)+1,FALSE))</f>
        <v>Urban road</v>
      </c>
      <c r="BD5" s="462" t="str">
        <f>IF(VLOOKUP(BD$3,Tech_Specs_Infra!$A$216:$C$222,COLUMN(Tech_Specs_Infra!$B$215)-COLUMN(Tech_Specs_Infra!$A$215)+1,FALSE)=0,"",VLOOKUP(BD$3,Tech_Specs_Infra!$A$216:$C$222,COLUMN(Tech_Specs_Infra!$B$215)-COLUMN(Tech_Specs_Infra!$A$215)+1,FALSE))</f>
        <v>Urban road</v>
      </c>
      <c r="BE5" s="462" t="str">
        <f>IF(VLOOKUP(BE$3,Tech_Specs_Infra!$A$216:$C$222,COLUMN(Tech_Specs_Infra!$B$215)-COLUMN(Tech_Specs_Infra!$A$215)+1,FALSE)=0,"",VLOOKUP(BE$3,Tech_Specs_Infra!$A$216:$C$222,COLUMN(Tech_Specs_Infra!$B$215)-COLUMN(Tech_Specs_Infra!$A$215)+1,FALSE))</f>
        <v>Urban road</v>
      </c>
      <c r="BF5" s="462" t="str">
        <f>IF(VLOOKUP(BF$3,Tech_Specs_Infra!$A$216:$C$222,COLUMN(Tech_Specs_Infra!$B$215)-COLUMN(Tech_Specs_Infra!$A$215)+1,FALSE)=0,"",VLOOKUP(BF$3,Tech_Specs_Infra!$A$216:$C$222,COLUMN(Tech_Specs_Infra!$B$215)-COLUMN(Tech_Specs_Infra!$A$215)+1,FALSE))</f>
        <v>Urban road</v>
      </c>
      <c r="BG5" s="462" t="str">
        <f>IF(VLOOKUP(BG$3,Tech_Specs_Infra!$A$216:$C$222,COLUMN(Tech_Specs_Infra!$B$215)-COLUMN(Tech_Specs_Infra!$A$215)+1,FALSE)=0,"",VLOOKUP(BG$3,Tech_Specs_Infra!$A$216:$C$222,COLUMN(Tech_Specs_Infra!$B$215)-COLUMN(Tech_Specs_Infra!$A$215)+1,FALSE))</f>
        <v>Urban road</v>
      </c>
      <c r="BH5" s="462" t="str">
        <f>IF(VLOOKUP(BH$3,Tech_Specs_Infra!$A$216:$C$222,COLUMN(Tech_Specs_Infra!$B$215)-COLUMN(Tech_Specs_Infra!$A$215)+1,FALSE)=0,"",VLOOKUP(BH$3,Tech_Specs_Infra!$A$216:$C$222,COLUMN(Tech_Specs_Infra!$B$215)-COLUMN(Tech_Specs_Infra!$A$215)+1,FALSE))</f>
        <v>Urban road</v>
      </c>
      <c r="BI5" s="462" t="str">
        <f>IF(VLOOKUP(BI$3,Tech_Specs_Infra!$A$216:$C$222,COLUMN(Tech_Specs_Infra!$B$215)-COLUMN(Tech_Specs_Infra!$A$215)+1,FALSE)=0,"",VLOOKUP(BI$3,Tech_Specs_Infra!$A$216:$C$222,COLUMN(Tech_Specs_Infra!$B$215)-COLUMN(Tech_Specs_Infra!$A$215)+1,FALSE))</f>
        <v>Urban road</v>
      </c>
      <c r="BJ5" s="462" t="str">
        <f>IF(VLOOKUP(BJ$3,Tech_Specs_Infra!$A$216:$C$222,COLUMN(Tech_Specs_Infra!$B$215)-COLUMN(Tech_Specs_Infra!$A$215)+1,FALSE)=0,"",VLOOKUP(BJ$3,Tech_Specs_Infra!$A$216:$C$222,COLUMN(Tech_Specs_Infra!$B$215)-COLUMN(Tech_Specs_Infra!$A$215)+1,FALSE))</f>
        <v>Urban road</v>
      </c>
      <c r="BK5" s="462" t="str">
        <f>IF(VLOOKUP(BK$3,Tech_Specs_Infra!$A$216:$C$222,COLUMN(Tech_Specs_Infra!$B$215)-COLUMN(Tech_Specs_Infra!$A$215)+1,FALSE)=0,"",VLOOKUP(BK$3,Tech_Specs_Infra!$A$216:$C$222,COLUMN(Tech_Specs_Infra!$B$215)-COLUMN(Tech_Specs_Infra!$A$215)+1,FALSE))</f>
        <v>Urban road</v>
      </c>
      <c r="BL5" s="462" t="str">
        <f>IF(VLOOKUP(BL$3,Tech_Specs_Infra!$A$216:$C$222,COLUMN(Tech_Specs_Infra!$B$215)-COLUMN(Tech_Specs_Infra!$A$215)+1,FALSE)=0,"",VLOOKUP(BL$3,Tech_Specs_Infra!$A$216:$C$222,COLUMN(Tech_Specs_Infra!$B$215)-COLUMN(Tech_Specs_Infra!$A$215)+1,FALSE))</f>
        <v>Urban road</v>
      </c>
      <c r="BM5" s="462" t="str">
        <f>IF(VLOOKUP(BM$3,Tech_Specs_Infra!$A$216:$C$222,COLUMN(Tech_Specs_Infra!$B$215)-COLUMN(Tech_Specs_Infra!$A$215)+1,FALSE)=0,"",VLOOKUP(BM$3,Tech_Specs_Infra!$A$216:$C$222,COLUMN(Tech_Specs_Infra!$B$215)-COLUMN(Tech_Specs_Infra!$A$215)+1,FALSE))</f>
        <v>Urban road</v>
      </c>
      <c r="BN5" s="462" t="str">
        <f>IF(VLOOKUP(BN$3,Tech_Specs_Infra!$A$216:$C$222,COLUMN(Tech_Specs_Infra!$B$215)-COLUMN(Tech_Specs_Infra!$A$215)+1,FALSE)=0,"",VLOOKUP(BN$3,Tech_Specs_Infra!$A$216:$C$222,COLUMN(Tech_Specs_Infra!$B$215)-COLUMN(Tech_Specs_Infra!$A$215)+1,FALSE))</f>
        <v>Urban road</v>
      </c>
      <c r="BO5" s="462" t="str">
        <f>IF(VLOOKUP(BO$3,Tech_Specs_Infra!$A$216:$C$222,COLUMN(Tech_Specs_Infra!$B$215)-COLUMN(Tech_Specs_Infra!$A$215)+1,FALSE)=0,"",VLOOKUP(BO$3,Tech_Specs_Infra!$A$216:$C$222,COLUMN(Tech_Specs_Infra!$B$215)-COLUMN(Tech_Specs_Infra!$A$215)+1,FALSE))</f>
        <v>Urban road</v>
      </c>
      <c r="BP5" s="462" t="str">
        <f>IF(VLOOKUP(BP$3,Tech_Specs_Infra!$A$216:$C$222,COLUMN(Tech_Specs_Infra!$B$215)-COLUMN(Tech_Specs_Infra!$A$215)+1,FALSE)=0,"",VLOOKUP(BP$3,Tech_Specs_Infra!$A$216:$C$222,COLUMN(Tech_Specs_Infra!$B$215)-COLUMN(Tech_Specs_Infra!$A$215)+1,FALSE))</f>
        <v>Urban road</v>
      </c>
      <c r="BQ5" s="462" t="str">
        <f>IF(VLOOKUP(BQ$3,Tech_Specs_Infra!$A$216:$C$222,COLUMN(Tech_Specs_Infra!$B$215)-COLUMN(Tech_Specs_Infra!$A$215)+1,FALSE)=0,"",VLOOKUP(BQ$3,Tech_Specs_Infra!$A$216:$C$222,COLUMN(Tech_Specs_Infra!$B$215)-COLUMN(Tech_Specs_Infra!$A$215)+1,FALSE))</f>
        <v>Urban road</v>
      </c>
      <c r="BR5" s="462" t="str">
        <f>IF(VLOOKUP(BR$3,Tech_Specs_Infra!$A$216:$C$222,COLUMN(Tech_Specs_Infra!$B$215)-COLUMN(Tech_Specs_Infra!$A$215)+1,FALSE)=0,"",VLOOKUP(BR$3,Tech_Specs_Infra!$A$216:$C$222,COLUMN(Tech_Specs_Infra!$B$215)-COLUMN(Tech_Specs_Infra!$A$215)+1,FALSE))</f>
        <v>Urban road</v>
      </c>
      <c r="BS5" s="462" t="str">
        <f>IF(VLOOKUP(BS$3,Tech_Specs_Infra!$A$216:$C$222,COLUMN(Tech_Specs_Infra!$B$215)-COLUMN(Tech_Specs_Infra!$A$215)+1,FALSE)=0,"",VLOOKUP(BS$3,Tech_Specs_Infra!$A$216:$C$222,COLUMN(Tech_Specs_Infra!$B$215)-COLUMN(Tech_Specs_Infra!$A$215)+1,FALSE))</f>
        <v>Urban road</v>
      </c>
      <c r="BT5" s="462" t="str">
        <f>IF(VLOOKUP(BT$3,Tech_Specs_Infra!$A$216:$C$222,COLUMN(Tech_Specs_Infra!$B$215)-COLUMN(Tech_Specs_Infra!$A$215)+1,FALSE)=0,"",VLOOKUP(BT$3,Tech_Specs_Infra!$A$216:$C$222,COLUMN(Tech_Specs_Infra!$B$215)-COLUMN(Tech_Specs_Infra!$A$215)+1,FALSE))</f>
        <v>Urban road</v>
      </c>
      <c r="BU5" s="462" t="str">
        <f>IF(VLOOKUP(BU$3,Tech_Specs_Infra!$A$216:$C$222,COLUMN(Tech_Specs_Infra!$B$215)-COLUMN(Tech_Specs_Infra!$A$215)+1,FALSE)=0,"",VLOOKUP(BU$3,Tech_Specs_Infra!$A$216:$C$222,COLUMN(Tech_Specs_Infra!$B$215)-COLUMN(Tech_Specs_Infra!$A$215)+1,FALSE))</f>
        <v>Urban road</v>
      </c>
      <c r="BV5" s="462" t="str">
        <f>IF(VLOOKUP(BV$3,Tech_Specs_Infra!$A$216:$C$222,COLUMN(Tech_Specs_Infra!$B$215)-COLUMN(Tech_Specs_Infra!$A$215)+1,FALSE)=0,"",VLOOKUP(BV$3,Tech_Specs_Infra!$A$216:$C$222,COLUMN(Tech_Specs_Infra!$B$215)-COLUMN(Tech_Specs_Infra!$A$215)+1,FALSE))</f>
        <v>Urban road</v>
      </c>
      <c r="BW5" s="462" t="str">
        <f>IF(VLOOKUP(BW$3,Tech_Specs_Infra!$A$216:$C$222,COLUMN(Tech_Specs_Infra!$B$215)-COLUMN(Tech_Specs_Infra!$A$215)+1,FALSE)=0,"",VLOOKUP(BW$3,Tech_Specs_Infra!$A$216:$C$222,COLUMN(Tech_Specs_Infra!$B$215)-COLUMN(Tech_Specs_Infra!$A$215)+1,FALSE))</f>
        <v>Urban road</v>
      </c>
      <c r="BX5" s="462" t="str">
        <f>IF(VLOOKUP(BX$3,Tech_Specs_Infra!$A$216:$C$222,COLUMN(Tech_Specs_Infra!$B$215)-COLUMN(Tech_Specs_Infra!$A$215)+1,FALSE)=0,"",VLOOKUP(BX$3,Tech_Specs_Infra!$A$216:$C$222,COLUMN(Tech_Specs_Infra!$B$215)-COLUMN(Tech_Specs_Infra!$A$215)+1,FALSE))</f>
        <v>Urban road</v>
      </c>
      <c r="BY5" s="462" t="str">
        <f>IF(VLOOKUP(BY$3,Tech_Specs_Infra!$A$216:$C$222,COLUMN(Tech_Specs_Infra!$B$215)-COLUMN(Tech_Specs_Infra!$A$215)+1,FALSE)=0,"",VLOOKUP(BY$3,Tech_Specs_Infra!$A$216:$C$222,COLUMN(Tech_Specs_Infra!$B$215)-COLUMN(Tech_Specs_Infra!$A$215)+1,FALSE))</f>
        <v>Urban road</v>
      </c>
      <c r="BZ5" s="462" t="str">
        <f>IF(VLOOKUP(BZ$3,Tech_Specs_Infra!$A$216:$C$222,COLUMN(Tech_Specs_Infra!$B$215)-COLUMN(Tech_Specs_Infra!$A$215)+1,FALSE)=0,"",VLOOKUP(BZ$3,Tech_Specs_Infra!$A$216:$C$222,COLUMN(Tech_Specs_Infra!$B$215)-COLUMN(Tech_Specs_Infra!$A$215)+1,FALSE))</f>
        <v>Urban road</v>
      </c>
      <c r="CA5" s="462" t="str">
        <f>IF(VLOOKUP(CA$3,Tech_Specs_Infra!$A$216:$C$222,COLUMN(Tech_Specs_Infra!$B$215)-COLUMN(Tech_Specs_Infra!$A$215)+1,FALSE)=0,"",VLOOKUP(CA$3,Tech_Specs_Infra!$A$216:$C$222,COLUMN(Tech_Specs_Infra!$B$215)-COLUMN(Tech_Specs_Infra!$A$215)+1,FALSE))</f>
        <v>Urban road</v>
      </c>
      <c r="CB5" s="462" t="str">
        <f>IF(VLOOKUP(CB$3,Tech_Specs_Infra!$A$216:$C$222,COLUMN(Tech_Specs_Infra!$B$215)-COLUMN(Tech_Specs_Infra!$A$215)+1,FALSE)=0,"",VLOOKUP(CB$3,Tech_Specs_Infra!$A$216:$C$222,COLUMN(Tech_Specs_Infra!$B$215)-COLUMN(Tech_Specs_Infra!$A$215)+1,FALSE))</f>
        <v>Urban road</v>
      </c>
      <c r="CC5" s="462" t="str">
        <f>IF(VLOOKUP(CC$3,Tech_Specs_Infra!$A$216:$C$222,COLUMN(Tech_Specs_Infra!$B$215)-COLUMN(Tech_Specs_Infra!$A$215)+1,FALSE)=0,"",VLOOKUP(CC$3,Tech_Specs_Infra!$A$216:$C$222,COLUMN(Tech_Specs_Infra!$B$215)-COLUMN(Tech_Specs_Infra!$A$215)+1,FALSE))</f>
        <v>Urban road</v>
      </c>
      <c r="CD5" s="462" t="str">
        <f>IF(VLOOKUP(CD$3,Tech_Specs_Infra!$A$216:$C$222,COLUMN(Tech_Specs_Infra!$B$215)-COLUMN(Tech_Specs_Infra!$A$215)+1,FALSE)=0,"",VLOOKUP(CD$3,Tech_Specs_Infra!$A$216:$C$222,COLUMN(Tech_Specs_Infra!$B$215)-COLUMN(Tech_Specs_Infra!$A$215)+1,FALSE))</f>
        <v>Urban road</v>
      </c>
      <c r="CE5" s="462" t="str">
        <f>IF(VLOOKUP(CE$3,Tech_Specs_Infra!$A$216:$C$222,COLUMN(Tech_Specs_Infra!$B$215)-COLUMN(Tech_Specs_Infra!$A$215)+1,FALSE)=0,"",VLOOKUP(CE$3,Tech_Specs_Infra!$A$216:$C$222,COLUMN(Tech_Specs_Infra!$B$215)-COLUMN(Tech_Specs_Infra!$A$215)+1,FALSE))</f>
        <v>Urban road</v>
      </c>
      <c r="CF5" s="462" t="str">
        <f>IF(VLOOKUP(CF$3,Tech_Specs_Infra!$A$216:$C$222,COLUMN(Tech_Specs_Infra!$B$215)-COLUMN(Tech_Specs_Infra!$A$215)+1,FALSE)=0,"",VLOOKUP(CF$3,Tech_Specs_Infra!$A$216:$C$222,COLUMN(Tech_Specs_Infra!$B$215)-COLUMN(Tech_Specs_Infra!$A$215)+1,FALSE))</f>
        <v>Urban road</v>
      </c>
      <c r="CG5" s="462" t="str">
        <f>IF(VLOOKUP(CG$3,Tech_Specs_Infra!$A$216:$C$222,COLUMN(Tech_Specs_Infra!$B$215)-COLUMN(Tech_Specs_Infra!$A$215)+1,FALSE)=0,"",VLOOKUP(CG$3,Tech_Specs_Infra!$A$216:$C$222,COLUMN(Tech_Specs_Infra!$B$215)-COLUMN(Tech_Specs_Infra!$A$215)+1,FALSE))</f>
        <v>Urban road</v>
      </c>
      <c r="CH5" s="462" t="str">
        <f>IF(VLOOKUP(CH$3,Tech_Specs_Infra!$A$216:$C$222,COLUMN(Tech_Specs_Infra!$B$215)-COLUMN(Tech_Specs_Infra!$A$215)+1,FALSE)=0,"",VLOOKUP(CH$3,Tech_Specs_Infra!$A$216:$C$222,COLUMN(Tech_Specs_Infra!$B$215)-COLUMN(Tech_Specs_Infra!$A$215)+1,FALSE))</f>
        <v>Urban road</v>
      </c>
      <c r="CI5" s="462" t="str">
        <f>IF(VLOOKUP(CI$3,Tech_Specs_Infra!$A$216:$C$222,COLUMN(Tech_Specs_Infra!$B$215)-COLUMN(Tech_Specs_Infra!$A$215)+1,FALSE)=0,"",VLOOKUP(CI$3,Tech_Specs_Infra!$A$216:$C$222,COLUMN(Tech_Specs_Infra!$B$215)-COLUMN(Tech_Specs_Infra!$A$215)+1,FALSE))</f>
        <v>Urban road</v>
      </c>
      <c r="CJ5" s="462" t="str">
        <f>IF(VLOOKUP(CJ$3,Tech_Specs_Infra!$A$216:$C$222,COLUMN(Tech_Specs_Infra!$B$215)-COLUMN(Tech_Specs_Infra!$A$215)+1,FALSE)=0,"",VLOOKUP(CJ$3,Tech_Specs_Infra!$A$216:$C$222,COLUMN(Tech_Specs_Infra!$B$215)-COLUMN(Tech_Specs_Infra!$A$215)+1,FALSE))</f>
        <v>Urban road</v>
      </c>
      <c r="CK5" s="462" t="str">
        <f>IF(VLOOKUP(CK$3,Tech_Specs_Infra!$A$216:$C$222,COLUMN(Tech_Specs_Infra!$B$215)-COLUMN(Tech_Specs_Infra!$A$215)+1,FALSE)=0,"",VLOOKUP(CK$3,Tech_Specs_Infra!$A$216:$C$222,COLUMN(Tech_Specs_Infra!$B$215)-COLUMN(Tech_Specs_Infra!$A$215)+1,FALSE))</f>
        <v>Urban road</v>
      </c>
      <c r="CL5" s="462" t="str">
        <f>IF(VLOOKUP(CL$3,Tech_Specs_Infra!$A$216:$C$222,COLUMN(Tech_Specs_Infra!$B$215)-COLUMN(Tech_Specs_Infra!$A$215)+1,FALSE)=0,"",VLOOKUP(CL$3,Tech_Specs_Infra!$A$216:$C$222,COLUMN(Tech_Specs_Infra!$B$215)-COLUMN(Tech_Specs_Infra!$A$215)+1,FALSE))</f>
        <v>Urban road</v>
      </c>
      <c r="CM5" s="462" t="str">
        <f>IF(VLOOKUP(CM$3,Tech_Specs_Infra!$A$216:$C$222,COLUMN(Tech_Specs_Infra!$B$215)-COLUMN(Tech_Specs_Infra!$A$215)+1,FALSE)=0,"",VLOOKUP(CM$3,Tech_Specs_Infra!$A$216:$C$222,COLUMN(Tech_Specs_Infra!$B$215)-COLUMN(Tech_Specs_Infra!$A$215)+1,FALSE))</f>
        <v>Urban road</v>
      </c>
      <c r="CN5" s="462" t="str">
        <f>IF(VLOOKUP(CN$3,Tech_Specs_Infra!$A$216:$C$222,COLUMN(Tech_Specs_Infra!$B$215)-COLUMN(Tech_Specs_Infra!$A$215)+1,FALSE)=0,"",VLOOKUP(CN$3,Tech_Specs_Infra!$A$216:$C$222,COLUMN(Tech_Specs_Infra!$B$215)-COLUMN(Tech_Specs_Infra!$A$215)+1,FALSE))</f>
        <v>Urban road including parking</v>
      </c>
      <c r="CO5" s="462" t="str">
        <f>IF(VLOOKUP(CO$3,Tech_Specs_Infra!$A$216:$C$222,COLUMN(Tech_Specs_Infra!$B$215)-COLUMN(Tech_Specs_Infra!$A$215)+1,FALSE)=0,"",VLOOKUP(CO$3,Tech_Specs_Infra!$A$216:$C$222,COLUMN(Tech_Specs_Infra!$B$215)-COLUMN(Tech_Specs_Infra!$A$215)+1,FALSE))</f>
        <v>Urban road including parking</v>
      </c>
      <c r="CP5" s="462" t="str">
        <f>IF(VLOOKUP(CP$3,Tech_Specs_Infra!$A$216:$C$222,COLUMN(Tech_Specs_Infra!$B$215)-COLUMN(Tech_Specs_Infra!$A$215)+1,FALSE)=0,"",VLOOKUP(CP$3,Tech_Specs_Infra!$A$216:$C$222,COLUMN(Tech_Specs_Infra!$B$215)-COLUMN(Tech_Specs_Infra!$A$215)+1,FALSE))</f>
        <v>Urban road including parking</v>
      </c>
      <c r="CQ5" s="462" t="str">
        <f>IF(VLOOKUP(CQ$3,Tech_Specs_Infra!$A$216:$C$222,COLUMN(Tech_Specs_Infra!$B$215)-COLUMN(Tech_Specs_Infra!$A$215)+1,FALSE)=0,"",VLOOKUP(CQ$3,Tech_Specs_Infra!$A$216:$C$222,COLUMN(Tech_Specs_Infra!$B$215)-COLUMN(Tech_Specs_Infra!$A$215)+1,FALSE))</f>
        <v>Urban road including parking</v>
      </c>
      <c r="CR5" s="462" t="str">
        <f>IF(VLOOKUP(CR$3,Tech_Specs_Infra!$A$216:$C$222,COLUMN(Tech_Specs_Infra!$B$215)-COLUMN(Tech_Specs_Infra!$A$215)+1,FALSE)=0,"",VLOOKUP(CR$3,Tech_Specs_Infra!$A$216:$C$222,COLUMN(Tech_Specs_Infra!$B$215)-COLUMN(Tech_Specs_Infra!$A$215)+1,FALSE))</f>
        <v>Urban road including parking</v>
      </c>
      <c r="CS5" s="462" t="str">
        <f>IF(VLOOKUP(CS$3,Tech_Specs_Infra!$A$216:$C$222,COLUMN(Tech_Specs_Infra!$B$215)-COLUMN(Tech_Specs_Infra!$A$215)+1,FALSE)=0,"",VLOOKUP(CS$3,Tech_Specs_Infra!$A$216:$C$222,COLUMN(Tech_Specs_Infra!$B$215)-COLUMN(Tech_Specs_Infra!$A$215)+1,FALSE))</f>
        <v>Urban road</v>
      </c>
      <c r="CT5" s="462" t="str">
        <f>IF(VLOOKUP(CT$3,Tech_Specs_Infra!$A$216:$C$222,COLUMN(Tech_Specs_Infra!$B$215)-COLUMN(Tech_Specs_Infra!$A$215)+1,FALSE)=0,"",VLOOKUP(CT$3,Tech_Specs_Infra!$A$216:$C$222,COLUMN(Tech_Specs_Infra!$B$215)-COLUMN(Tech_Specs_Infra!$A$215)+1,FALSE))</f>
        <v>Urban road</v>
      </c>
      <c r="CU5" s="462" t="str">
        <f>IF(VLOOKUP(CU$3,Tech_Specs_Infra!$A$216:$C$222,COLUMN(Tech_Specs_Infra!$B$215)-COLUMN(Tech_Specs_Infra!$A$215)+1,FALSE)=0,"",VLOOKUP(CU$3,Tech_Specs_Infra!$A$216:$C$222,COLUMN(Tech_Specs_Infra!$B$215)-COLUMN(Tech_Specs_Infra!$A$215)+1,FALSE))</f>
        <v>Urban road</v>
      </c>
      <c r="CV5" s="462" t="str">
        <f>IF(VLOOKUP(CV$3,Tech_Specs_Infra!$A$216:$C$222,COLUMN(Tech_Specs_Infra!$B$215)-COLUMN(Tech_Specs_Infra!$A$215)+1,FALSE)=0,"",VLOOKUP(CV$3,Tech_Specs_Infra!$A$216:$C$222,COLUMN(Tech_Specs_Infra!$B$215)-COLUMN(Tech_Specs_Infra!$A$215)+1,FALSE))</f>
        <v>Urban road</v>
      </c>
      <c r="CW5" s="462" t="str">
        <f>IF(VLOOKUP(CW$3,Tech_Specs_Infra!$A$216:$C$222,COLUMN(Tech_Specs_Infra!$B$215)-COLUMN(Tech_Specs_Infra!$A$215)+1,FALSE)=0,"",VLOOKUP(CW$3,Tech_Specs_Infra!$A$216:$C$222,COLUMN(Tech_Specs_Infra!$B$215)-COLUMN(Tech_Specs_Infra!$A$215)+1,FALSE))</f>
        <v>Urban road</v>
      </c>
      <c r="CX5" s="462" t="str">
        <f>IF(VLOOKUP(CX$3,Tech_Specs_Infra!$A$216:$C$222,COLUMN(Tech_Specs_Infra!$B$215)-COLUMN(Tech_Specs_Infra!$A$215)+1,FALSE)=0,"",VLOOKUP(CX$3,Tech_Specs_Infra!$A$216:$C$222,COLUMN(Tech_Specs_Infra!$B$215)-COLUMN(Tech_Specs_Infra!$A$215)+1,FALSE))</f>
        <v>Urban road</v>
      </c>
      <c r="CY5" s="462" t="str">
        <f>IF(VLOOKUP(CY$3,Tech_Specs_Infra!$A$216:$C$222,COLUMN(Tech_Specs_Infra!$B$215)-COLUMN(Tech_Specs_Infra!$A$215)+1,FALSE)=0,"",VLOOKUP(CY$3,Tech_Specs_Infra!$A$216:$C$222,COLUMN(Tech_Specs_Infra!$B$215)-COLUMN(Tech_Specs_Infra!$A$215)+1,FALSE))</f>
        <v>Urban road</v>
      </c>
      <c r="CZ5" s="462" t="str">
        <f>IF(VLOOKUP(CZ$3,Tech_Specs_Infra!$A$216:$C$222,COLUMN(Tech_Specs_Infra!$B$215)-COLUMN(Tech_Specs_Infra!$A$215)+1,FALSE)=0,"",VLOOKUP(CZ$3,Tech_Specs_Infra!$A$216:$C$222,COLUMN(Tech_Specs_Infra!$B$215)-COLUMN(Tech_Specs_Infra!$A$215)+1,FALSE))</f>
        <v>Urban road</v>
      </c>
      <c r="DA5" s="462" t="str">
        <f>IF(VLOOKUP(DA$3,Tech_Specs_Infra!$A$216:$C$222,COLUMN(Tech_Specs_Infra!$B$215)-COLUMN(Tech_Specs_Infra!$A$215)+1,FALSE)=0,"",VLOOKUP(DA$3,Tech_Specs_Infra!$A$216:$C$222,COLUMN(Tech_Specs_Infra!$B$215)-COLUMN(Tech_Specs_Infra!$A$215)+1,FALSE))</f>
        <v>Urban road</v>
      </c>
      <c r="DB5" s="462" t="str">
        <f>IF(VLOOKUP(DB$3,Tech_Specs_Infra!$A$216:$C$222,COLUMN(Tech_Specs_Infra!$B$215)-COLUMN(Tech_Specs_Infra!$A$215)+1,FALSE)=0,"",VLOOKUP(DB$3,Tech_Specs_Infra!$A$216:$C$222,COLUMN(Tech_Specs_Infra!$B$215)-COLUMN(Tech_Specs_Infra!$A$215)+1,FALSE))</f>
        <v>Urban road</v>
      </c>
      <c r="DC5" s="462" t="str">
        <f>IF(VLOOKUP(DC$3,Tech_Specs_Infra!$A$216:$C$222,COLUMN(Tech_Specs_Infra!$B$215)-COLUMN(Tech_Specs_Infra!$A$215)+1,FALSE)=0,"",VLOOKUP(DC$3,Tech_Specs_Infra!$A$216:$C$222,COLUMN(Tech_Specs_Infra!$B$215)-COLUMN(Tech_Specs_Infra!$A$215)+1,FALSE))</f>
        <v>Urban road</v>
      </c>
      <c r="DD5" s="462" t="str">
        <f>IF(VLOOKUP(DD$3,Tech_Specs_Infra!$A$216:$C$222,COLUMN(Tech_Specs_Infra!$B$215)-COLUMN(Tech_Specs_Infra!$A$215)+1,FALSE)=0,"",VLOOKUP(DD$3,Tech_Specs_Infra!$A$216:$C$222,COLUMN(Tech_Specs_Infra!$B$215)-COLUMN(Tech_Specs_Infra!$A$215)+1,FALSE))</f>
        <v>Urban road</v>
      </c>
      <c r="DE5" s="462" t="str">
        <f>IF(VLOOKUP(DE$3,Tech_Specs_Infra!$A$216:$C$222,COLUMN(Tech_Specs_Infra!$B$215)-COLUMN(Tech_Specs_Infra!$A$215)+1,FALSE)=0,"",VLOOKUP(DE$3,Tech_Specs_Infra!$A$216:$C$222,COLUMN(Tech_Specs_Infra!$B$215)-COLUMN(Tech_Specs_Infra!$A$215)+1,FALSE))</f>
        <v>Urban road</v>
      </c>
      <c r="DF5" s="462" t="str">
        <f>IF(VLOOKUP(DF$3,Tech_Specs_Infra!$A$216:$C$222,COLUMN(Tech_Specs_Infra!$B$215)-COLUMN(Tech_Specs_Infra!$A$215)+1,FALSE)=0,"",VLOOKUP(DF$3,Tech_Specs_Infra!$A$216:$C$222,COLUMN(Tech_Specs_Infra!$B$215)-COLUMN(Tech_Specs_Infra!$A$215)+1,FALSE))</f>
        <v>Urban road</v>
      </c>
      <c r="DG5" s="462"/>
      <c r="DH5" s="462" t="str">
        <f>IF(VLOOKUP(DH$3,Tech_Specs_Infra!$A$216:$C$222,COLUMN(Tech_Specs_Infra!$B$215)-COLUMN(Tech_Specs_Infra!$A$215)+1,FALSE)=0,"",VLOOKUP(DH$3,Tech_Specs_Infra!$A$216:$C$222,COLUMN(Tech_Specs_Infra!$B$215)-COLUMN(Tech_Specs_Infra!$A$215)+1,FALSE))</f>
        <v>Urban road</v>
      </c>
      <c r="DI5" s="462" t="str">
        <f>IF(VLOOKUP(DI$3,Tech_Specs_Infra!$A$216:$C$222,COLUMN(Tech_Specs_Infra!$B$215)-COLUMN(Tech_Specs_Infra!$A$215)+1,FALSE)=0,"",VLOOKUP(DI$3,Tech_Specs_Infra!$A$216:$C$222,COLUMN(Tech_Specs_Infra!$B$215)-COLUMN(Tech_Specs_Infra!$A$215)+1,FALSE))</f>
        <v>Urban road</v>
      </c>
      <c r="DJ5" s="462" t="str">
        <f>IF(VLOOKUP(DJ$3,Tech_Specs_Infra!$A$216:$C$222,COLUMN(Tech_Specs_Infra!$B$215)-COLUMN(Tech_Specs_Infra!$A$215)+1,FALSE)=0,"",VLOOKUP(DJ$3,Tech_Specs_Infra!$A$216:$C$222,COLUMN(Tech_Specs_Infra!$B$215)-COLUMN(Tech_Specs_Infra!$A$215)+1,FALSE))</f>
        <v>Urban road</v>
      </c>
      <c r="DK5" s="462" t="str">
        <f>IF(VLOOKUP(DK$3,Tech_Specs_Infra!$A$216:$C$222,COLUMN(Tech_Specs_Infra!$B$215)-COLUMN(Tech_Specs_Infra!$A$215)+1,FALSE)=0,"",VLOOKUP(DK$3,Tech_Specs_Infra!$A$216:$C$222,COLUMN(Tech_Specs_Infra!$B$215)-COLUMN(Tech_Specs_Infra!$A$215)+1,FALSE))</f>
        <v>Bus lane</v>
      </c>
      <c r="DL5" s="462" t="str">
        <f>IF(VLOOKUP(DL$3,Tech_Specs_Infra!$A$216:$C$222,COLUMN(Tech_Specs_Infra!$B$215)-COLUMN(Tech_Specs_Infra!$A$215)+1,FALSE)=0,"",VLOOKUP(DL$3,Tech_Specs_Infra!$A$216:$C$222,COLUMN(Tech_Specs_Infra!$B$215)-COLUMN(Tech_Specs_Infra!$A$215)+1,FALSE))</f>
        <v>Bus lane</v>
      </c>
      <c r="DM5" s="462" t="str">
        <f>IF(VLOOKUP(DM$3,Tech_Specs_Infra!$A$216:$C$222,COLUMN(Tech_Specs_Infra!$B$215)-COLUMN(Tech_Specs_Infra!$A$215)+1,FALSE)=0,"",VLOOKUP(DM$3,Tech_Specs_Infra!$A$216:$C$222,COLUMN(Tech_Specs_Infra!$B$215)-COLUMN(Tech_Specs_Infra!$A$215)+1,FALSE))</f>
        <v>Bus lane</v>
      </c>
      <c r="DN5" s="462" t="str">
        <f>IF(VLOOKUP(DN$3,Tech_Specs_Infra!$A$216:$C$222,COLUMN(Tech_Specs_Infra!$B$215)-COLUMN(Tech_Specs_Infra!$A$215)+1,FALSE)=0,"",VLOOKUP(DN$3,Tech_Specs_Infra!$A$216:$C$222,COLUMN(Tech_Specs_Infra!$B$215)-COLUMN(Tech_Specs_Infra!$A$215)+1,FALSE))</f>
        <v>Bus lane</v>
      </c>
      <c r="DO5" s="462" t="str">
        <f>IF(VLOOKUP(DO$3,Tech_Specs_Infra!$A$216:$C$222,COLUMN(Tech_Specs_Infra!$B$215)-COLUMN(Tech_Specs_Infra!$A$215)+1,FALSE)=0,"",VLOOKUP(DO$3,Tech_Specs_Infra!$A$216:$C$222,COLUMN(Tech_Specs_Infra!$B$215)-COLUMN(Tech_Specs_Infra!$A$215)+1,FALSE))</f>
        <v>Bus lane</v>
      </c>
      <c r="DP5" s="462" t="str">
        <f>IF(VLOOKUP(DP$3,Tech_Specs_Infra!$A$216:$C$222,COLUMN(Tech_Specs_Infra!$B$215)-COLUMN(Tech_Specs_Infra!$A$215)+1,FALSE)=0,"",VLOOKUP(DP$3,Tech_Specs_Infra!$A$216:$C$222,COLUMN(Tech_Specs_Infra!$B$215)-COLUMN(Tech_Specs_Infra!$A$215)+1,FALSE))</f>
        <v>Bus lane</v>
      </c>
      <c r="DQ5" s="462" t="str">
        <f>IF(VLOOKUP(DQ$3,Tech_Specs_Infra!$A$216:$C$222,COLUMN(Tech_Specs_Infra!$B$215)-COLUMN(Tech_Specs_Infra!$A$215)+1,FALSE)=0,"",VLOOKUP(DQ$3,Tech_Specs_Infra!$A$216:$C$222,COLUMN(Tech_Specs_Infra!$B$215)-COLUMN(Tech_Specs_Infra!$A$215)+1,FALSE))</f>
        <v>Bus lane</v>
      </c>
      <c r="DR5" s="462" t="str">
        <f>IF(VLOOKUP(DR$3,Tech_Specs_Infra!$A$216:$C$222,COLUMN(Tech_Specs_Infra!$B$215)-COLUMN(Tech_Specs_Infra!$A$215)+1,FALSE)=0,"",VLOOKUP(DR$3,Tech_Specs_Infra!$A$216:$C$222,COLUMN(Tech_Specs_Infra!$B$215)-COLUMN(Tech_Specs_Infra!$A$215)+1,FALSE))</f>
        <v>Bus lane</v>
      </c>
      <c r="DS5" s="462" t="str">
        <f>IF(VLOOKUP(DS$3,Tech_Specs_Infra!$A$216:$C$222,COLUMN(Tech_Specs_Infra!$B$215)-COLUMN(Tech_Specs_Infra!$A$215)+1,FALSE)=0,"",VLOOKUP(DS$3,Tech_Specs_Infra!$A$216:$C$222,COLUMN(Tech_Specs_Infra!$B$215)-COLUMN(Tech_Specs_Infra!$A$215)+1,FALSE))</f>
        <v>Bus lane</v>
      </c>
      <c r="DT5" s="462" t="str">
        <f>IF(VLOOKUP(DT$3,Tech_Specs_Infra!$A$216:$C$222,COLUMN(Tech_Specs_Infra!$B$215)-COLUMN(Tech_Specs_Infra!$A$215)+1,FALSE)=0,"",VLOOKUP(DT$3,Tech_Specs_Infra!$A$216:$C$222,COLUMN(Tech_Specs_Infra!$B$215)-COLUMN(Tech_Specs_Infra!$A$215)+1,FALSE))</f>
        <v>Bus lane</v>
      </c>
      <c r="DU5" s="462" t="str">
        <f>IF(VLOOKUP(DU$3,Tech_Specs_Infra!$A$216:$C$222,COLUMN(Tech_Specs_Infra!$B$215)-COLUMN(Tech_Specs_Infra!$A$215)+1,FALSE)=0,"",VLOOKUP(DU$3,Tech_Specs_Infra!$A$216:$C$222,COLUMN(Tech_Specs_Infra!$B$215)-COLUMN(Tech_Specs_Infra!$A$215)+1,FALSE))</f>
        <v>Bus lane</v>
      </c>
      <c r="DV5" s="462" t="str">
        <f>IF(VLOOKUP(DV$3,Tech_Specs_Infra!$A$216:$C$222,COLUMN(Tech_Specs_Infra!$B$215)-COLUMN(Tech_Specs_Infra!$A$215)+1,FALSE)=0,"",VLOOKUP(DV$3,Tech_Specs_Infra!$A$216:$C$222,COLUMN(Tech_Specs_Infra!$B$215)-COLUMN(Tech_Specs_Infra!$A$215)+1,FALSE))</f>
        <v>Bus lane</v>
      </c>
      <c r="DW5" s="462" t="str">
        <f>IF(VLOOKUP(DW$3,Tech_Specs_Infra!$A$216:$C$222,COLUMN(Tech_Specs_Infra!$B$215)-COLUMN(Tech_Specs_Infra!$A$215)+1,FALSE)=0,"",VLOOKUP(DW$3,Tech_Specs_Infra!$A$216:$C$222,COLUMN(Tech_Specs_Infra!$B$215)-COLUMN(Tech_Specs_Infra!$A$215)+1,FALSE))</f>
        <v>Bus lane</v>
      </c>
      <c r="DX5" s="462" t="str">
        <f>IF(VLOOKUP(DX$3,Tech_Specs_Infra!$A$216:$C$222,COLUMN(Tech_Specs_Infra!$B$215)-COLUMN(Tech_Specs_Infra!$A$215)+1,FALSE)=0,"",VLOOKUP(DX$3,Tech_Specs_Infra!$A$216:$C$222,COLUMN(Tech_Specs_Infra!$B$215)-COLUMN(Tech_Specs_Infra!$A$215)+1,FALSE))</f>
        <v>Metro track</v>
      </c>
      <c r="DY5" s="462" t="str">
        <f>IF(VLOOKUP(DY$3,Tech_Specs_Infra!$A$216:$C$222,COLUMN(Tech_Specs_Infra!$B$215)-COLUMN(Tech_Specs_Infra!$A$215)+1,FALSE)=0,"",VLOOKUP(DY$3,Tech_Specs_Infra!$A$216:$C$222,COLUMN(Tech_Specs_Infra!$B$215)-COLUMN(Tech_Specs_Infra!$A$215)+1,FALSE))</f>
        <v>Metro track</v>
      </c>
      <c r="DZ5" s="462" t="str">
        <f>IF(VLOOKUP(DZ$3,Tech_Specs_Infra!$A$216:$C$222,COLUMN(Tech_Specs_Infra!$B$215)-COLUMN(Tech_Specs_Infra!$A$215)+1,FALSE)=0,"",VLOOKUP(DZ$3,Tech_Specs_Infra!$A$216:$C$222,COLUMN(Tech_Specs_Infra!$B$215)-COLUMN(Tech_Specs_Infra!$A$215)+1,FALSE))</f>
        <v>Metro track</v>
      </c>
      <c r="EA5" s="462" t="str">
        <f>IF(VLOOKUP(EA$3,Tech_Specs_Infra!$A$216:$C$222,COLUMN(Tech_Specs_Infra!$B$215)-COLUMN(Tech_Specs_Infra!$A$215)+1,FALSE)=0,"",VLOOKUP(EA$3,Tech_Specs_Infra!$A$216:$C$222,COLUMN(Tech_Specs_Infra!$B$215)-COLUMN(Tech_Specs_Infra!$A$215)+1,FALSE))</f>
        <v>Metro track</v>
      </c>
      <c r="EB5" s="462" t="str">
        <f>IF(VLOOKUP(EB$3,Tech_Specs_Infra!$A$216:$C$222,COLUMN(Tech_Specs_Infra!$B$215)-COLUMN(Tech_Specs_Infra!$A$215)+1,FALSE)=0,"",VLOOKUP(EB$3,Tech_Specs_Infra!$A$216:$C$222,COLUMN(Tech_Specs_Infra!$B$215)-COLUMN(Tech_Specs_Infra!$A$215)+1,FALSE))</f>
        <v>Metro track</v>
      </c>
      <c r="EC5" s="462" t="str">
        <f>IF(VLOOKUP(EC$3,Tech_Specs_Infra!$A$216:$C$222,COLUMN(Tech_Specs_Infra!$B$215)-COLUMN(Tech_Specs_Infra!$A$215)+1,FALSE)=0,"",VLOOKUP(EC$3,Tech_Specs_Infra!$A$216:$C$222,COLUMN(Tech_Specs_Infra!$B$215)-COLUMN(Tech_Specs_Infra!$A$215)+1,FALSE))</f>
        <v>Metro track</v>
      </c>
      <c r="ED5" s="462" t="str">
        <f>IF(VLOOKUP(ED$3,Tech_Specs_Infra!$A$216:$C$222,COLUMN(Tech_Specs_Infra!$B$215)-COLUMN(Tech_Specs_Infra!$A$215)+1,FALSE)=0,"",VLOOKUP(ED$3,Tech_Specs_Infra!$A$216:$C$222,COLUMN(Tech_Specs_Infra!$B$215)-COLUMN(Tech_Specs_Infra!$A$215)+1,FALSE))</f>
        <v>Metro track</v>
      </c>
      <c r="EG5" s="124" t="s">
        <v>82</v>
      </c>
    </row>
    <row r="6" spans="1:138" s="124" customFormat="1" ht="27.6" x14ac:dyDescent="0.3">
      <c r="A6" s="124" t="s">
        <v>798</v>
      </c>
      <c r="D6" s="462" t="str">
        <f>IF(VLOOKUP(D$3,Tech_Specs_Infra!$A$216:$C$222,COLUMN(Tech_Specs_Infra!$C$215)-COLUMN(Tech_Specs_Infra!$A$215)+1,FALSE)=0,"",VLOOKUP(D$3,Tech_Specs_Infra!$A$216:$C$222,COLUMN(Tech_Specs_Infra!$C$215)-COLUMN(Tech_Specs_Infra!$A$215)+1,FALSE))</f>
        <v>Urban road</v>
      </c>
      <c r="E6" s="462" t="str">
        <f>IF(VLOOKUP(E$3,Tech_Specs_Infra!$A$216:$C$222,COLUMN(Tech_Specs_Infra!$C$215)-COLUMN(Tech_Specs_Infra!$A$215)+1,FALSE)=0,"",VLOOKUP(E$3,Tech_Specs_Infra!$A$216:$C$222,COLUMN(Tech_Specs_Infra!$C$215)-COLUMN(Tech_Specs_Infra!$A$215)+1,FALSE))</f>
        <v>Urban road</v>
      </c>
      <c r="F6" s="462" t="str">
        <f>IF(VLOOKUP(F$3,Tech_Specs_Infra!$A$216:$C$222,COLUMN(Tech_Specs_Infra!$C$215)-COLUMN(Tech_Specs_Infra!$A$215)+1,FALSE)=0,"",VLOOKUP(F$3,Tech_Specs_Infra!$A$216:$C$222,COLUMN(Tech_Specs_Infra!$C$215)-COLUMN(Tech_Specs_Infra!$A$215)+1,FALSE))</f>
        <v>Urban road</v>
      </c>
      <c r="G6" s="462" t="str">
        <f>IF(VLOOKUP(G$3,Tech_Specs_Infra!$A$216:$C$222,COLUMN(Tech_Specs_Infra!$C$215)-COLUMN(Tech_Specs_Infra!$A$215)+1,FALSE)=0,"",VLOOKUP(G$3,Tech_Specs_Infra!$A$216:$C$222,COLUMN(Tech_Specs_Infra!$C$215)-COLUMN(Tech_Specs_Infra!$A$215)+1,FALSE))</f>
        <v>Urban road</v>
      </c>
      <c r="H6" s="462" t="str">
        <f>IF(VLOOKUP(H$3,Tech_Specs_Infra!$A$216:$C$222,COLUMN(Tech_Specs_Infra!$C$215)-COLUMN(Tech_Specs_Infra!$A$215)+1,FALSE)=0,"",VLOOKUP(H$3,Tech_Specs_Infra!$A$216:$C$222,COLUMN(Tech_Specs_Infra!$C$215)-COLUMN(Tech_Specs_Infra!$A$215)+1,FALSE))</f>
        <v>Urban road</v>
      </c>
      <c r="I6" s="462" t="str">
        <f>IF(VLOOKUP(I$3,Tech_Specs_Infra!$A$216:$C$222,COLUMN(Tech_Specs_Infra!$C$215)-COLUMN(Tech_Specs_Infra!$A$215)+1,FALSE)=0,"",VLOOKUP(I$3,Tech_Specs_Infra!$A$216:$C$222,COLUMN(Tech_Specs_Infra!$C$215)-COLUMN(Tech_Specs_Infra!$A$215)+1,FALSE))</f>
        <v>Urban road</v>
      </c>
      <c r="J6" s="462" t="str">
        <f>IF(VLOOKUP(J$3,Tech_Specs_Infra!$A$216:$C$222,COLUMN(Tech_Specs_Infra!$C$215)-COLUMN(Tech_Specs_Infra!$A$215)+1,FALSE)=0,"",VLOOKUP(J$3,Tech_Specs_Infra!$A$216:$C$222,COLUMN(Tech_Specs_Infra!$C$215)-COLUMN(Tech_Specs_Infra!$A$215)+1,FALSE))</f>
        <v>Urban road</v>
      </c>
      <c r="K6" s="462" t="str">
        <f>IF(VLOOKUP(K$3,Tech_Specs_Infra!$A$216:$C$222,COLUMN(Tech_Specs_Infra!$C$215)-COLUMN(Tech_Specs_Infra!$A$215)+1,FALSE)=0,"",VLOOKUP(K$3,Tech_Specs_Infra!$A$216:$C$222,COLUMN(Tech_Specs_Infra!$C$215)-COLUMN(Tech_Specs_Infra!$A$215)+1,FALSE))</f>
        <v>Urban road</v>
      </c>
      <c r="L6" s="462" t="str">
        <f>IF(VLOOKUP(L$3,Tech_Specs_Infra!$A$216:$C$222,COLUMN(Tech_Specs_Infra!$C$215)-COLUMN(Tech_Specs_Infra!$A$215)+1,FALSE)=0,"",VLOOKUP(L$3,Tech_Specs_Infra!$A$216:$C$222,COLUMN(Tech_Specs_Infra!$C$215)-COLUMN(Tech_Specs_Infra!$A$215)+1,FALSE))</f>
        <v>Urban road</v>
      </c>
      <c r="M6" s="462" t="str">
        <f>IF(VLOOKUP(M$3,Tech_Specs_Infra!$A$216:$C$222,COLUMN(Tech_Specs_Infra!$C$215)-COLUMN(Tech_Specs_Infra!$A$215)+1,FALSE)=0,"",VLOOKUP(M$3,Tech_Specs_Infra!$A$216:$C$222,COLUMN(Tech_Specs_Infra!$C$215)-COLUMN(Tech_Specs_Infra!$A$215)+1,FALSE))</f>
        <v>Urban road</v>
      </c>
      <c r="N6" s="462" t="str">
        <f>IF(VLOOKUP(N$3,Tech_Specs_Infra!$A$216:$C$222,COLUMN(Tech_Specs_Infra!$C$215)-COLUMN(Tech_Specs_Infra!$A$215)+1,FALSE)=0,"",VLOOKUP(N$3,Tech_Specs_Infra!$A$216:$C$222,COLUMN(Tech_Specs_Infra!$C$215)-COLUMN(Tech_Specs_Infra!$A$215)+1,FALSE))</f>
        <v>Urban road</v>
      </c>
      <c r="O6" s="462" t="str">
        <f>IF(VLOOKUP(O$3,Tech_Specs_Infra!$A$216:$C$222,COLUMN(Tech_Specs_Infra!$C$215)-COLUMN(Tech_Specs_Infra!$A$215)+1,FALSE)=0,"",VLOOKUP(O$3,Tech_Specs_Infra!$A$216:$C$222,COLUMN(Tech_Specs_Infra!$C$215)-COLUMN(Tech_Specs_Infra!$A$215)+1,FALSE))</f>
        <v>Urban road</v>
      </c>
      <c r="P6" s="462" t="str">
        <f>IF(VLOOKUP(P$3,Tech_Specs_Infra!$A$216:$C$222,COLUMN(Tech_Specs_Infra!$C$215)-COLUMN(Tech_Specs_Infra!$A$215)+1,FALSE)=0,"",VLOOKUP(P$3,Tech_Specs_Infra!$A$216:$C$222,COLUMN(Tech_Specs_Infra!$C$215)-COLUMN(Tech_Specs_Infra!$A$215)+1,FALSE))</f>
        <v>Urban road</v>
      </c>
      <c r="Q6" s="462" t="str">
        <f>IF(VLOOKUP(Q$3,Tech_Specs_Infra!$A$216:$C$222,COLUMN(Tech_Specs_Infra!$C$215)-COLUMN(Tech_Specs_Infra!$A$215)+1,FALSE)=0,"",VLOOKUP(Q$3,Tech_Specs_Infra!$A$216:$C$222,COLUMN(Tech_Specs_Infra!$C$215)-COLUMN(Tech_Specs_Infra!$A$215)+1,FALSE))</f>
        <v>Urban road</v>
      </c>
      <c r="R6" s="462" t="str">
        <f>IF(VLOOKUP(R$3,Tech_Specs_Infra!$A$216:$C$222,COLUMN(Tech_Specs_Infra!$C$215)-COLUMN(Tech_Specs_Infra!$A$215)+1,FALSE)=0,"",VLOOKUP(R$3,Tech_Specs_Infra!$A$216:$C$222,COLUMN(Tech_Specs_Infra!$C$215)-COLUMN(Tech_Specs_Infra!$A$215)+1,FALSE))</f>
        <v>Urban road</v>
      </c>
      <c r="S6" s="462" t="str">
        <f>IF(VLOOKUP(S$3,Tech_Specs_Infra!$A$216:$C$222,COLUMN(Tech_Specs_Infra!$C$215)-COLUMN(Tech_Specs_Infra!$A$215)+1,FALSE)=0,"",VLOOKUP(S$3,Tech_Specs_Infra!$A$216:$C$222,COLUMN(Tech_Specs_Infra!$C$215)-COLUMN(Tech_Specs_Infra!$A$215)+1,FALSE))</f>
        <v>Urban road</v>
      </c>
      <c r="T6" s="462" t="str">
        <f>IF(VLOOKUP(T$3,Tech_Specs_Infra!$A$216:$C$222,COLUMN(Tech_Specs_Infra!$C$215)-COLUMN(Tech_Specs_Infra!$A$215)+1,FALSE)=0,"",VLOOKUP(T$3,Tech_Specs_Infra!$A$216:$C$222,COLUMN(Tech_Specs_Infra!$C$215)-COLUMN(Tech_Specs_Infra!$A$215)+1,FALSE))</f>
        <v>Urban road</v>
      </c>
      <c r="U6" s="462" t="str">
        <f>IF(VLOOKUP(U$3,Tech_Specs_Infra!$A$216:$C$222,COLUMN(Tech_Specs_Infra!$C$215)-COLUMN(Tech_Specs_Infra!$A$215)+1,FALSE)=0,"",VLOOKUP(U$3,Tech_Specs_Infra!$A$216:$C$222,COLUMN(Tech_Specs_Infra!$C$215)-COLUMN(Tech_Specs_Infra!$A$215)+1,FALSE))</f>
        <v>Urban road</v>
      </c>
      <c r="V6" s="462" t="str">
        <f>IF(VLOOKUP(V$3,Tech_Specs_Infra!$A$216:$C$222,COLUMN(Tech_Specs_Infra!$C$215)-COLUMN(Tech_Specs_Infra!$A$215)+1,FALSE)=0,"",VLOOKUP(V$3,Tech_Specs_Infra!$A$216:$C$222,COLUMN(Tech_Specs_Infra!$C$215)-COLUMN(Tech_Specs_Infra!$A$215)+1,FALSE))</f>
        <v>Urban road</v>
      </c>
      <c r="W6" s="462" t="str">
        <f>IF(VLOOKUP(W$3,Tech_Specs_Infra!$A$216:$C$222,COLUMN(Tech_Specs_Infra!$C$215)-COLUMN(Tech_Specs_Infra!$A$215)+1,FALSE)=0,"",VLOOKUP(W$3,Tech_Specs_Infra!$A$216:$C$222,COLUMN(Tech_Specs_Infra!$C$215)-COLUMN(Tech_Specs_Infra!$A$215)+1,FALSE))</f>
        <v>Urban road</v>
      </c>
      <c r="X6" s="462" t="str">
        <f>IF(VLOOKUP(X$3,Tech_Specs_Infra!$A$216:$C$222,COLUMN(Tech_Specs_Infra!$C$215)-COLUMN(Tech_Specs_Infra!$A$215)+1,FALSE)=0,"",VLOOKUP(X$3,Tech_Specs_Infra!$A$216:$C$222,COLUMN(Tech_Specs_Infra!$C$215)-COLUMN(Tech_Specs_Infra!$A$215)+1,FALSE))</f>
        <v>Urban road</v>
      </c>
      <c r="Y6" s="462" t="str">
        <f>IF(VLOOKUP(Y$3,Tech_Specs_Infra!$A$216:$C$222,COLUMN(Tech_Specs_Infra!$C$215)-COLUMN(Tech_Specs_Infra!$A$215)+1,FALSE)=0,"",VLOOKUP(Y$3,Tech_Specs_Infra!$A$216:$C$222,COLUMN(Tech_Specs_Infra!$C$215)-COLUMN(Tech_Specs_Infra!$A$215)+1,FALSE))</f>
        <v>Urban road</v>
      </c>
      <c r="Z6" s="462" t="str">
        <f>IF(VLOOKUP(Z$3,Tech_Specs_Infra!$A$216:$C$222,COLUMN(Tech_Specs_Infra!$C$215)-COLUMN(Tech_Specs_Infra!$A$215)+1,FALSE)=0,"",VLOOKUP(Z$3,Tech_Specs_Infra!$A$216:$C$222,COLUMN(Tech_Specs_Infra!$C$215)-COLUMN(Tech_Specs_Infra!$A$215)+1,FALSE))</f>
        <v>Urban road</v>
      </c>
      <c r="AA6" s="462" t="str">
        <f>IF(VLOOKUP(AA$3,Tech_Specs_Infra!$A$216:$C$222,COLUMN(Tech_Specs_Infra!$C$215)-COLUMN(Tech_Specs_Infra!$A$215)+1,FALSE)=0,"",VLOOKUP(AA$3,Tech_Specs_Infra!$A$216:$C$222,COLUMN(Tech_Specs_Infra!$C$215)-COLUMN(Tech_Specs_Infra!$A$215)+1,FALSE))</f>
        <v>Urban road</v>
      </c>
      <c r="AB6" s="462" t="str">
        <f>IF(VLOOKUP(AB$3,Tech_Specs_Infra!$A$216:$C$222,COLUMN(Tech_Specs_Infra!$C$215)-COLUMN(Tech_Specs_Infra!$A$215)+1,FALSE)=0,"",VLOOKUP(AB$3,Tech_Specs_Infra!$A$216:$C$222,COLUMN(Tech_Specs_Infra!$C$215)-COLUMN(Tech_Specs_Infra!$A$215)+1,FALSE))</f>
        <v>Urban road</v>
      </c>
      <c r="AC6" s="462" t="str">
        <f>IF(VLOOKUP(AC$3,Tech_Specs_Infra!$A$216:$C$222,COLUMN(Tech_Specs_Infra!$C$215)-COLUMN(Tech_Specs_Infra!$A$215)+1,FALSE)=0,"",VLOOKUP(AC$3,Tech_Specs_Infra!$A$216:$C$222,COLUMN(Tech_Specs_Infra!$C$215)-COLUMN(Tech_Specs_Infra!$A$215)+1,FALSE))</f>
        <v>Urban road</v>
      </c>
      <c r="AD6" s="462" t="str">
        <f>IF(VLOOKUP(AD$3,Tech_Specs_Infra!$A$216:$C$222,COLUMN(Tech_Specs_Infra!$C$215)-COLUMN(Tech_Specs_Infra!$A$215)+1,FALSE)=0,"",VLOOKUP(AD$3,Tech_Specs_Infra!$A$216:$C$222,COLUMN(Tech_Specs_Infra!$C$215)-COLUMN(Tech_Specs_Infra!$A$215)+1,FALSE))</f>
        <v>Urban road</v>
      </c>
      <c r="AE6" s="462" t="str">
        <f>IF(VLOOKUP(AE$3,Tech_Specs_Infra!$A$216:$C$222,COLUMN(Tech_Specs_Infra!$C$215)-COLUMN(Tech_Specs_Infra!$A$215)+1,FALSE)=0,"",VLOOKUP(AE$3,Tech_Specs_Infra!$A$216:$C$222,COLUMN(Tech_Specs_Infra!$C$215)-COLUMN(Tech_Specs_Infra!$A$215)+1,FALSE))</f>
        <v>Urban road</v>
      </c>
      <c r="AF6" s="462" t="str">
        <f>IF(VLOOKUP(AF$3,Tech_Specs_Infra!$A$216:$C$222,COLUMN(Tech_Specs_Infra!$C$215)-COLUMN(Tech_Specs_Infra!$A$215)+1,FALSE)=0,"",VLOOKUP(AF$3,Tech_Specs_Infra!$A$216:$C$222,COLUMN(Tech_Specs_Infra!$C$215)-COLUMN(Tech_Specs_Infra!$A$215)+1,FALSE))</f>
        <v>Urban road</v>
      </c>
      <c r="AG6" s="462" t="str">
        <f>IF(VLOOKUP(AG$3,Tech_Specs_Infra!$A$216:$C$222,COLUMN(Tech_Specs_Infra!$C$215)-COLUMN(Tech_Specs_Infra!$A$215)+1,FALSE)=0,"",VLOOKUP(AG$3,Tech_Specs_Infra!$A$216:$C$222,COLUMN(Tech_Specs_Infra!$C$215)-COLUMN(Tech_Specs_Infra!$A$215)+1,FALSE))</f>
        <v>Urban road</v>
      </c>
      <c r="AH6" s="462" t="str">
        <f>IF(VLOOKUP(AH$3,Tech_Specs_Infra!$A$216:$C$222,COLUMN(Tech_Specs_Infra!$C$215)-COLUMN(Tech_Specs_Infra!$A$215)+1,FALSE)=0,"",VLOOKUP(AH$3,Tech_Specs_Infra!$A$216:$C$222,COLUMN(Tech_Specs_Infra!$C$215)-COLUMN(Tech_Specs_Infra!$A$215)+1,FALSE))</f>
        <v>Urban road</v>
      </c>
      <c r="AI6" s="462" t="str">
        <f>IF(VLOOKUP(AI$3,Tech_Specs_Infra!$A$216:$C$222,COLUMN(Tech_Specs_Infra!$C$215)-COLUMN(Tech_Specs_Infra!$A$215)+1,FALSE)=0,"",VLOOKUP(AI$3,Tech_Specs_Infra!$A$216:$C$222,COLUMN(Tech_Specs_Infra!$C$215)-COLUMN(Tech_Specs_Infra!$A$215)+1,FALSE))</f>
        <v>Urban road</v>
      </c>
      <c r="AJ6" s="462" t="str">
        <f>IF(VLOOKUP(AJ$3,Tech_Specs_Infra!$A$216:$C$222,COLUMN(Tech_Specs_Infra!$C$215)-COLUMN(Tech_Specs_Infra!$A$215)+1,FALSE)=0,"",VLOOKUP(AJ$3,Tech_Specs_Infra!$A$216:$C$222,COLUMN(Tech_Specs_Infra!$C$215)-COLUMN(Tech_Specs_Infra!$A$215)+1,FALSE))</f>
        <v>Urban road</v>
      </c>
      <c r="AK6" s="462" t="str">
        <f>IF(VLOOKUP(AK$3,Tech_Specs_Infra!$A$216:$C$222,COLUMN(Tech_Specs_Infra!$C$215)-COLUMN(Tech_Specs_Infra!$A$215)+1,FALSE)=0,"",VLOOKUP(AK$3,Tech_Specs_Infra!$A$216:$C$222,COLUMN(Tech_Specs_Infra!$C$215)-COLUMN(Tech_Specs_Infra!$A$215)+1,FALSE))</f>
        <v/>
      </c>
      <c r="AL6" s="462" t="str">
        <f>IF(VLOOKUP(AL$3,Tech_Specs_Infra!$A$216:$C$222,COLUMN(Tech_Specs_Infra!$C$215)-COLUMN(Tech_Specs_Infra!$A$215)+1,FALSE)=0,"",VLOOKUP(AL$3,Tech_Specs_Infra!$A$216:$C$222,COLUMN(Tech_Specs_Infra!$C$215)-COLUMN(Tech_Specs_Infra!$A$215)+1,FALSE))</f>
        <v/>
      </c>
      <c r="AM6" s="462" t="str">
        <f>IF(VLOOKUP(AM$3,Tech_Specs_Infra!$A$216:$C$222,COLUMN(Tech_Specs_Infra!$C$215)-COLUMN(Tech_Specs_Infra!$A$215)+1,FALSE)=0,"",VLOOKUP(AM$3,Tech_Specs_Infra!$A$216:$C$222,COLUMN(Tech_Specs_Infra!$C$215)-COLUMN(Tech_Specs_Infra!$A$215)+1,FALSE))</f>
        <v/>
      </c>
      <c r="AN6" s="462" t="str">
        <f>IF(VLOOKUP(AN$3,Tech_Specs_Infra!$A$216:$C$222,COLUMN(Tech_Specs_Infra!$C$215)-COLUMN(Tech_Specs_Infra!$A$215)+1,FALSE)=0,"",VLOOKUP(AN$3,Tech_Specs_Infra!$A$216:$C$222,COLUMN(Tech_Specs_Infra!$C$215)-COLUMN(Tech_Specs_Infra!$A$215)+1,FALSE))</f>
        <v/>
      </c>
      <c r="AO6" s="462" t="str">
        <f>IF(VLOOKUP(AO$3,Tech_Specs_Infra!$A$216:$C$222,COLUMN(Tech_Specs_Infra!$C$215)-COLUMN(Tech_Specs_Infra!$A$215)+1,FALSE)=0,"",VLOOKUP(AO$3,Tech_Specs_Infra!$A$216:$C$222,COLUMN(Tech_Specs_Infra!$C$215)-COLUMN(Tech_Specs_Infra!$A$215)+1,FALSE))</f>
        <v/>
      </c>
      <c r="AP6" s="462" t="str">
        <f>IF(VLOOKUP(AP$3,Tech_Specs_Infra!$A$216:$C$222,COLUMN(Tech_Specs_Infra!$C$215)-COLUMN(Tech_Specs_Infra!$A$215)+1,FALSE)=0,"",VLOOKUP(AP$3,Tech_Specs_Infra!$A$216:$C$222,COLUMN(Tech_Specs_Infra!$C$215)-COLUMN(Tech_Specs_Infra!$A$215)+1,FALSE))</f>
        <v/>
      </c>
      <c r="AQ6" s="462" t="str">
        <f>IF(VLOOKUP(AQ$3,Tech_Specs_Infra!$A$216:$C$222,COLUMN(Tech_Specs_Infra!$C$215)-COLUMN(Tech_Specs_Infra!$A$215)+1,FALSE)=0,"",VLOOKUP(AQ$3,Tech_Specs_Infra!$A$216:$C$222,COLUMN(Tech_Specs_Infra!$C$215)-COLUMN(Tech_Specs_Infra!$A$215)+1,FALSE))</f>
        <v/>
      </c>
      <c r="AR6" s="462" t="str">
        <f>IF(VLOOKUP(AR$3,Tech_Specs_Infra!$A$216:$C$222,COLUMN(Tech_Specs_Infra!$C$215)-COLUMN(Tech_Specs_Infra!$A$215)+1,FALSE)=0,"",VLOOKUP(AR$3,Tech_Specs_Infra!$A$216:$C$222,COLUMN(Tech_Specs_Infra!$C$215)-COLUMN(Tech_Specs_Infra!$A$215)+1,FALSE))</f>
        <v/>
      </c>
      <c r="AS6" s="462" t="str">
        <f>IF(VLOOKUP(AS$3,Tech_Specs_Infra!$A$216:$C$222,COLUMN(Tech_Specs_Infra!$C$215)-COLUMN(Tech_Specs_Infra!$A$215)+1,FALSE)=0,"",VLOOKUP(AS$3,Tech_Specs_Infra!$A$216:$C$222,COLUMN(Tech_Specs_Infra!$C$215)-COLUMN(Tech_Specs_Infra!$A$215)+1,FALSE))</f>
        <v/>
      </c>
      <c r="AT6" s="462" t="str">
        <f>IF(VLOOKUP(AT$3,Tech_Specs_Infra!$A$216:$C$222,COLUMN(Tech_Specs_Infra!$C$215)-COLUMN(Tech_Specs_Infra!$A$215)+1,FALSE)=0,"",VLOOKUP(AT$3,Tech_Specs_Infra!$A$216:$C$222,COLUMN(Tech_Specs_Infra!$C$215)-COLUMN(Tech_Specs_Infra!$A$215)+1,FALSE))</f>
        <v/>
      </c>
      <c r="AU6" s="462" t="str">
        <f>IF(VLOOKUP(AU$3,Tech_Specs_Infra!$A$216:$C$222,COLUMN(Tech_Specs_Infra!$C$215)-COLUMN(Tech_Specs_Infra!$A$215)+1,FALSE)=0,"",VLOOKUP(AU$3,Tech_Specs_Infra!$A$216:$C$222,COLUMN(Tech_Specs_Infra!$C$215)-COLUMN(Tech_Specs_Infra!$A$215)+1,FALSE))</f>
        <v/>
      </c>
      <c r="AV6" s="462" t="str">
        <f>IF(VLOOKUP(AV$3,Tech_Specs_Infra!$A$216:$C$222,COLUMN(Tech_Specs_Infra!$C$215)-COLUMN(Tech_Specs_Infra!$A$215)+1,FALSE)=0,"",VLOOKUP(AV$3,Tech_Specs_Infra!$A$216:$C$222,COLUMN(Tech_Specs_Infra!$C$215)-COLUMN(Tech_Specs_Infra!$A$215)+1,FALSE))</f>
        <v/>
      </c>
      <c r="AW6" s="462" t="str">
        <f>IF(VLOOKUP(AW$3,Tech_Specs_Infra!$A$216:$C$222,COLUMN(Tech_Specs_Infra!$C$215)-COLUMN(Tech_Specs_Infra!$A$215)+1,FALSE)=0,"",VLOOKUP(AW$3,Tech_Specs_Infra!$A$216:$C$222,COLUMN(Tech_Specs_Infra!$C$215)-COLUMN(Tech_Specs_Infra!$A$215)+1,FALSE))</f>
        <v/>
      </c>
      <c r="AX6" s="462" t="str">
        <f>IF(VLOOKUP(AX$3,Tech_Specs_Infra!$A$216:$C$222,COLUMN(Tech_Specs_Infra!$C$215)-COLUMN(Tech_Specs_Infra!$A$215)+1,FALSE)=0,"",VLOOKUP(AX$3,Tech_Specs_Infra!$A$216:$C$222,COLUMN(Tech_Specs_Infra!$C$215)-COLUMN(Tech_Specs_Infra!$A$215)+1,FALSE))</f>
        <v/>
      </c>
      <c r="AY6" s="462" t="str">
        <f>IF(VLOOKUP(AY$3,Tech_Specs_Infra!$A$216:$C$222,COLUMN(Tech_Specs_Infra!$C$215)-COLUMN(Tech_Specs_Infra!$A$215)+1,FALSE)=0,"",VLOOKUP(AY$3,Tech_Specs_Infra!$A$216:$C$222,COLUMN(Tech_Specs_Infra!$C$215)-COLUMN(Tech_Specs_Infra!$A$215)+1,FALSE))</f>
        <v/>
      </c>
      <c r="AZ6" s="462" t="str">
        <f>IF(VLOOKUP(AZ$3,Tech_Specs_Infra!$A$216:$C$222,COLUMN(Tech_Specs_Infra!$C$215)-COLUMN(Tech_Specs_Infra!$A$215)+1,FALSE)=0,"",VLOOKUP(AZ$3,Tech_Specs_Infra!$A$216:$C$222,COLUMN(Tech_Specs_Infra!$C$215)-COLUMN(Tech_Specs_Infra!$A$215)+1,FALSE))</f>
        <v/>
      </c>
      <c r="BA6" s="462" t="str">
        <f>IF(VLOOKUP(BA$3,Tech_Specs_Infra!$A$216:$C$222,COLUMN(Tech_Specs_Infra!$C$215)-COLUMN(Tech_Specs_Infra!$A$215)+1,FALSE)=0,"",VLOOKUP(BA$3,Tech_Specs_Infra!$A$216:$C$222,COLUMN(Tech_Specs_Infra!$C$215)-COLUMN(Tech_Specs_Infra!$A$215)+1,FALSE))</f>
        <v/>
      </c>
      <c r="BB6" s="462" t="str">
        <f>IF(VLOOKUP(BB$3,Tech_Specs_Infra!$A$216:$C$222,COLUMN(Tech_Specs_Infra!$C$215)-COLUMN(Tech_Specs_Infra!$A$215)+1,FALSE)=0,"",VLOOKUP(BB$3,Tech_Specs_Infra!$A$216:$C$222,COLUMN(Tech_Specs_Infra!$C$215)-COLUMN(Tech_Specs_Infra!$A$215)+1,FALSE))</f>
        <v/>
      </c>
      <c r="BC6" s="462" t="str">
        <f>IF(VLOOKUP(BC$3,Tech_Specs_Infra!$A$216:$C$222,COLUMN(Tech_Specs_Infra!$C$215)-COLUMN(Tech_Specs_Infra!$A$215)+1,FALSE)=0,"",VLOOKUP(BC$3,Tech_Specs_Infra!$A$216:$C$222,COLUMN(Tech_Specs_Infra!$C$215)-COLUMN(Tech_Specs_Infra!$A$215)+1,FALSE))</f>
        <v/>
      </c>
      <c r="BD6" s="462" t="str">
        <f>IF(VLOOKUP(BD$3,Tech_Specs_Infra!$A$216:$C$222,COLUMN(Tech_Specs_Infra!$C$215)-COLUMN(Tech_Specs_Infra!$A$215)+1,FALSE)=0,"",VLOOKUP(BD$3,Tech_Specs_Infra!$A$216:$C$222,COLUMN(Tech_Specs_Infra!$C$215)-COLUMN(Tech_Specs_Infra!$A$215)+1,FALSE))</f>
        <v/>
      </c>
      <c r="BE6" s="462" t="str">
        <f>IF(VLOOKUP(BE$3,Tech_Specs_Infra!$A$216:$C$222,COLUMN(Tech_Specs_Infra!$C$215)-COLUMN(Tech_Specs_Infra!$A$215)+1,FALSE)=0,"",VLOOKUP(BE$3,Tech_Specs_Infra!$A$216:$C$222,COLUMN(Tech_Specs_Infra!$C$215)-COLUMN(Tech_Specs_Infra!$A$215)+1,FALSE))</f>
        <v/>
      </c>
      <c r="BF6" s="462" t="str">
        <f>IF(VLOOKUP(BF$3,Tech_Specs_Infra!$A$216:$C$222,COLUMN(Tech_Specs_Infra!$C$215)-COLUMN(Tech_Specs_Infra!$A$215)+1,FALSE)=0,"",VLOOKUP(BF$3,Tech_Specs_Infra!$A$216:$C$222,COLUMN(Tech_Specs_Infra!$C$215)-COLUMN(Tech_Specs_Infra!$A$215)+1,FALSE))</f>
        <v/>
      </c>
      <c r="BG6" s="462" t="str">
        <f>IF(VLOOKUP(BG$3,Tech_Specs_Infra!$A$216:$C$222,COLUMN(Tech_Specs_Infra!$C$215)-COLUMN(Tech_Specs_Infra!$A$215)+1,FALSE)=0,"",VLOOKUP(BG$3,Tech_Specs_Infra!$A$216:$C$222,COLUMN(Tech_Specs_Infra!$C$215)-COLUMN(Tech_Specs_Infra!$A$215)+1,FALSE))</f>
        <v/>
      </c>
      <c r="BH6" s="462" t="str">
        <f>IF(VLOOKUP(BH$3,Tech_Specs_Infra!$A$216:$C$222,COLUMN(Tech_Specs_Infra!$C$215)-COLUMN(Tech_Specs_Infra!$A$215)+1,FALSE)=0,"",VLOOKUP(BH$3,Tech_Specs_Infra!$A$216:$C$222,COLUMN(Tech_Specs_Infra!$C$215)-COLUMN(Tech_Specs_Infra!$A$215)+1,FALSE))</f>
        <v/>
      </c>
      <c r="BI6" s="462" t="str">
        <f>IF(VLOOKUP(BI$3,Tech_Specs_Infra!$A$216:$C$222,COLUMN(Tech_Specs_Infra!$C$215)-COLUMN(Tech_Specs_Infra!$A$215)+1,FALSE)=0,"",VLOOKUP(BI$3,Tech_Specs_Infra!$A$216:$C$222,COLUMN(Tech_Specs_Infra!$C$215)-COLUMN(Tech_Specs_Infra!$A$215)+1,FALSE))</f>
        <v/>
      </c>
      <c r="BJ6" s="462" t="str">
        <f>IF(VLOOKUP(BJ$3,Tech_Specs_Infra!$A$216:$C$222,COLUMN(Tech_Specs_Infra!$C$215)-COLUMN(Tech_Specs_Infra!$A$215)+1,FALSE)=0,"",VLOOKUP(BJ$3,Tech_Specs_Infra!$A$216:$C$222,COLUMN(Tech_Specs_Infra!$C$215)-COLUMN(Tech_Specs_Infra!$A$215)+1,FALSE))</f>
        <v/>
      </c>
      <c r="BK6" s="462" t="str">
        <f>IF(VLOOKUP(BK$3,Tech_Specs_Infra!$A$216:$C$222,COLUMN(Tech_Specs_Infra!$C$215)-COLUMN(Tech_Specs_Infra!$A$215)+1,FALSE)=0,"",VLOOKUP(BK$3,Tech_Specs_Infra!$A$216:$C$222,COLUMN(Tech_Specs_Infra!$C$215)-COLUMN(Tech_Specs_Infra!$A$215)+1,FALSE))</f>
        <v/>
      </c>
      <c r="BL6" s="462" t="str">
        <f>IF(VLOOKUP(BL$3,Tech_Specs_Infra!$A$216:$C$222,COLUMN(Tech_Specs_Infra!$C$215)-COLUMN(Tech_Specs_Infra!$A$215)+1,FALSE)=0,"",VLOOKUP(BL$3,Tech_Specs_Infra!$A$216:$C$222,COLUMN(Tech_Specs_Infra!$C$215)-COLUMN(Tech_Specs_Infra!$A$215)+1,FALSE))</f>
        <v/>
      </c>
      <c r="BM6" s="462" t="str">
        <f>IF(VLOOKUP(BM$3,Tech_Specs_Infra!$A$216:$C$222,COLUMN(Tech_Specs_Infra!$C$215)-COLUMN(Tech_Specs_Infra!$A$215)+1,FALSE)=0,"",VLOOKUP(BM$3,Tech_Specs_Infra!$A$216:$C$222,COLUMN(Tech_Specs_Infra!$C$215)-COLUMN(Tech_Specs_Infra!$A$215)+1,FALSE))</f>
        <v/>
      </c>
      <c r="BN6" s="462" t="str">
        <f>IF(VLOOKUP(BN$3,Tech_Specs_Infra!$A$216:$C$222,COLUMN(Tech_Specs_Infra!$C$215)-COLUMN(Tech_Specs_Infra!$A$215)+1,FALSE)=0,"",VLOOKUP(BN$3,Tech_Specs_Infra!$A$216:$C$222,COLUMN(Tech_Specs_Infra!$C$215)-COLUMN(Tech_Specs_Infra!$A$215)+1,FALSE))</f>
        <v/>
      </c>
      <c r="BO6" s="462" t="str">
        <f>IF(VLOOKUP(BO$3,Tech_Specs_Infra!$A$216:$C$222,COLUMN(Tech_Specs_Infra!$C$215)-COLUMN(Tech_Specs_Infra!$A$215)+1,FALSE)=0,"",VLOOKUP(BO$3,Tech_Specs_Infra!$A$216:$C$222,COLUMN(Tech_Specs_Infra!$C$215)-COLUMN(Tech_Specs_Infra!$A$215)+1,FALSE))</f>
        <v/>
      </c>
      <c r="BP6" s="462" t="str">
        <f>IF(VLOOKUP(BP$3,Tech_Specs_Infra!$A$216:$C$222,COLUMN(Tech_Specs_Infra!$C$215)-COLUMN(Tech_Specs_Infra!$A$215)+1,FALSE)=0,"",VLOOKUP(BP$3,Tech_Specs_Infra!$A$216:$C$222,COLUMN(Tech_Specs_Infra!$C$215)-COLUMN(Tech_Specs_Infra!$A$215)+1,FALSE))</f>
        <v/>
      </c>
      <c r="BQ6" s="462" t="str">
        <f>IF(VLOOKUP(BQ$3,Tech_Specs_Infra!$A$216:$C$222,COLUMN(Tech_Specs_Infra!$C$215)-COLUMN(Tech_Specs_Infra!$A$215)+1,FALSE)=0,"",VLOOKUP(BQ$3,Tech_Specs_Infra!$A$216:$C$222,COLUMN(Tech_Specs_Infra!$C$215)-COLUMN(Tech_Specs_Infra!$A$215)+1,FALSE))</f>
        <v/>
      </c>
      <c r="BR6" s="462" t="str">
        <f>IF(VLOOKUP(BR$3,Tech_Specs_Infra!$A$216:$C$222,COLUMN(Tech_Specs_Infra!$C$215)-COLUMN(Tech_Specs_Infra!$A$215)+1,FALSE)=0,"",VLOOKUP(BR$3,Tech_Specs_Infra!$A$216:$C$222,COLUMN(Tech_Specs_Infra!$C$215)-COLUMN(Tech_Specs_Infra!$A$215)+1,FALSE))</f>
        <v/>
      </c>
      <c r="BS6" s="462" t="str">
        <f>IF(VLOOKUP(BS$3,Tech_Specs_Infra!$A$216:$C$222,COLUMN(Tech_Specs_Infra!$C$215)-COLUMN(Tech_Specs_Infra!$A$215)+1,FALSE)=0,"",VLOOKUP(BS$3,Tech_Specs_Infra!$A$216:$C$222,COLUMN(Tech_Specs_Infra!$C$215)-COLUMN(Tech_Specs_Infra!$A$215)+1,FALSE))</f>
        <v/>
      </c>
      <c r="BT6" s="462" t="str">
        <f>IF(VLOOKUP(BT$3,Tech_Specs_Infra!$A$216:$C$222,COLUMN(Tech_Specs_Infra!$C$215)-COLUMN(Tech_Specs_Infra!$A$215)+1,FALSE)=0,"",VLOOKUP(BT$3,Tech_Specs_Infra!$A$216:$C$222,COLUMN(Tech_Specs_Infra!$C$215)-COLUMN(Tech_Specs_Infra!$A$215)+1,FALSE))</f>
        <v/>
      </c>
      <c r="BU6" s="462" t="str">
        <f>IF(VLOOKUP(BU$3,Tech_Specs_Infra!$A$216:$C$222,COLUMN(Tech_Specs_Infra!$C$215)-COLUMN(Tech_Specs_Infra!$A$215)+1,FALSE)=0,"",VLOOKUP(BU$3,Tech_Specs_Infra!$A$216:$C$222,COLUMN(Tech_Specs_Infra!$C$215)-COLUMN(Tech_Specs_Infra!$A$215)+1,FALSE))</f>
        <v/>
      </c>
      <c r="BV6" s="462" t="str">
        <f>IF(VLOOKUP(BV$3,Tech_Specs_Infra!$A$216:$C$222,COLUMN(Tech_Specs_Infra!$C$215)-COLUMN(Tech_Specs_Infra!$A$215)+1,FALSE)=0,"",VLOOKUP(BV$3,Tech_Specs_Infra!$A$216:$C$222,COLUMN(Tech_Specs_Infra!$C$215)-COLUMN(Tech_Specs_Infra!$A$215)+1,FALSE))</f>
        <v/>
      </c>
      <c r="BW6" s="462" t="str">
        <f>IF(VLOOKUP(BW$3,Tech_Specs_Infra!$A$216:$C$222,COLUMN(Tech_Specs_Infra!$C$215)-COLUMN(Tech_Specs_Infra!$A$215)+1,FALSE)=0,"",VLOOKUP(BW$3,Tech_Specs_Infra!$A$216:$C$222,COLUMN(Tech_Specs_Infra!$C$215)-COLUMN(Tech_Specs_Infra!$A$215)+1,FALSE))</f>
        <v/>
      </c>
      <c r="BX6" s="462" t="str">
        <f>IF(VLOOKUP(BX$3,Tech_Specs_Infra!$A$216:$C$222,COLUMN(Tech_Specs_Infra!$C$215)-COLUMN(Tech_Specs_Infra!$A$215)+1,FALSE)=0,"",VLOOKUP(BX$3,Tech_Specs_Infra!$A$216:$C$222,COLUMN(Tech_Specs_Infra!$C$215)-COLUMN(Tech_Specs_Infra!$A$215)+1,FALSE))</f>
        <v/>
      </c>
      <c r="BY6" s="462" t="str">
        <f>IF(VLOOKUP(BY$3,Tech_Specs_Infra!$A$216:$C$222,COLUMN(Tech_Specs_Infra!$C$215)-COLUMN(Tech_Specs_Infra!$A$215)+1,FALSE)=0,"",VLOOKUP(BY$3,Tech_Specs_Infra!$A$216:$C$222,COLUMN(Tech_Specs_Infra!$C$215)-COLUMN(Tech_Specs_Infra!$A$215)+1,FALSE))</f>
        <v/>
      </c>
      <c r="BZ6" s="462" t="str">
        <f>IF(VLOOKUP(BZ$3,Tech_Specs_Infra!$A$216:$C$222,COLUMN(Tech_Specs_Infra!$C$215)-COLUMN(Tech_Specs_Infra!$A$215)+1,FALSE)=0,"",VLOOKUP(BZ$3,Tech_Specs_Infra!$A$216:$C$222,COLUMN(Tech_Specs_Infra!$C$215)-COLUMN(Tech_Specs_Infra!$A$215)+1,FALSE))</f>
        <v/>
      </c>
      <c r="CA6" s="462" t="str">
        <f>IF(VLOOKUP(CA$3,Tech_Specs_Infra!$A$216:$C$222,COLUMN(Tech_Specs_Infra!$C$215)-COLUMN(Tech_Specs_Infra!$A$215)+1,FALSE)=0,"",VLOOKUP(CA$3,Tech_Specs_Infra!$A$216:$C$222,COLUMN(Tech_Specs_Infra!$C$215)-COLUMN(Tech_Specs_Infra!$A$215)+1,FALSE))</f>
        <v/>
      </c>
      <c r="CB6" s="462" t="str">
        <f>IF(VLOOKUP(CB$3,Tech_Specs_Infra!$A$216:$C$222,COLUMN(Tech_Specs_Infra!$C$215)-COLUMN(Tech_Specs_Infra!$A$215)+1,FALSE)=0,"",VLOOKUP(CB$3,Tech_Specs_Infra!$A$216:$C$222,COLUMN(Tech_Specs_Infra!$C$215)-COLUMN(Tech_Specs_Infra!$A$215)+1,FALSE))</f>
        <v/>
      </c>
      <c r="CC6" s="462" t="str">
        <f>IF(VLOOKUP(CC$3,Tech_Specs_Infra!$A$216:$C$222,COLUMN(Tech_Specs_Infra!$C$215)-COLUMN(Tech_Specs_Infra!$A$215)+1,FALSE)=0,"",VLOOKUP(CC$3,Tech_Specs_Infra!$A$216:$C$222,COLUMN(Tech_Specs_Infra!$C$215)-COLUMN(Tech_Specs_Infra!$A$215)+1,FALSE))</f>
        <v/>
      </c>
      <c r="CD6" s="462" t="str">
        <f>IF(VLOOKUP(CD$3,Tech_Specs_Infra!$A$216:$C$222,COLUMN(Tech_Specs_Infra!$C$215)-COLUMN(Tech_Specs_Infra!$A$215)+1,FALSE)=0,"",VLOOKUP(CD$3,Tech_Specs_Infra!$A$216:$C$222,COLUMN(Tech_Specs_Infra!$C$215)-COLUMN(Tech_Specs_Infra!$A$215)+1,FALSE))</f>
        <v/>
      </c>
      <c r="CE6" s="462" t="str">
        <f>IF(VLOOKUP(CE$3,Tech_Specs_Infra!$A$216:$C$222,COLUMN(Tech_Specs_Infra!$C$215)-COLUMN(Tech_Specs_Infra!$A$215)+1,FALSE)=0,"",VLOOKUP(CE$3,Tech_Specs_Infra!$A$216:$C$222,COLUMN(Tech_Specs_Infra!$C$215)-COLUMN(Tech_Specs_Infra!$A$215)+1,FALSE))</f>
        <v/>
      </c>
      <c r="CF6" s="462" t="str">
        <f>IF(VLOOKUP(CF$3,Tech_Specs_Infra!$A$216:$C$222,COLUMN(Tech_Specs_Infra!$C$215)-COLUMN(Tech_Specs_Infra!$A$215)+1,FALSE)=0,"",VLOOKUP(CF$3,Tech_Specs_Infra!$A$216:$C$222,COLUMN(Tech_Specs_Infra!$C$215)-COLUMN(Tech_Specs_Infra!$A$215)+1,FALSE))</f>
        <v/>
      </c>
      <c r="CG6" s="462" t="str">
        <f>IF(VLOOKUP(CG$3,Tech_Specs_Infra!$A$216:$C$222,COLUMN(Tech_Specs_Infra!$C$215)-COLUMN(Tech_Specs_Infra!$A$215)+1,FALSE)=0,"",VLOOKUP(CG$3,Tech_Specs_Infra!$A$216:$C$222,COLUMN(Tech_Specs_Infra!$C$215)-COLUMN(Tech_Specs_Infra!$A$215)+1,FALSE))</f>
        <v/>
      </c>
      <c r="CH6" s="462" t="str">
        <f>IF(VLOOKUP(CH$3,Tech_Specs_Infra!$A$216:$C$222,COLUMN(Tech_Specs_Infra!$C$215)-COLUMN(Tech_Specs_Infra!$A$215)+1,FALSE)=0,"",VLOOKUP(CH$3,Tech_Specs_Infra!$A$216:$C$222,COLUMN(Tech_Specs_Infra!$C$215)-COLUMN(Tech_Specs_Infra!$A$215)+1,FALSE))</f>
        <v/>
      </c>
      <c r="CI6" s="462" t="str">
        <f>IF(VLOOKUP(CI$3,Tech_Specs_Infra!$A$216:$C$222,COLUMN(Tech_Specs_Infra!$C$215)-COLUMN(Tech_Specs_Infra!$A$215)+1,FALSE)=0,"",VLOOKUP(CI$3,Tech_Specs_Infra!$A$216:$C$222,COLUMN(Tech_Specs_Infra!$C$215)-COLUMN(Tech_Specs_Infra!$A$215)+1,FALSE))</f>
        <v/>
      </c>
      <c r="CJ6" s="462" t="str">
        <f>IF(VLOOKUP(CJ$3,Tech_Specs_Infra!$A$216:$C$222,COLUMN(Tech_Specs_Infra!$C$215)-COLUMN(Tech_Specs_Infra!$A$215)+1,FALSE)=0,"",VLOOKUP(CJ$3,Tech_Specs_Infra!$A$216:$C$222,COLUMN(Tech_Specs_Infra!$C$215)-COLUMN(Tech_Specs_Infra!$A$215)+1,FALSE))</f>
        <v/>
      </c>
      <c r="CK6" s="462" t="str">
        <f>IF(VLOOKUP(CK$3,Tech_Specs_Infra!$A$216:$C$222,COLUMN(Tech_Specs_Infra!$C$215)-COLUMN(Tech_Specs_Infra!$A$215)+1,FALSE)=0,"",VLOOKUP(CK$3,Tech_Specs_Infra!$A$216:$C$222,COLUMN(Tech_Specs_Infra!$C$215)-COLUMN(Tech_Specs_Infra!$A$215)+1,FALSE))</f>
        <v/>
      </c>
      <c r="CL6" s="462" t="str">
        <f>IF(VLOOKUP(CL$3,Tech_Specs_Infra!$A$216:$C$222,COLUMN(Tech_Specs_Infra!$C$215)-COLUMN(Tech_Specs_Infra!$A$215)+1,FALSE)=0,"",VLOOKUP(CL$3,Tech_Specs_Infra!$A$216:$C$222,COLUMN(Tech_Specs_Infra!$C$215)-COLUMN(Tech_Specs_Infra!$A$215)+1,FALSE))</f>
        <v/>
      </c>
      <c r="CM6" s="462" t="str">
        <f>IF(VLOOKUP(CM$3,Tech_Specs_Infra!$A$216:$C$222,COLUMN(Tech_Specs_Infra!$C$215)-COLUMN(Tech_Specs_Infra!$A$215)+1,FALSE)=0,"",VLOOKUP(CM$3,Tech_Specs_Infra!$A$216:$C$222,COLUMN(Tech_Specs_Infra!$C$215)-COLUMN(Tech_Specs_Infra!$A$215)+1,FALSE))</f>
        <v/>
      </c>
      <c r="CN6" s="462" t="str">
        <f>IF(VLOOKUP(CN$3,Tech_Specs_Infra!$A$216:$C$222,COLUMN(Tech_Specs_Infra!$C$215)-COLUMN(Tech_Specs_Infra!$A$215)+1,FALSE)=0,"",VLOOKUP(CN$3,Tech_Specs_Infra!$A$216:$C$222,COLUMN(Tech_Specs_Infra!$C$215)-COLUMN(Tech_Specs_Infra!$A$215)+1,FALSE))</f>
        <v/>
      </c>
      <c r="CO6" s="462" t="str">
        <f>IF(VLOOKUP(CO$3,Tech_Specs_Infra!$A$216:$C$222,COLUMN(Tech_Specs_Infra!$C$215)-COLUMN(Tech_Specs_Infra!$A$215)+1,FALSE)=0,"",VLOOKUP(CO$3,Tech_Specs_Infra!$A$216:$C$222,COLUMN(Tech_Specs_Infra!$C$215)-COLUMN(Tech_Specs_Infra!$A$215)+1,FALSE))</f>
        <v/>
      </c>
      <c r="CP6" s="462" t="str">
        <f>IF(VLOOKUP(CP$3,Tech_Specs_Infra!$A$216:$C$222,COLUMN(Tech_Specs_Infra!$C$215)-COLUMN(Tech_Specs_Infra!$A$215)+1,FALSE)=0,"",VLOOKUP(CP$3,Tech_Specs_Infra!$A$216:$C$222,COLUMN(Tech_Specs_Infra!$C$215)-COLUMN(Tech_Specs_Infra!$A$215)+1,FALSE))</f>
        <v/>
      </c>
      <c r="CQ6" s="462" t="str">
        <f>IF(VLOOKUP(CQ$3,Tech_Specs_Infra!$A$216:$C$222,COLUMN(Tech_Specs_Infra!$C$215)-COLUMN(Tech_Specs_Infra!$A$215)+1,FALSE)=0,"",VLOOKUP(CQ$3,Tech_Specs_Infra!$A$216:$C$222,COLUMN(Tech_Specs_Infra!$C$215)-COLUMN(Tech_Specs_Infra!$A$215)+1,FALSE))</f>
        <v/>
      </c>
      <c r="CR6" s="462" t="str">
        <f>IF(VLOOKUP(CR$3,Tech_Specs_Infra!$A$216:$C$222,COLUMN(Tech_Specs_Infra!$C$215)-COLUMN(Tech_Specs_Infra!$A$215)+1,FALSE)=0,"",VLOOKUP(CR$3,Tech_Specs_Infra!$A$216:$C$222,COLUMN(Tech_Specs_Infra!$C$215)-COLUMN(Tech_Specs_Infra!$A$215)+1,FALSE))</f>
        <v/>
      </c>
      <c r="CS6" s="462" t="str">
        <f>IF(VLOOKUP(CS$3,Tech_Specs_Infra!$A$216:$C$222,COLUMN(Tech_Specs_Infra!$C$215)-COLUMN(Tech_Specs_Infra!$A$215)+1,FALSE)=0,"",VLOOKUP(CS$3,Tech_Specs_Infra!$A$216:$C$222,COLUMN(Tech_Specs_Infra!$C$215)-COLUMN(Tech_Specs_Infra!$A$215)+1,FALSE))</f>
        <v/>
      </c>
      <c r="CT6" s="462" t="str">
        <f>IF(VLOOKUP(CT$3,Tech_Specs_Infra!$A$216:$C$222,COLUMN(Tech_Specs_Infra!$C$215)-COLUMN(Tech_Specs_Infra!$A$215)+1,FALSE)=0,"",VLOOKUP(CT$3,Tech_Specs_Infra!$A$216:$C$222,COLUMN(Tech_Specs_Infra!$C$215)-COLUMN(Tech_Specs_Infra!$A$215)+1,FALSE))</f>
        <v/>
      </c>
      <c r="CU6" s="462" t="str">
        <f>IF(VLOOKUP(CU$3,Tech_Specs_Infra!$A$216:$C$222,COLUMN(Tech_Specs_Infra!$C$215)-COLUMN(Tech_Specs_Infra!$A$215)+1,FALSE)=0,"",VLOOKUP(CU$3,Tech_Specs_Infra!$A$216:$C$222,COLUMN(Tech_Specs_Infra!$C$215)-COLUMN(Tech_Specs_Infra!$A$215)+1,FALSE))</f>
        <v/>
      </c>
      <c r="CV6" s="462" t="str">
        <f>IF(VLOOKUP(CV$3,Tech_Specs_Infra!$A$216:$C$222,COLUMN(Tech_Specs_Infra!$C$215)-COLUMN(Tech_Specs_Infra!$A$215)+1,FALSE)=0,"",VLOOKUP(CV$3,Tech_Specs_Infra!$A$216:$C$222,COLUMN(Tech_Specs_Infra!$C$215)-COLUMN(Tech_Specs_Infra!$A$215)+1,FALSE))</f>
        <v/>
      </c>
      <c r="CW6" s="462" t="str">
        <f>IF(VLOOKUP(CW$3,Tech_Specs_Infra!$A$216:$C$222,COLUMN(Tech_Specs_Infra!$C$215)-COLUMN(Tech_Specs_Infra!$A$215)+1,FALSE)=0,"",VLOOKUP(CW$3,Tech_Specs_Infra!$A$216:$C$222,COLUMN(Tech_Specs_Infra!$C$215)-COLUMN(Tech_Specs_Infra!$A$215)+1,FALSE))</f>
        <v/>
      </c>
      <c r="CX6" s="462" t="str">
        <f>IF(VLOOKUP(CX$3,Tech_Specs_Infra!$A$216:$C$222,COLUMN(Tech_Specs_Infra!$C$215)-COLUMN(Tech_Specs_Infra!$A$215)+1,FALSE)=0,"",VLOOKUP(CX$3,Tech_Specs_Infra!$A$216:$C$222,COLUMN(Tech_Specs_Infra!$C$215)-COLUMN(Tech_Specs_Infra!$A$215)+1,FALSE))</f>
        <v/>
      </c>
      <c r="CY6" s="462" t="str">
        <f>IF(VLOOKUP(CY$3,Tech_Specs_Infra!$A$216:$C$222,COLUMN(Tech_Specs_Infra!$C$215)-COLUMN(Tech_Specs_Infra!$A$215)+1,FALSE)=0,"",VLOOKUP(CY$3,Tech_Specs_Infra!$A$216:$C$222,COLUMN(Tech_Specs_Infra!$C$215)-COLUMN(Tech_Specs_Infra!$A$215)+1,FALSE))</f>
        <v/>
      </c>
      <c r="CZ6" s="462" t="str">
        <f>IF(VLOOKUP(CZ$3,Tech_Specs_Infra!$A$216:$C$222,COLUMN(Tech_Specs_Infra!$C$215)-COLUMN(Tech_Specs_Infra!$A$215)+1,FALSE)=0,"",VLOOKUP(CZ$3,Tech_Specs_Infra!$A$216:$C$222,COLUMN(Tech_Specs_Infra!$C$215)-COLUMN(Tech_Specs_Infra!$A$215)+1,FALSE))</f>
        <v/>
      </c>
      <c r="DA6" s="462" t="str">
        <f>IF(VLOOKUP(DA$3,Tech_Specs_Infra!$A$216:$C$222,COLUMN(Tech_Specs_Infra!$C$215)-COLUMN(Tech_Specs_Infra!$A$215)+1,FALSE)=0,"",VLOOKUP(DA$3,Tech_Specs_Infra!$A$216:$C$222,COLUMN(Tech_Specs_Infra!$C$215)-COLUMN(Tech_Specs_Infra!$A$215)+1,FALSE))</f>
        <v/>
      </c>
      <c r="DB6" s="462" t="str">
        <f>IF(VLOOKUP(DB$3,Tech_Specs_Infra!$A$216:$C$222,COLUMN(Tech_Specs_Infra!$C$215)-COLUMN(Tech_Specs_Infra!$A$215)+1,FALSE)=0,"",VLOOKUP(DB$3,Tech_Specs_Infra!$A$216:$C$222,COLUMN(Tech_Specs_Infra!$C$215)-COLUMN(Tech_Specs_Infra!$A$215)+1,FALSE))</f>
        <v/>
      </c>
      <c r="DC6" s="462" t="str">
        <f>IF(VLOOKUP(DC$3,Tech_Specs_Infra!$A$216:$C$222,COLUMN(Tech_Specs_Infra!$C$215)-COLUMN(Tech_Specs_Infra!$A$215)+1,FALSE)=0,"",VLOOKUP(DC$3,Tech_Specs_Infra!$A$216:$C$222,COLUMN(Tech_Specs_Infra!$C$215)-COLUMN(Tech_Specs_Infra!$A$215)+1,FALSE))</f>
        <v/>
      </c>
      <c r="DD6" s="462" t="str">
        <f>IF(VLOOKUP(DD$3,Tech_Specs_Infra!$A$216:$C$222,COLUMN(Tech_Specs_Infra!$C$215)-COLUMN(Tech_Specs_Infra!$A$215)+1,FALSE)=0,"",VLOOKUP(DD$3,Tech_Specs_Infra!$A$216:$C$222,COLUMN(Tech_Specs_Infra!$C$215)-COLUMN(Tech_Specs_Infra!$A$215)+1,FALSE))</f>
        <v/>
      </c>
      <c r="DE6" s="462" t="str">
        <f>IF(VLOOKUP(DE$3,Tech_Specs_Infra!$A$216:$C$222,COLUMN(Tech_Specs_Infra!$C$215)-COLUMN(Tech_Specs_Infra!$A$215)+1,FALSE)=0,"",VLOOKUP(DE$3,Tech_Specs_Infra!$A$216:$C$222,COLUMN(Tech_Specs_Infra!$C$215)-COLUMN(Tech_Specs_Infra!$A$215)+1,FALSE))</f>
        <v/>
      </c>
      <c r="DF6" s="462" t="str">
        <f>IF(VLOOKUP(DF$3,Tech_Specs_Infra!$A$216:$C$222,COLUMN(Tech_Specs_Infra!$C$215)-COLUMN(Tech_Specs_Infra!$A$215)+1,FALSE)=0,"",VLOOKUP(DF$3,Tech_Specs_Infra!$A$216:$C$222,COLUMN(Tech_Specs_Infra!$C$215)-COLUMN(Tech_Specs_Infra!$A$215)+1,FALSE))</f>
        <v/>
      </c>
      <c r="DG6" s="462"/>
      <c r="DH6" s="462" t="str">
        <f>IF(VLOOKUP(DH$3,Tech_Specs_Infra!$A$216:$C$222,COLUMN(Tech_Specs_Infra!$C$215)-COLUMN(Tech_Specs_Infra!$A$215)+1,FALSE)=0,"",VLOOKUP(DH$3,Tech_Specs_Infra!$A$216:$C$222,COLUMN(Tech_Specs_Infra!$C$215)-COLUMN(Tech_Specs_Infra!$A$215)+1,FALSE))</f>
        <v/>
      </c>
      <c r="DI6" s="462" t="str">
        <f>IF(VLOOKUP(DI$3,Tech_Specs_Infra!$A$216:$C$222,COLUMN(Tech_Specs_Infra!$C$215)-COLUMN(Tech_Specs_Infra!$A$215)+1,FALSE)=0,"",VLOOKUP(DI$3,Tech_Specs_Infra!$A$216:$C$222,COLUMN(Tech_Specs_Infra!$C$215)-COLUMN(Tech_Specs_Infra!$A$215)+1,FALSE))</f>
        <v/>
      </c>
      <c r="DJ6" s="462" t="str">
        <f>IF(VLOOKUP(DJ$3,Tech_Specs_Infra!$A$216:$C$222,COLUMN(Tech_Specs_Infra!$C$215)-COLUMN(Tech_Specs_Infra!$A$215)+1,FALSE)=0,"",VLOOKUP(DJ$3,Tech_Specs_Infra!$A$216:$C$222,COLUMN(Tech_Specs_Infra!$C$215)-COLUMN(Tech_Specs_Infra!$A$215)+1,FALSE))</f>
        <v/>
      </c>
      <c r="DK6" s="462" t="str">
        <f>IF(VLOOKUP(DK$3,Tech_Specs_Infra!$A$216:$C$222,COLUMN(Tech_Specs_Infra!$C$215)-COLUMN(Tech_Specs_Infra!$A$215)+1,FALSE)=0,"",VLOOKUP(DK$3,Tech_Specs_Infra!$A$216:$C$222,COLUMN(Tech_Specs_Infra!$C$215)-COLUMN(Tech_Specs_Infra!$A$215)+1,FALSE))</f>
        <v>Urban road</v>
      </c>
      <c r="DL6" s="462" t="str">
        <f>IF(VLOOKUP(DL$3,Tech_Specs_Infra!$A$216:$C$222,COLUMN(Tech_Specs_Infra!$C$215)-COLUMN(Tech_Specs_Infra!$A$215)+1,FALSE)=0,"",VLOOKUP(DL$3,Tech_Specs_Infra!$A$216:$C$222,COLUMN(Tech_Specs_Infra!$C$215)-COLUMN(Tech_Specs_Infra!$A$215)+1,FALSE))</f>
        <v>Urban road</v>
      </c>
      <c r="DM6" s="462" t="str">
        <f>IF(VLOOKUP(DM$3,Tech_Specs_Infra!$A$216:$C$222,COLUMN(Tech_Specs_Infra!$C$215)-COLUMN(Tech_Specs_Infra!$A$215)+1,FALSE)=0,"",VLOOKUP(DM$3,Tech_Specs_Infra!$A$216:$C$222,COLUMN(Tech_Specs_Infra!$C$215)-COLUMN(Tech_Specs_Infra!$A$215)+1,FALSE))</f>
        <v>Urban road</v>
      </c>
      <c r="DN6" s="462" t="str">
        <f>IF(VLOOKUP(DN$3,Tech_Specs_Infra!$A$216:$C$222,COLUMN(Tech_Specs_Infra!$C$215)-COLUMN(Tech_Specs_Infra!$A$215)+1,FALSE)=0,"",VLOOKUP(DN$3,Tech_Specs_Infra!$A$216:$C$222,COLUMN(Tech_Specs_Infra!$C$215)-COLUMN(Tech_Specs_Infra!$A$215)+1,FALSE))</f>
        <v>Urban road</v>
      </c>
      <c r="DO6" s="462" t="str">
        <f>IF(VLOOKUP(DO$3,Tech_Specs_Infra!$A$216:$C$222,COLUMN(Tech_Specs_Infra!$C$215)-COLUMN(Tech_Specs_Infra!$A$215)+1,FALSE)=0,"",VLOOKUP(DO$3,Tech_Specs_Infra!$A$216:$C$222,COLUMN(Tech_Specs_Infra!$C$215)-COLUMN(Tech_Specs_Infra!$A$215)+1,FALSE))</f>
        <v>Urban road</v>
      </c>
      <c r="DP6" s="462" t="str">
        <f>IF(VLOOKUP(DP$3,Tech_Specs_Infra!$A$216:$C$222,COLUMN(Tech_Specs_Infra!$C$215)-COLUMN(Tech_Specs_Infra!$A$215)+1,FALSE)=0,"",VLOOKUP(DP$3,Tech_Specs_Infra!$A$216:$C$222,COLUMN(Tech_Specs_Infra!$C$215)-COLUMN(Tech_Specs_Infra!$A$215)+1,FALSE))</f>
        <v>Urban road</v>
      </c>
      <c r="DQ6" s="462" t="str">
        <f>IF(VLOOKUP(DQ$3,Tech_Specs_Infra!$A$216:$C$222,COLUMN(Tech_Specs_Infra!$C$215)-COLUMN(Tech_Specs_Infra!$A$215)+1,FALSE)=0,"",VLOOKUP(DQ$3,Tech_Specs_Infra!$A$216:$C$222,COLUMN(Tech_Specs_Infra!$C$215)-COLUMN(Tech_Specs_Infra!$A$215)+1,FALSE))</f>
        <v>Urban road</v>
      </c>
      <c r="DR6" s="462" t="str">
        <f>IF(VLOOKUP(DR$3,Tech_Specs_Infra!$A$216:$C$222,COLUMN(Tech_Specs_Infra!$C$215)-COLUMN(Tech_Specs_Infra!$A$215)+1,FALSE)=0,"",VLOOKUP(DR$3,Tech_Specs_Infra!$A$216:$C$222,COLUMN(Tech_Specs_Infra!$C$215)-COLUMN(Tech_Specs_Infra!$A$215)+1,FALSE))</f>
        <v>Urban road</v>
      </c>
      <c r="DS6" s="462" t="str">
        <f>IF(VLOOKUP(DS$3,Tech_Specs_Infra!$A$216:$C$222,COLUMN(Tech_Specs_Infra!$C$215)-COLUMN(Tech_Specs_Infra!$A$215)+1,FALSE)=0,"",VLOOKUP(DS$3,Tech_Specs_Infra!$A$216:$C$222,COLUMN(Tech_Specs_Infra!$C$215)-COLUMN(Tech_Specs_Infra!$A$215)+1,FALSE))</f>
        <v>Urban road</v>
      </c>
      <c r="DT6" s="462" t="str">
        <f>IF(VLOOKUP(DT$3,Tech_Specs_Infra!$A$216:$C$222,COLUMN(Tech_Specs_Infra!$C$215)-COLUMN(Tech_Specs_Infra!$A$215)+1,FALSE)=0,"",VLOOKUP(DT$3,Tech_Specs_Infra!$A$216:$C$222,COLUMN(Tech_Specs_Infra!$C$215)-COLUMN(Tech_Specs_Infra!$A$215)+1,FALSE))</f>
        <v>Urban road</v>
      </c>
      <c r="DU6" s="462" t="str">
        <f>IF(VLOOKUP(DU$3,Tech_Specs_Infra!$A$216:$C$222,COLUMN(Tech_Specs_Infra!$C$215)-COLUMN(Tech_Specs_Infra!$A$215)+1,FALSE)=0,"",VLOOKUP(DU$3,Tech_Specs_Infra!$A$216:$C$222,COLUMN(Tech_Specs_Infra!$C$215)-COLUMN(Tech_Specs_Infra!$A$215)+1,FALSE))</f>
        <v>Urban road</v>
      </c>
      <c r="DV6" s="462" t="str">
        <f>IF(VLOOKUP(DV$3,Tech_Specs_Infra!$A$216:$C$222,COLUMN(Tech_Specs_Infra!$C$215)-COLUMN(Tech_Specs_Infra!$A$215)+1,FALSE)=0,"",VLOOKUP(DV$3,Tech_Specs_Infra!$A$216:$C$222,COLUMN(Tech_Specs_Infra!$C$215)-COLUMN(Tech_Specs_Infra!$A$215)+1,FALSE))</f>
        <v>Urban road</v>
      </c>
      <c r="DW6" s="462" t="str">
        <f>IF(VLOOKUP(DW$3,Tech_Specs_Infra!$A$216:$C$222,COLUMN(Tech_Specs_Infra!$C$215)-COLUMN(Tech_Specs_Infra!$A$215)+1,FALSE)=0,"",VLOOKUP(DW$3,Tech_Specs_Infra!$A$216:$C$222,COLUMN(Tech_Specs_Infra!$C$215)-COLUMN(Tech_Specs_Infra!$A$215)+1,FALSE))</f>
        <v>Urban road</v>
      </c>
      <c r="DX6" s="462" t="str">
        <f>IF(VLOOKUP(DX$3,Tech_Specs_Infra!$A$216:$C$222,COLUMN(Tech_Specs_Infra!$C$215)-COLUMN(Tech_Specs_Infra!$A$215)+1,FALSE)=0,"",VLOOKUP(DX$3,Tech_Specs_Infra!$A$216:$C$222,COLUMN(Tech_Specs_Infra!$C$215)-COLUMN(Tech_Specs_Infra!$A$215)+1,FALSE))</f>
        <v/>
      </c>
      <c r="DY6" s="462" t="str">
        <f>IF(VLOOKUP(DY$3,Tech_Specs_Infra!$A$216:$C$222,COLUMN(Tech_Specs_Infra!$C$215)-COLUMN(Tech_Specs_Infra!$A$215)+1,FALSE)=0,"",VLOOKUP(DY$3,Tech_Specs_Infra!$A$216:$C$222,COLUMN(Tech_Specs_Infra!$C$215)-COLUMN(Tech_Specs_Infra!$A$215)+1,FALSE))</f>
        <v/>
      </c>
      <c r="DZ6" s="462" t="str">
        <f>IF(VLOOKUP(DZ$3,Tech_Specs_Infra!$A$216:$C$222,COLUMN(Tech_Specs_Infra!$C$215)-COLUMN(Tech_Specs_Infra!$A$215)+1,FALSE)=0,"",VLOOKUP(DZ$3,Tech_Specs_Infra!$A$216:$C$222,COLUMN(Tech_Specs_Infra!$C$215)-COLUMN(Tech_Specs_Infra!$A$215)+1,FALSE))</f>
        <v/>
      </c>
      <c r="EA6" s="462" t="str">
        <f>IF(VLOOKUP(EA$3,Tech_Specs_Infra!$A$216:$C$222,COLUMN(Tech_Specs_Infra!$C$215)-COLUMN(Tech_Specs_Infra!$A$215)+1,FALSE)=0,"",VLOOKUP(EA$3,Tech_Specs_Infra!$A$216:$C$222,COLUMN(Tech_Specs_Infra!$C$215)-COLUMN(Tech_Specs_Infra!$A$215)+1,FALSE))</f>
        <v/>
      </c>
      <c r="EB6" s="462" t="str">
        <f>IF(VLOOKUP(EB$3,Tech_Specs_Infra!$A$216:$C$222,COLUMN(Tech_Specs_Infra!$C$215)-COLUMN(Tech_Specs_Infra!$A$215)+1,FALSE)=0,"",VLOOKUP(EB$3,Tech_Specs_Infra!$A$216:$C$222,COLUMN(Tech_Specs_Infra!$C$215)-COLUMN(Tech_Specs_Infra!$A$215)+1,FALSE))</f>
        <v/>
      </c>
      <c r="EC6" s="462" t="str">
        <f>IF(VLOOKUP(EC$3,Tech_Specs_Infra!$A$216:$C$222,COLUMN(Tech_Specs_Infra!$C$215)-COLUMN(Tech_Specs_Infra!$A$215)+1,FALSE)=0,"",VLOOKUP(EC$3,Tech_Specs_Infra!$A$216:$C$222,COLUMN(Tech_Specs_Infra!$C$215)-COLUMN(Tech_Specs_Infra!$A$215)+1,FALSE))</f>
        <v/>
      </c>
      <c r="ED6" s="462" t="str">
        <f>IF(VLOOKUP(ED$3,Tech_Specs_Infra!$A$216:$C$222,COLUMN(Tech_Specs_Infra!$C$215)-COLUMN(Tech_Specs_Infra!$A$215)+1,FALSE)=0,"",VLOOKUP(ED$3,Tech_Specs_Infra!$A$216:$C$222,COLUMN(Tech_Specs_Infra!$C$215)-COLUMN(Tech_Specs_Infra!$A$215)+1,FALSE))</f>
        <v/>
      </c>
      <c r="EG6" s="262" t="s">
        <v>912</v>
      </c>
    </row>
    <row r="7" spans="1:138" x14ac:dyDescent="0.3">
      <c r="A7" s="21" t="s">
        <v>799</v>
      </c>
      <c r="B7" s="21" t="s">
        <v>118</v>
      </c>
      <c r="D7" s="263">
        <f>VLOOKUP(D$3,Tech_Specs_Infra!$A$216:$E$222,COLUMN(Tech_Specs_Infra!$D$215)-COLUMN(Tech_Specs_Infra!$A$215)+1,FALSE)</f>
        <v>0.2</v>
      </c>
      <c r="E7" s="263">
        <f>VLOOKUP(E$3,Tech_Specs_Infra!$A$216:$E$222,COLUMN(Tech_Specs_Infra!$D$215)-COLUMN(Tech_Specs_Infra!$A$215)+1,FALSE)</f>
        <v>0.2</v>
      </c>
      <c r="F7" s="263">
        <f>VLOOKUP(F$3,Tech_Specs_Infra!$A$216:$E$222,COLUMN(Tech_Specs_Infra!$D$215)-COLUMN(Tech_Specs_Infra!$A$215)+1,FALSE)</f>
        <v>0.2</v>
      </c>
      <c r="G7" s="263">
        <f>VLOOKUP(G$3,Tech_Specs_Infra!$A$216:$E$222,COLUMN(Tech_Specs_Infra!$D$215)-COLUMN(Tech_Specs_Infra!$A$215)+1,FALSE)</f>
        <v>0.2</v>
      </c>
      <c r="H7" s="263">
        <f>VLOOKUP(H$3,Tech_Specs_Infra!$A$216:$E$222,COLUMN(Tech_Specs_Infra!$D$215)-COLUMN(Tech_Specs_Infra!$A$215)+1,FALSE)</f>
        <v>0.2</v>
      </c>
      <c r="I7" s="263">
        <f>VLOOKUP(I$3,Tech_Specs_Infra!$A$216:$E$222,COLUMN(Tech_Specs_Infra!$D$215)-COLUMN(Tech_Specs_Infra!$A$215)+1,FALSE)</f>
        <v>0.2</v>
      </c>
      <c r="J7" s="263">
        <f>VLOOKUP(J$3,Tech_Specs_Infra!$A$216:$E$222,COLUMN(Tech_Specs_Infra!$D$215)-COLUMN(Tech_Specs_Infra!$A$215)+1,FALSE)</f>
        <v>0.2</v>
      </c>
      <c r="K7" s="263">
        <f>VLOOKUP(K$3,Tech_Specs_Infra!$A$216:$E$222,COLUMN(Tech_Specs_Infra!$D$215)-COLUMN(Tech_Specs_Infra!$A$215)+1,FALSE)</f>
        <v>0.2</v>
      </c>
      <c r="L7" s="263">
        <f>VLOOKUP(L$3,Tech_Specs_Infra!$A$216:$E$222,COLUMN(Tech_Specs_Infra!$D$215)-COLUMN(Tech_Specs_Infra!$A$215)+1,FALSE)</f>
        <v>0.2</v>
      </c>
      <c r="M7" s="263">
        <f>VLOOKUP(M$3,Tech_Specs_Infra!$A$216:$E$222,COLUMN(Tech_Specs_Infra!$D$215)-COLUMN(Tech_Specs_Infra!$A$215)+1,FALSE)</f>
        <v>0.2</v>
      </c>
      <c r="N7" s="263">
        <f>VLOOKUP(N$3,Tech_Specs_Infra!$A$216:$E$222,COLUMN(Tech_Specs_Infra!$D$215)-COLUMN(Tech_Specs_Infra!$A$215)+1,FALSE)</f>
        <v>0.2</v>
      </c>
      <c r="O7" s="263">
        <f>VLOOKUP(O$3,Tech_Specs_Infra!$A$216:$E$222,COLUMN(Tech_Specs_Infra!$D$215)-COLUMN(Tech_Specs_Infra!$A$215)+1,FALSE)</f>
        <v>0.2</v>
      </c>
      <c r="P7" s="263">
        <f>VLOOKUP(P$3,Tech_Specs_Infra!$A$216:$E$222,COLUMN(Tech_Specs_Infra!$D$215)-COLUMN(Tech_Specs_Infra!$A$215)+1,FALSE)</f>
        <v>0.2</v>
      </c>
      <c r="Q7" s="263">
        <f>VLOOKUP(Q$3,Tech_Specs_Infra!$A$216:$E$222,COLUMN(Tech_Specs_Infra!$D$215)-COLUMN(Tech_Specs_Infra!$A$215)+1,FALSE)</f>
        <v>0.2</v>
      </c>
      <c r="R7" s="263">
        <f>VLOOKUP(R$3,Tech_Specs_Infra!$A$216:$E$222,COLUMN(Tech_Specs_Infra!$D$215)-COLUMN(Tech_Specs_Infra!$A$215)+1,FALSE)</f>
        <v>0.2</v>
      </c>
      <c r="S7" s="263">
        <f>VLOOKUP(S$3,Tech_Specs_Infra!$A$216:$E$222,COLUMN(Tech_Specs_Infra!$D$215)-COLUMN(Tech_Specs_Infra!$A$215)+1,FALSE)</f>
        <v>0.2</v>
      </c>
      <c r="T7" s="263">
        <f>VLOOKUP(T$3,Tech_Specs_Infra!$A$216:$E$222,COLUMN(Tech_Specs_Infra!$D$215)-COLUMN(Tech_Specs_Infra!$A$215)+1,FALSE)</f>
        <v>0.2</v>
      </c>
      <c r="U7" s="263">
        <f>VLOOKUP(U$3,Tech_Specs_Infra!$A$216:$E$222,COLUMN(Tech_Specs_Infra!$D$215)-COLUMN(Tech_Specs_Infra!$A$215)+1,FALSE)</f>
        <v>0.2</v>
      </c>
      <c r="V7" s="263">
        <f>VLOOKUP(V$3,Tech_Specs_Infra!$A$216:$E$222,COLUMN(Tech_Specs_Infra!$D$215)-COLUMN(Tech_Specs_Infra!$A$215)+1,FALSE)</f>
        <v>0.2</v>
      </c>
      <c r="W7" s="263">
        <f>VLOOKUP(W$3,Tech_Specs_Infra!$A$216:$E$222,COLUMN(Tech_Specs_Infra!$D$215)-COLUMN(Tech_Specs_Infra!$A$215)+1,FALSE)</f>
        <v>0.2</v>
      </c>
      <c r="X7" s="263">
        <f>VLOOKUP(X$3,Tech_Specs_Infra!$A$216:$E$222,COLUMN(Tech_Specs_Infra!$D$215)-COLUMN(Tech_Specs_Infra!$A$215)+1,FALSE)</f>
        <v>0.2</v>
      </c>
      <c r="Y7" s="263">
        <f>VLOOKUP(Y$3,Tech_Specs_Infra!$A$216:$E$222,COLUMN(Tech_Specs_Infra!$D$215)-COLUMN(Tech_Specs_Infra!$A$215)+1,FALSE)</f>
        <v>0.2</v>
      </c>
      <c r="Z7" s="263">
        <f>VLOOKUP(Z$3,Tech_Specs_Infra!$A$216:$E$222,COLUMN(Tech_Specs_Infra!$D$215)-COLUMN(Tech_Specs_Infra!$A$215)+1,FALSE)</f>
        <v>0.2</v>
      </c>
      <c r="AA7" s="263">
        <f>VLOOKUP(AA$3,Tech_Specs_Infra!$A$216:$E$222,COLUMN(Tech_Specs_Infra!$D$215)-COLUMN(Tech_Specs_Infra!$A$215)+1,FALSE)</f>
        <v>0.2</v>
      </c>
      <c r="AB7" s="263">
        <f>VLOOKUP(AB$3,Tech_Specs_Infra!$A$216:$E$222,COLUMN(Tech_Specs_Infra!$D$215)-COLUMN(Tech_Specs_Infra!$A$215)+1,FALSE)</f>
        <v>0.2</v>
      </c>
      <c r="AC7" s="263">
        <f>VLOOKUP(AC$3,Tech_Specs_Infra!$A$216:$E$222,COLUMN(Tech_Specs_Infra!$D$215)-COLUMN(Tech_Specs_Infra!$A$215)+1,FALSE)</f>
        <v>0.2</v>
      </c>
      <c r="AD7" s="263">
        <f>VLOOKUP(AD$3,Tech_Specs_Infra!$A$216:$E$222,COLUMN(Tech_Specs_Infra!$D$215)-COLUMN(Tech_Specs_Infra!$A$215)+1,FALSE)</f>
        <v>0.2</v>
      </c>
      <c r="AE7" s="263">
        <f>VLOOKUP(AE$3,Tech_Specs_Infra!$A$216:$E$222,COLUMN(Tech_Specs_Infra!$D$215)-COLUMN(Tech_Specs_Infra!$A$215)+1,FALSE)</f>
        <v>0.2</v>
      </c>
      <c r="AF7" s="263">
        <f>VLOOKUP(AF$3,Tech_Specs_Infra!$A$216:$E$222,COLUMN(Tech_Specs_Infra!$D$215)-COLUMN(Tech_Specs_Infra!$A$215)+1,FALSE)</f>
        <v>0.2</v>
      </c>
      <c r="AG7" s="263">
        <f>VLOOKUP(AG$3,Tech_Specs_Infra!$A$216:$E$222,COLUMN(Tech_Specs_Infra!$D$215)-COLUMN(Tech_Specs_Infra!$A$215)+1,FALSE)</f>
        <v>0.2</v>
      </c>
      <c r="AH7" s="263">
        <f>VLOOKUP(AH$3,Tech_Specs_Infra!$A$216:$E$222,COLUMN(Tech_Specs_Infra!$D$215)-COLUMN(Tech_Specs_Infra!$A$215)+1,FALSE)</f>
        <v>0.2</v>
      </c>
      <c r="AI7" s="263">
        <f>VLOOKUP(AI$3,Tech_Specs_Infra!$A$216:$E$222,COLUMN(Tech_Specs_Infra!$D$215)-COLUMN(Tech_Specs_Infra!$A$215)+1,FALSE)</f>
        <v>0.2</v>
      </c>
      <c r="AJ7" s="263">
        <f>VLOOKUP(AJ$3,Tech_Specs_Infra!$A$216:$E$222,COLUMN(Tech_Specs_Infra!$D$215)-COLUMN(Tech_Specs_Infra!$A$215)+1,FALSE)</f>
        <v>0.2</v>
      </c>
      <c r="AK7" s="263">
        <f>VLOOKUP(AK$3,Tech_Specs_Infra!$A$216:$E$222,COLUMN(Tech_Specs_Infra!$D$215)-COLUMN(Tech_Specs_Infra!$A$215)+1,FALSE)</f>
        <v>1</v>
      </c>
      <c r="AL7" s="263">
        <f>VLOOKUP(AL$3,Tech_Specs_Infra!$A$216:$E$222,COLUMN(Tech_Specs_Infra!$D$215)-COLUMN(Tech_Specs_Infra!$A$215)+1,FALSE)</f>
        <v>1</v>
      </c>
      <c r="AM7" s="263">
        <f>VLOOKUP(AM$3,Tech_Specs_Infra!$A$216:$E$222,COLUMN(Tech_Specs_Infra!$D$215)-COLUMN(Tech_Specs_Infra!$A$215)+1,FALSE)</f>
        <v>1</v>
      </c>
      <c r="AN7" s="263">
        <f>VLOOKUP(AN$3,Tech_Specs_Infra!$A$216:$E$222,COLUMN(Tech_Specs_Infra!$D$215)-COLUMN(Tech_Specs_Infra!$A$215)+1,FALSE)</f>
        <v>1</v>
      </c>
      <c r="AO7" s="263">
        <f>VLOOKUP(AO$3,Tech_Specs_Infra!$A$216:$E$222,COLUMN(Tech_Specs_Infra!$D$215)-COLUMN(Tech_Specs_Infra!$A$215)+1,FALSE)</f>
        <v>1</v>
      </c>
      <c r="AP7" s="263">
        <f>VLOOKUP(AP$3,Tech_Specs_Infra!$A$216:$E$222,COLUMN(Tech_Specs_Infra!$D$215)-COLUMN(Tech_Specs_Infra!$A$215)+1,FALSE)</f>
        <v>1</v>
      </c>
      <c r="AQ7" s="263">
        <f>VLOOKUP(AQ$3,Tech_Specs_Infra!$A$216:$E$222,COLUMN(Tech_Specs_Infra!$D$215)-COLUMN(Tech_Specs_Infra!$A$215)+1,FALSE)</f>
        <v>1</v>
      </c>
      <c r="AR7" s="263">
        <f>VLOOKUP(AR$3,Tech_Specs_Infra!$A$216:$E$222,COLUMN(Tech_Specs_Infra!$D$215)-COLUMN(Tech_Specs_Infra!$A$215)+1,FALSE)</f>
        <v>1</v>
      </c>
      <c r="AS7" s="263">
        <f>VLOOKUP(AS$3,Tech_Specs_Infra!$A$216:$E$222,COLUMN(Tech_Specs_Infra!$D$215)-COLUMN(Tech_Specs_Infra!$A$215)+1,FALSE)</f>
        <v>1</v>
      </c>
      <c r="AT7" s="263">
        <f>VLOOKUP(AT$3,Tech_Specs_Infra!$A$216:$E$222,COLUMN(Tech_Specs_Infra!$D$215)-COLUMN(Tech_Specs_Infra!$A$215)+1,FALSE)</f>
        <v>1</v>
      </c>
      <c r="AU7" s="263">
        <f>VLOOKUP(AU$3,Tech_Specs_Infra!$A$216:$E$222,COLUMN(Tech_Specs_Infra!$D$215)-COLUMN(Tech_Specs_Infra!$A$215)+1,FALSE)</f>
        <v>1</v>
      </c>
      <c r="AV7" s="263">
        <f>VLOOKUP(AV$3,Tech_Specs_Infra!$A$216:$E$222,COLUMN(Tech_Specs_Infra!$D$215)-COLUMN(Tech_Specs_Infra!$A$215)+1,FALSE)</f>
        <v>1</v>
      </c>
      <c r="AW7" s="263">
        <f>VLOOKUP(AW$3,Tech_Specs_Infra!$A$216:$E$222,COLUMN(Tech_Specs_Infra!$D$215)-COLUMN(Tech_Specs_Infra!$A$215)+1,FALSE)</f>
        <v>1</v>
      </c>
      <c r="AX7" s="263">
        <f>VLOOKUP(AX$3,Tech_Specs_Infra!$A$216:$E$222,COLUMN(Tech_Specs_Infra!$D$215)-COLUMN(Tech_Specs_Infra!$A$215)+1,FALSE)</f>
        <v>1</v>
      </c>
      <c r="AY7" s="263">
        <f>VLOOKUP(AY$3,Tech_Specs_Infra!$A$216:$E$222,COLUMN(Tech_Specs_Infra!$D$215)-COLUMN(Tech_Specs_Infra!$A$215)+1,FALSE)</f>
        <v>1</v>
      </c>
      <c r="AZ7" s="263">
        <f>VLOOKUP(AZ$3,Tech_Specs_Infra!$A$216:$E$222,COLUMN(Tech_Specs_Infra!$D$215)-COLUMN(Tech_Specs_Infra!$A$215)+1,FALSE)</f>
        <v>1</v>
      </c>
      <c r="BA7" s="263">
        <f>VLOOKUP(BA$3,Tech_Specs_Infra!$A$216:$E$222,COLUMN(Tech_Specs_Infra!$D$215)-COLUMN(Tech_Specs_Infra!$A$215)+1,FALSE)</f>
        <v>1</v>
      </c>
      <c r="BB7" s="263">
        <f>VLOOKUP(BB$3,Tech_Specs_Infra!$A$216:$E$222,COLUMN(Tech_Specs_Infra!$D$215)-COLUMN(Tech_Specs_Infra!$A$215)+1,FALSE)</f>
        <v>1</v>
      </c>
      <c r="BC7" s="263">
        <f>VLOOKUP(BC$3,Tech_Specs_Infra!$A$216:$E$222,COLUMN(Tech_Specs_Infra!$D$215)-COLUMN(Tech_Specs_Infra!$A$215)+1,FALSE)</f>
        <v>1</v>
      </c>
      <c r="BD7" s="263">
        <f>VLOOKUP(BD$3,Tech_Specs_Infra!$A$216:$E$222,COLUMN(Tech_Specs_Infra!$D$215)-COLUMN(Tech_Specs_Infra!$A$215)+1,FALSE)</f>
        <v>1</v>
      </c>
      <c r="BE7" s="263">
        <f>VLOOKUP(BE$3,Tech_Specs_Infra!$A$216:$E$222,COLUMN(Tech_Specs_Infra!$D$215)-COLUMN(Tech_Specs_Infra!$A$215)+1,FALSE)</f>
        <v>1</v>
      </c>
      <c r="BF7" s="263">
        <f>VLOOKUP(BF$3,Tech_Specs_Infra!$A$216:$E$222,COLUMN(Tech_Specs_Infra!$D$215)-COLUMN(Tech_Specs_Infra!$A$215)+1,FALSE)</f>
        <v>1</v>
      </c>
      <c r="BG7" s="263">
        <f>VLOOKUP(BG$3,Tech_Specs_Infra!$A$216:$E$222,COLUMN(Tech_Specs_Infra!$D$215)-COLUMN(Tech_Specs_Infra!$A$215)+1,FALSE)</f>
        <v>1</v>
      </c>
      <c r="BH7" s="263">
        <f>VLOOKUP(BH$3,Tech_Specs_Infra!$A$216:$E$222,COLUMN(Tech_Specs_Infra!$D$215)-COLUMN(Tech_Specs_Infra!$A$215)+1,FALSE)</f>
        <v>1</v>
      </c>
      <c r="BI7" s="263">
        <f>VLOOKUP(BI$3,Tech_Specs_Infra!$A$216:$E$222,COLUMN(Tech_Specs_Infra!$D$215)-COLUMN(Tech_Specs_Infra!$A$215)+1,FALSE)</f>
        <v>1</v>
      </c>
      <c r="BJ7" s="263">
        <f>VLOOKUP(BJ$3,Tech_Specs_Infra!$A$216:$E$222,COLUMN(Tech_Specs_Infra!$D$215)-COLUMN(Tech_Specs_Infra!$A$215)+1,FALSE)</f>
        <v>1</v>
      </c>
      <c r="BK7" s="263">
        <f>VLOOKUP(BK$3,Tech_Specs_Infra!$A$216:$E$222,COLUMN(Tech_Specs_Infra!$D$215)-COLUMN(Tech_Specs_Infra!$A$215)+1,FALSE)</f>
        <v>1</v>
      </c>
      <c r="BL7" s="263">
        <f>VLOOKUP(BL$3,Tech_Specs_Infra!$A$216:$E$222,COLUMN(Tech_Specs_Infra!$D$215)-COLUMN(Tech_Specs_Infra!$A$215)+1,FALSE)</f>
        <v>1</v>
      </c>
      <c r="BM7" s="263">
        <f>VLOOKUP(BM$3,Tech_Specs_Infra!$A$216:$E$222,COLUMN(Tech_Specs_Infra!$D$215)-COLUMN(Tech_Specs_Infra!$A$215)+1,FALSE)</f>
        <v>1</v>
      </c>
      <c r="BN7" s="263">
        <f>VLOOKUP(BN$3,Tech_Specs_Infra!$A$216:$E$222,COLUMN(Tech_Specs_Infra!$D$215)-COLUMN(Tech_Specs_Infra!$A$215)+1,FALSE)</f>
        <v>1</v>
      </c>
      <c r="BO7" s="263">
        <f>VLOOKUP(BO$3,Tech_Specs_Infra!$A$216:$E$222,COLUMN(Tech_Specs_Infra!$D$215)-COLUMN(Tech_Specs_Infra!$A$215)+1,FALSE)</f>
        <v>1</v>
      </c>
      <c r="BP7" s="263">
        <f>VLOOKUP(BP$3,Tech_Specs_Infra!$A$216:$E$222,COLUMN(Tech_Specs_Infra!$D$215)-COLUMN(Tech_Specs_Infra!$A$215)+1,FALSE)</f>
        <v>1</v>
      </c>
      <c r="BQ7" s="263">
        <f>VLOOKUP(BQ$3,Tech_Specs_Infra!$A$216:$E$222,COLUMN(Tech_Specs_Infra!$D$215)-COLUMN(Tech_Specs_Infra!$A$215)+1,FALSE)</f>
        <v>1</v>
      </c>
      <c r="BR7" s="263">
        <f>VLOOKUP(BR$3,Tech_Specs_Infra!$A$216:$E$222,COLUMN(Tech_Specs_Infra!$D$215)-COLUMN(Tech_Specs_Infra!$A$215)+1,FALSE)</f>
        <v>1</v>
      </c>
      <c r="BS7" s="263">
        <f>VLOOKUP(BS$3,Tech_Specs_Infra!$A$216:$E$222,COLUMN(Tech_Specs_Infra!$D$215)-COLUMN(Tech_Specs_Infra!$A$215)+1,FALSE)</f>
        <v>1</v>
      </c>
      <c r="BT7" s="263">
        <f>VLOOKUP(BT$3,Tech_Specs_Infra!$A$216:$E$222,COLUMN(Tech_Specs_Infra!$D$215)-COLUMN(Tech_Specs_Infra!$A$215)+1,FALSE)</f>
        <v>1</v>
      </c>
      <c r="BU7" s="263">
        <f>VLOOKUP(BU$3,Tech_Specs_Infra!$A$216:$E$222,COLUMN(Tech_Specs_Infra!$D$215)-COLUMN(Tech_Specs_Infra!$A$215)+1,FALSE)</f>
        <v>1</v>
      </c>
      <c r="BV7" s="263">
        <f>VLOOKUP(BV$3,Tech_Specs_Infra!$A$216:$E$222,COLUMN(Tech_Specs_Infra!$D$215)-COLUMN(Tech_Specs_Infra!$A$215)+1,FALSE)</f>
        <v>1</v>
      </c>
      <c r="BW7" s="263">
        <f>VLOOKUP(BW$3,Tech_Specs_Infra!$A$216:$E$222,COLUMN(Tech_Specs_Infra!$D$215)-COLUMN(Tech_Specs_Infra!$A$215)+1,FALSE)</f>
        <v>1</v>
      </c>
      <c r="BX7" s="263">
        <f>VLOOKUP(BX$3,Tech_Specs_Infra!$A$216:$E$222,COLUMN(Tech_Specs_Infra!$D$215)-COLUMN(Tech_Specs_Infra!$A$215)+1,FALSE)</f>
        <v>1</v>
      </c>
      <c r="BY7" s="263">
        <f>VLOOKUP(BY$3,Tech_Specs_Infra!$A$216:$E$222,COLUMN(Tech_Specs_Infra!$D$215)-COLUMN(Tech_Specs_Infra!$A$215)+1,FALSE)</f>
        <v>1</v>
      </c>
      <c r="BZ7" s="263">
        <f>VLOOKUP(BZ$3,Tech_Specs_Infra!$A$216:$E$222,COLUMN(Tech_Specs_Infra!$D$215)-COLUMN(Tech_Specs_Infra!$A$215)+1,FALSE)</f>
        <v>1</v>
      </c>
      <c r="CA7" s="263">
        <f>VLOOKUP(CA$3,Tech_Specs_Infra!$A$216:$E$222,COLUMN(Tech_Specs_Infra!$D$215)-COLUMN(Tech_Specs_Infra!$A$215)+1,FALSE)</f>
        <v>1</v>
      </c>
      <c r="CB7" s="263">
        <f>VLOOKUP(CB$3,Tech_Specs_Infra!$A$216:$E$222,COLUMN(Tech_Specs_Infra!$D$215)-COLUMN(Tech_Specs_Infra!$A$215)+1,FALSE)</f>
        <v>1</v>
      </c>
      <c r="CC7" s="263">
        <f>VLOOKUP(CC$3,Tech_Specs_Infra!$A$216:$E$222,COLUMN(Tech_Specs_Infra!$D$215)-COLUMN(Tech_Specs_Infra!$A$215)+1,FALSE)</f>
        <v>1</v>
      </c>
      <c r="CD7" s="263">
        <f>VLOOKUP(CD$3,Tech_Specs_Infra!$A$216:$E$222,COLUMN(Tech_Specs_Infra!$D$215)-COLUMN(Tech_Specs_Infra!$A$215)+1,FALSE)</f>
        <v>1</v>
      </c>
      <c r="CE7" s="263">
        <f>VLOOKUP(CE$3,Tech_Specs_Infra!$A$216:$E$222,COLUMN(Tech_Specs_Infra!$D$215)-COLUMN(Tech_Specs_Infra!$A$215)+1,FALSE)</f>
        <v>1</v>
      </c>
      <c r="CF7" s="263">
        <f>VLOOKUP(CF$3,Tech_Specs_Infra!$A$216:$E$222,COLUMN(Tech_Specs_Infra!$D$215)-COLUMN(Tech_Specs_Infra!$A$215)+1,FALSE)</f>
        <v>1</v>
      </c>
      <c r="CG7" s="263">
        <f>VLOOKUP(CG$3,Tech_Specs_Infra!$A$216:$E$222,COLUMN(Tech_Specs_Infra!$D$215)-COLUMN(Tech_Specs_Infra!$A$215)+1,FALSE)</f>
        <v>1</v>
      </c>
      <c r="CH7" s="263">
        <f>VLOOKUP(CH$3,Tech_Specs_Infra!$A$216:$E$222,COLUMN(Tech_Specs_Infra!$D$215)-COLUMN(Tech_Specs_Infra!$A$215)+1,FALSE)</f>
        <v>1</v>
      </c>
      <c r="CI7" s="263">
        <f>VLOOKUP(CI$3,Tech_Specs_Infra!$A$216:$E$222,COLUMN(Tech_Specs_Infra!$D$215)-COLUMN(Tech_Specs_Infra!$A$215)+1,FALSE)</f>
        <v>1</v>
      </c>
      <c r="CJ7" s="263">
        <f>VLOOKUP(CJ$3,Tech_Specs_Infra!$A$216:$E$222,COLUMN(Tech_Specs_Infra!$D$215)-COLUMN(Tech_Specs_Infra!$A$215)+1,FALSE)</f>
        <v>1</v>
      </c>
      <c r="CK7" s="263">
        <f>VLOOKUP(CK$3,Tech_Specs_Infra!$A$216:$E$222,COLUMN(Tech_Specs_Infra!$D$215)-COLUMN(Tech_Specs_Infra!$A$215)+1,FALSE)</f>
        <v>1</v>
      </c>
      <c r="CL7" s="263">
        <f>VLOOKUP(CL$3,Tech_Specs_Infra!$A$216:$E$222,COLUMN(Tech_Specs_Infra!$D$215)-COLUMN(Tech_Specs_Infra!$A$215)+1,FALSE)</f>
        <v>1</v>
      </c>
      <c r="CM7" s="263">
        <f>VLOOKUP(CM$3,Tech_Specs_Infra!$A$216:$E$222,COLUMN(Tech_Specs_Infra!$D$215)-COLUMN(Tech_Specs_Infra!$A$215)+1,FALSE)</f>
        <v>1</v>
      </c>
      <c r="CN7" s="263">
        <f>VLOOKUP(CN$3,Tech_Specs_Infra!$A$216:$E$222,COLUMN(Tech_Specs_Infra!$D$215)-COLUMN(Tech_Specs_Infra!$A$215)+1,FALSE)</f>
        <v>1</v>
      </c>
      <c r="CO7" s="263">
        <f>VLOOKUP(CO$3,Tech_Specs_Infra!$A$216:$E$222,COLUMN(Tech_Specs_Infra!$D$215)-COLUMN(Tech_Specs_Infra!$A$215)+1,FALSE)</f>
        <v>1</v>
      </c>
      <c r="CP7" s="263">
        <f>VLOOKUP(CP$3,Tech_Specs_Infra!$A$216:$E$222,COLUMN(Tech_Specs_Infra!$D$215)-COLUMN(Tech_Specs_Infra!$A$215)+1,FALSE)</f>
        <v>1</v>
      </c>
      <c r="CQ7" s="263">
        <f>VLOOKUP(CQ$3,Tech_Specs_Infra!$A$216:$E$222,COLUMN(Tech_Specs_Infra!$D$215)-COLUMN(Tech_Specs_Infra!$A$215)+1,FALSE)</f>
        <v>1</v>
      </c>
      <c r="CR7" s="263">
        <f>VLOOKUP(CR$3,Tech_Specs_Infra!$A$216:$E$222,COLUMN(Tech_Specs_Infra!$D$215)-COLUMN(Tech_Specs_Infra!$A$215)+1,FALSE)</f>
        <v>1</v>
      </c>
      <c r="CS7" s="263">
        <f>VLOOKUP(CS$3,Tech_Specs_Infra!$A$216:$E$222,COLUMN(Tech_Specs_Infra!$D$215)-COLUMN(Tech_Specs_Infra!$A$215)+1,FALSE)</f>
        <v>1</v>
      </c>
      <c r="CT7" s="263">
        <f>VLOOKUP(CT$3,Tech_Specs_Infra!$A$216:$E$222,COLUMN(Tech_Specs_Infra!$D$215)-COLUMN(Tech_Specs_Infra!$A$215)+1,FALSE)</f>
        <v>1</v>
      </c>
      <c r="CU7" s="263">
        <f>VLOOKUP(CU$3,Tech_Specs_Infra!$A$216:$E$222,COLUMN(Tech_Specs_Infra!$D$215)-COLUMN(Tech_Specs_Infra!$A$215)+1,FALSE)</f>
        <v>1</v>
      </c>
      <c r="CV7" s="263">
        <f>VLOOKUP(CV$3,Tech_Specs_Infra!$A$216:$E$222,COLUMN(Tech_Specs_Infra!$D$215)-COLUMN(Tech_Specs_Infra!$A$215)+1,FALSE)</f>
        <v>1</v>
      </c>
      <c r="CW7" s="263">
        <f>VLOOKUP(CW$3,Tech_Specs_Infra!$A$216:$E$222,COLUMN(Tech_Specs_Infra!$D$215)-COLUMN(Tech_Specs_Infra!$A$215)+1,FALSE)</f>
        <v>1</v>
      </c>
      <c r="CX7" s="263">
        <f>VLOOKUP(CX$3,Tech_Specs_Infra!$A$216:$E$222,COLUMN(Tech_Specs_Infra!$D$215)-COLUMN(Tech_Specs_Infra!$A$215)+1,FALSE)</f>
        <v>1</v>
      </c>
      <c r="CY7" s="263">
        <f>VLOOKUP(CY$3,Tech_Specs_Infra!$A$216:$E$222,COLUMN(Tech_Specs_Infra!$D$215)-COLUMN(Tech_Specs_Infra!$A$215)+1,FALSE)</f>
        <v>1</v>
      </c>
      <c r="CZ7" s="263">
        <f>VLOOKUP(CZ$3,Tech_Specs_Infra!$A$216:$E$222,COLUMN(Tech_Specs_Infra!$D$215)-COLUMN(Tech_Specs_Infra!$A$215)+1,FALSE)</f>
        <v>1</v>
      </c>
      <c r="DA7" s="263">
        <f>VLOOKUP(DA$3,Tech_Specs_Infra!$A$216:$E$222,COLUMN(Tech_Specs_Infra!$D$215)-COLUMN(Tech_Specs_Infra!$A$215)+1,FALSE)</f>
        <v>1</v>
      </c>
      <c r="DB7" s="263">
        <f>VLOOKUP(DB$3,Tech_Specs_Infra!$A$216:$E$222,COLUMN(Tech_Specs_Infra!$D$215)-COLUMN(Tech_Specs_Infra!$A$215)+1,FALSE)</f>
        <v>1</v>
      </c>
      <c r="DC7" s="263">
        <f>VLOOKUP(DC$3,Tech_Specs_Infra!$A$216:$E$222,COLUMN(Tech_Specs_Infra!$D$215)-COLUMN(Tech_Specs_Infra!$A$215)+1,FALSE)</f>
        <v>1</v>
      </c>
      <c r="DD7" s="263">
        <f>VLOOKUP(DD$3,Tech_Specs_Infra!$A$216:$E$222,COLUMN(Tech_Specs_Infra!$D$215)-COLUMN(Tech_Specs_Infra!$A$215)+1,FALSE)</f>
        <v>1</v>
      </c>
      <c r="DE7" s="263">
        <f>VLOOKUP(DE$3,Tech_Specs_Infra!$A$216:$E$222,COLUMN(Tech_Specs_Infra!$D$215)-COLUMN(Tech_Specs_Infra!$A$215)+1,FALSE)</f>
        <v>1</v>
      </c>
      <c r="DF7" s="263">
        <f>VLOOKUP(DF$3,Tech_Specs_Infra!$A$216:$E$222,COLUMN(Tech_Specs_Infra!$D$215)-COLUMN(Tech_Specs_Infra!$A$215)+1,FALSE)</f>
        <v>1</v>
      </c>
      <c r="DG7" s="263"/>
      <c r="DH7" s="263">
        <f>VLOOKUP(DH$3,Tech_Specs_Infra!$A$216:$E$222,COLUMN(Tech_Specs_Infra!$D$215)-COLUMN(Tech_Specs_Infra!$A$215)+1,FALSE)</f>
        <v>1</v>
      </c>
      <c r="DI7" s="263">
        <f>VLOOKUP(DI$3,Tech_Specs_Infra!$A$216:$E$222,COLUMN(Tech_Specs_Infra!$D$215)-COLUMN(Tech_Specs_Infra!$A$215)+1,FALSE)</f>
        <v>1</v>
      </c>
      <c r="DJ7" s="263">
        <f>VLOOKUP(DJ$3,Tech_Specs_Infra!$A$216:$E$222,COLUMN(Tech_Specs_Infra!$D$215)-COLUMN(Tech_Specs_Infra!$A$215)+1,FALSE)</f>
        <v>1</v>
      </c>
      <c r="DK7" s="263">
        <f>VLOOKUP(DK$3,Tech_Specs_Infra!$A$216:$E$222,COLUMN(Tech_Specs_Infra!$D$215)-COLUMN(Tech_Specs_Infra!$A$215)+1,FALSE)</f>
        <v>3.3560222898722659E-2</v>
      </c>
      <c r="DL7" s="263">
        <f>VLOOKUP(DL$3,Tech_Specs_Infra!$A$216:$E$222,COLUMN(Tech_Specs_Infra!$D$215)-COLUMN(Tech_Specs_Infra!$A$215)+1,FALSE)</f>
        <v>3.3560222898722659E-2</v>
      </c>
      <c r="DM7" s="494">
        <v>1</v>
      </c>
      <c r="DN7" s="263">
        <f>VLOOKUP(DN$3,Tech_Specs_Infra!$A$216:$E$222,COLUMN(Tech_Specs_Infra!$D$215)-COLUMN(Tech_Specs_Infra!$A$215)+1,FALSE)</f>
        <v>3.3560222898722659E-2</v>
      </c>
      <c r="DO7" s="263">
        <f>VLOOKUP(DO$3,Tech_Specs_Infra!$A$216:$E$222,COLUMN(Tech_Specs_Infra!$D$215)-COLUMN(Tech_Specs_Infra!$A$215)+1,FALSE)</f>
        <v>3.3560222898722659E-2</v>
      </c>
      <c r="DP7" s="263">
        <f>VLOOKUP(DP$3,Tech_Specs_Infra!$A$216:$E$222,COLUMN(Tech_Specs_Infra!$D$215)-COLUMN(Tech_Specs_Infra!$A$215)+1,FALSE)</f>
        <v>3.3560222898722659E-2</v>
      </c>
      <c r="DQ7" s="263">
        <f>VLOOKUP(DQ$3,Tech_Specs_Infra!$A$216:$E$222,COLUMN(Tech_Specs_Infra!$D$215)-COLUMN(Tech_Specs_Infra!$A$215)+1,FALSE)</f>
        <v>3.3560222898722659E-2</v>
      </c>
      <c r="DR7" s="263">
        <f>VLOOKUP(DR$3,Tech_Specs_Infra!$A$216:$E$222,COLUMN(Tech_Specs_Infra!$D$215)-COLUMN(Tech_Specs_Infra!$A$215)+1,FALSE)</f>
        <v>3.3560222898722659E-2</v>
      </c>
      <c r="DS7" s="263">
        <f>VLOOKUP(DS$3,Tech_Specs_Infra!$A$216:$E$222,COLUMN(Tech_Specs_Infra!$D$215)-COLUMN(Tech_Specs_Infra!$A$215)+1,FALSE)</f>
        <v>3.3560222898722659E-2</v>
      </c>
      <c r="DT7" s="263">
        <f>VLOOKUP(DT$3,Tech_Specs_Infra!$A$216:$E$222,COLUMN(Tech_Specs_Infra!$D$215)-COLUMN(Tech_Specs_Infra!$A$215)+1,FALSE)</f>
        <v>3.3560222898722659E-2</v>
      </c>
      <c r="DU7" s="263">
        <f>VLOOKUP(DU$3,Tech_Specs_Infra!$A$216:$E$222,COLUMN(Tech_Specs_Infra!$D$215)-COLUMN(Tech_Specs_Infra!$A$215)+1,FALSE)</f>
        <v>3.3560222898722659E-2</v>
      </c>
      <c r="DV7" s="263">
        <f>VLOOKUP(DV$3,Tech_Specs_Infra!$A$216:$E$222,COLUMN(Tech_Specs_Infra!$D$215)-COLUMN(Tech_Specs_Infra!$A$215)+1,FALSE)</f>
        <v>3.3560222898722659E-2</v>
      </c>
      <c r="DW7" s="263">
        <f>VLOOKUP(DW$3,Tech_Specs_Infra!$A$216:$E$222,COLUMN(Tech_Specs_Infra!$D$215)-COLUMN(Tech_Specs_Infra!$A$215)+1,FALSE)</f>
        <v>3.3560222898722659E-2</v>
      </c>
      <c r="DX7" s="263">
        <f>VLOOKUP(DX$3,Tech_Specs_Infra!$A$216:$E$222,COLUMN(Tech_Specs_Infra!$D$215)-COLUMN(Tech_Specs_Infra!$A$215)+1,FALSE)</f>
        <v>1</v>
      </c>
      <c r="DY7" s="263">
        <f>VLOOKUP(DY$3,Tech_Specs_Infra!$A$216:$E$222,COLUMN(Tech_Specs_Infra!$D$215)-COLUMN(Tech_Specs_Infra!$A$215)+1,FALSE)</f>
        <v>1</v>
      </c>
      <c r="DZ7" s="263">
        <f>VLOOKUP(DZ$3,Tech_Specs_Infra!$A$216:$E$222,COLUMN(Tech_Specs_Infra!$D$215)-COLUMN(Tech_Specs_Infra!$A$215)+1,FALSE)</f>
        <v>1</v>
      </c>
      <c r="EA7" s="263">
        <f>VLOOKUP(EA$3,Tech_Specs_Infra!$A$216:$E$222,COLUMN(Tech_Specs_Infra!$D$215)-COLUMN(Tech_Specs_Infra!$A$215)+1,FALSE)</f>
        <v>1</v>
      </c>
      <c r="EB7" s="263">
        <f>VLOOKUP(EB$3,Tech_Specs_Infra!$A$216:$E$222,COLUMN(Tech_Specs_Infra!$D$215)-COLUMN(Tech_Specs_Infra!$A$215)+1,FALSE)</f>
        <v>1</v>
      </c>
      <c r="EC7" s="263">
        <f>VLOOKUP(EC$3,Tech_Specs_Infra!$A$216:$E$222,COLUMN(Tech_Specs_Infra!$D$215)-COLUMN(Tech_Specs_Infra!$A$215)+1,FALSE)</f>
        <v>1</v>
      </c>
      <c r="ED7" s="263">
        <f>VLOOKUP(ED$3,Tech_Specs_Infra!$A$216:$E$222,COLUMN(Tech_Specs_Infra!$D$215)-COLUMN(Tech_Specs_Infra!$A$215)+1,FALSE)</f>
        <v>1</v>
      </c>
    </row>
    <row r="8" spans="1:138" x14ac:dyDescent="0.3">
      <c r="A8" s="21" t="s">
        <v>800</v>
      </c>
      <c r="B8" s="21" t="s">
        <v>118</v>
      </c>
      <c r="D8" s="264">
        <f>1-D7</f>
        <v>0.8</v>
      </c>
      <c r="E8" s="264">
        <f>1-E7</f>
        <v>0.8</v>
      </c>
      <c r="F8" s="264">
        <f>1-F7</f>
        <v>0.8</v>
      </c>
      <c r="G8" s="264">
        <f t="shared" ref="G8:T8" si="4">1-G7</f>
        <v>0.8</v>
      </c>
      <c r="H8" s="264">
        <f t="shared" si="4"/>
        <v>0.8</v>
      </c>
      <c r="I8" s="264">
        <f t="shared" ref="I8" si="5">1-I7</f>
        <v>0.8</v>
      </c>
      <c r="J8" s="264">
        <f t="shared" si="4"/>
        <v>0.8</v>
      </c>
      <c r="K8" s="264">
        <f t="shared" si="4"/>
        <v>0.8</v>
      </c>
      <c r="L8" s="264">
        <f t="shared" si="4"/>
        <v>0.8</v>
      </c>
      <c r="M8" s="264">
        <f t="shared" si="4"/>
        <v>0.8</v>
      </c>
      <c r="N8" s="264">
        <f t="shared" si="4"/>
        <v>0.8</v>
      </c>
      <c r="O8" s="264">
        <f t="shared" si="4"/>
        <v>0.8</v>
      </c>
      <c r="P8" s="264">
        <f t="shared" si="4"/>
        <v>0.8</v>
      </c>
      <c r="Q8" s="264">
        <f>1-Q7</f>
        <v>0.8</v>
      </c>
      <c r="R8" s="264">
        <f>1-R7</f>
        <v>0.8</v>
      </c>
      <c r="S8" s="264">
        <f t="shared" si="4"/>
        <v>0.8</v>
      </c>
      <c r="T8" s="264">
        <f t="shared" si="4"/>
        <v>0.8</v>
      </c>
      <c r="U8" s="264">
        <f t="shared" ref="U8:BU8" si="6">1-U7</f>
        <v>0.8</v>
      </c>
      <c r="V8" s="264">
        <f t="shared" si="6"/>
        <v>0.8</v>
      </c>
      <c r="W8" s="264">
        <f t="shared" si="6"/>
        <v>0.8</v>
      </c>
      <c r="X8" s="264">
        <f t="shared" ref="X8:Y8" si="7">1-X7</f>
        <v>0.8</v>
      </c>
      <c r="Y8" s="264">
        <f t="shared" si="7"/>
        <v>0.8</v>
      </c>
      <c r="Z8" s="264">
        <f t="shared" si="6"/>
        <v>0.8</v>
      </c>
      <c r="AA8" s="264">
        <f t="shared" ref="AA8" si="8">1-AA7</f>
        <v>0.8</v>
      </c>
      <c r="AB8" s="264">
        <f t="shared" ref="AB8:AC8" si="9">1-AB7</f>
        <v>0.8</v>
      </c>
      <c r="AC8" s="264">
        <f t="shared" si="9"/>
        <v>0.8</v>
      </c>
      <c r="AD8" s="264">
        <f t="shared" ref="AD8" si="10">1-AD7</f>
        <v>0.8</v>
      </c>
      <c r="AE8" s="264">
        <f t="shared" ref="AE8" si="11">1-AE7</f>
        <v>0.8</v>
      </c>
      <c r="AF8" s="264">
        <f t="shared" si="6"/>
        <v>0.8</v>
      </c>
      <c r="AG8" s="264">
        <f t="shared" si="6"/>
        <v>0.8</v>
      </c>
      <c r="AH8" s="264">
        <f t="shared" si="6"/>
        <v>0.8</v>
      </c>
      <c r="AI8" s="264">
        <f t="shared" si="6"/>
        <v>0.8</v>
      </c>
      <c r="AJ8" s="264">
        <f t="shared" si="6"/>
        <v>0.8</v>
      </c>
      <c r="AK8" s="264">
        <f t="shared" si="6"/>
        <v>0</v>
      </c>
      <c r="AL8" s="264">
        <f t="shared" si="6"/>
        <v>0</v>
      </c>
      <c r="AM8" s="264">
        <f t="shared" si="6"/>
        <v>0</v>
      </c>
      <c r="AN8" s="264">
        <f t="shared" si="6"/>
        <v>0</v>
      </c>
      <c r="AO8" s="264">
        <f t="shared" si="6"/>
        <v>0</v>
      </c>
      <c r="AP8" s="264">
        <f t="shared" si="6"/>
        <v>0</v>
      </c>
      <c r="AQ8" s="264">
        <f t="shared" si="6"/>
        <v>0</v>
      </c>
      <c r="AR8" s="264">
        <f t="shared" si="6"/>
        <v>0</v>
      </c>
      <c r="AS8" s="264">
        <f t="shared" si="6"/>
        <v>0</v>
      </c>
      <c r="AT8" s="264">
        <f t="shared" si="6"/>
        <v>0</v>
      </c>
      <c r="AU8" s="264">
        <f t="shared" si="6"/>
        <v>0</v>
      </c>
      <c r="AV8" s="264">
        <f t="shared" si="6"/>
        <v>0</v>
      </c>
      <c r="AW8" s="264">
        <f t="shared" si="6"/>
        <v>0</v>
      </c>
      <c r="AX8" s="264">
        <f t="shared" si="6"/>
        <v>0</v>
      </c>
      <c r="AY8" s="264">
        <f t="shared" si="6"/>
        <v>0</v>
      </c>
      <c r="AZ8" s="264">
        <f t="shared" si="6"/>
        <v>0</v>
      </c>
      <c r="BA8" s="264">
        <f t="shared" si="6"/>
        <v>0</v>
      </c>
      <c r="BB8" s="264">
        <f t="shared" si="6"/>
        <v>0</v>
      </c>
      <c r="BC8" s="264">
        <f t="shared" si="6"/>
        <v>0</v>
      </c>
      <c r="BD8" s="264">
        <f t="shared" si="6"/>
        <v>0</v>
      </c>
      <c r="BE8" s="264">
        <f t="shared" si="6"/>
        <v>0</v>
      </c>
      <c r="BF8" s="264">
        <f t="shared" si="6"/>
        <v>0</v>
      </c>
      <c r="BG8" s="264">
        <f t="shared" si="6"/>
        <v>0</v>
      </c>
      <c r="BH8" s="264">
        <f t="shared" si="6"/>
        <v>0</v>
      </c>
      <c r="BI8" s="264">
        <f t="shared" si="6"/>
        <v>0</v>
      </c>
      <c r="BJ8" s="264">
        <f t="shared" si="6"/>
        <v>0</v>
      </c>
      <c r="BK8" s="264">
        <f t="shared" si="6"/>
        <v>0</v>
      </c>
      <c r="BL8" s="264">
        <f t="shared" si="6"/>
        <v>0</v>
      </c>
      <c r="BM8" s="264">
        <f t="shared" si="6"/>
        <v>0</v>
      </c>
      <c r="BN8" s="264">
        <f t="shared" si="6"/>
        <v>0</v>
      </c>
      <c r="BO8" s="264">
        <f t="shared" si="6"/>
        <v>0</v>
      </c>
      <c r="BP8" s="264">
        <f t="shared" si="6"/>
        <v>0</v>
      </c>
      <c r="BQ8" s="264">
        <f t="shared" si="6"/>
        <v>0</v>
      </c>
      <c r="BR8" s="264">
        <f t="shared" si="6"/>
        <v>0</v>
      </c>
      <c r="BS8" s="264">
        <f t="shared" si="6"/>
        <v>0</v>
      </c>
      <c r="BT8" s="264">
        <f t="shared" si="6"/>
        <v>0</v>
      </c>
      <c r="BU8" s="264">
        <f t="shared" si="6"/>
        <v>0</v>
      </c>
      <c r="BV8" s="264">
        <f t="shared" ref="BV8:CC8" si="12">1-BV7</f>
        <v>0</v>
      </c>
      <c r="BW8" s="264">
        <f t="shared" si="12"/>
        <v>0</v>
      </c>
      <c r="BX8" s="264">
        <f t="shared" si="12"/>
        <v>0</v>
      </c>
      <c r="BY8" s="264">
        <f t="shared" si="12"/>
        <v>0</v>
      </c>
      <c r="BZ8" s="264">
        <f t="shared" si="12"/>
        <v>0</v>
      </c>
      <c r="CA8" s="264">
        <f t="shared" si="12"/>
        <v>0</v>
      </c>
      <c r="CB8" s="264">
        <f t="shared" si="12"/>
        <v>0</v>
      </c>
      <c r="CC8" s="264">
        <f t="shared" si="12"/>
        <v>0</v>
      </c>
      <c r="CD8" s="264">
        <f>1-CD7</f>
        <v>0</v>
      </c>
      <c r="CE8" s="264">
        <f>1-CE7</f>
        <v>0</v>
      </c>
      <c r="CF8" s="264">
        <f>1-CF7</f>
        <v>0</v>
      </c>
      <c r="CG8" s="264">
        <f>1-CG7</f>
        <v>0</v>
      </c>
      <c r="CH8" s="264">
        <f t="shared" ref="CH8:CL8" si="13">1-CH7</f>
        <v>0</v>
      </c>
      <c r="CI8" s="264">
        <f t="shared" si="13"/>
        <v>0</v>
      </c>
      <c r="CJ8" s="264">
        <f t="shared" si="13"/>
        <v>0</v>
      </c>
      <c r="CK8" s="264">
        <f t="shared" si="13"/>
        <v>0</v>
      </c>
      <c r="CL8" s="264">
        <f t="shared" si="13"/>
        <v>0</v>
      </c>
      <c r="CM8" s="264">
        <f t="shared" ref="CM8:DF8" si="14">1-CM7</f>
        <v>0</v>
      </c>
      <c r="CN8" s="264">
        <f t="shared" si="14"/>
        <v>0</v>
      </c>
      <c r="CO8" s="264">
        <f t="shared" si="14"/>
        <v>0</v>
      </c>
      <c r="CP8" s="264">
        <f t="shared" si="14"/>
        <v>0</v>
      </c>
      <c r="CQ8" s="264">
        <f t="shared" si="14"/>
        <v>0</v>
      </c>
      <c r="CR8" s="264">
        <f t="shared" si="14"/>
        <v>0</v>
      </c>
      <c r="CS8" s="264">
        <f t="shared" si="14"/>
        <v>0</v>
      </c>
      <c r="CT8" s="264">
        <f t="shared" si="14"/>
        <v>0</v>
      </c>
      <c r="CU8" s="264">
        <f t="shared" si="14"/>
        <v>0</v>
      </c>
      <c r="CV8" s="264">
        <f t="shared" si="14"/>
        <v>0</v>
      </c>
      <c r="CW8" s="264">
        <f t="shared" si="14"/>
        <v>0</v>
      </c>
      <c r="CX8" s="264">
        <f t="shared" si="14"/>
        <v>0</v>
      </c>
      <c r="CY8" s="264">
        <f t="shared" si="14"/>
        <v>0</v>
      </c>
      <c r="CZ8" s="264">
        <f t="shared" si="14"/>
        <v>0</v>
      </c>
      <c r="DA8" s="264">
        <f t="shared" si="14"/>
        <v>0</v>
      </c>
      <c r="DB8" s="264">
        <f t="shared" si="14"/>
        <v>0</v>
      </c>
      <c r="DC8" s="264">
        <f t="shared" si="14"/>
        <v>0</v>
      </c>
      <c r="DD8" s="264">
        <f t="shared" si="14"/>
        <v>0</v>
      </c>
      <c r="DE8" s="264">
        <f t="shared" si="14"/>
        <v>0</v>
      </c>
      <c r="DF8" s="264">
        <f t="shared" si="14"/>
        <v>0</v>
      </c>
      <c r="DG8" s="264"/>
      <c r="DH8" s="264">
        <f>1-DH7</f>
        <v>0</v>
      </c>
      <c r="DI8" s="264">
        <f>1-DI7</f>
        <v>0</v>
      </c>
      <c r="DJ8" s="264">
        <f>1-DJ7</f>
        <v>0</v>
      </c>
      <c r="DK8" s="264">
        <f t="shared" ref="DK8:DP8" si="15">1-DK7</f>
        <v>0.96643977710127738</v>
      </c>
      <c r="DL8" s="264">
        <f t="shared" si="15"/>
        <v>0.96643977710127738</v>
      </c>
      <c r="DM8" s="264">
        <f>1-DM7</f>
        <v>0</v>
      </c>
      <c r="DN8" s="264">
        <f t="shared" si="15"/>
        <v>0.96643977710127738</v>
      </c>
      <c r="DO8" s="264">
        <f t="shared" si="15"/>
        <v>0.96643977710127738</v>
      </c>
      <c r="DP8" s="264">
        <f t="shared" si="15"/>
        <v>0.96643977710127738</v>
      </c>
      <c r="DQ8" s="264">
        <f t="shared" ref="DQ8:DW8" si="16">1-DQ7</f>
        <v>0.96643977710127738</v>
      </c>
      <c r="DR8" s="264">
        <f t="shared" si="16"/>
        <v>0.96643977710127738</v>
      </c>
      <c r="DS8" s="264">
        <f t="shared" si="16"/>
        <v>0.96643977710127738</v>
      </c>
      <c r="DT8" s="264">
        <f t="shared" si="16"/>
        <v>0.96643977710127738</v>
      </c>
      <c r="DU8" s="264">
        <f t="shared" si="16"/>
        <v>0.96643977710127738</v>
      </c>
      <c r="DV8" s="264">
        <f t="shared" si="16"/>
        <v>0.96643977710127738</v>
      </c>
      <c r="DW8" s="264">
        <f t="shared" si="16"/>
        <v>0.96643977710127738</v>
      </c>
      <c r="DX8" s="264">
        <f t="shared" ref="DX8:EC8" si="17">1-DX7</f>
        <v>0</v>
      </c>
      <c r="DY8" s="264">
        <f t="shared" si="17"/>
        <v>0</v>
      </c>
      <c r="DZ8" s="264">
        <f t="shared" si="17"/>
        <v>0</v>
      </c>
      <c r="EA8" s="264">
        <f t="shared" si="17"/>
        <v>0</v>
      </c>
      <c r="EB8" s="264">
        <f t="shared" si="17"/>
        <v>0</v>
      </c>
      <c r="EC8" s="264">
        <f t="shared" si="17"/>
        <v>0</v>
      </c>
      <c r="ED8" s="264">
        <f>1-ED7</f>
        <v>0</v>
      </c>
    </row>
    <row r="9" spans="1:138" x14ac:dyDescent="0.3">
      <c r="D9" s="21" t="str">
        <f>Tech_Specs_Infra!$A$216</f>
        <v>Bicycles, e-scooters</v>
      </c>
    </row>
    <row r="10" spans="1:138" x14ac:dyDescent="0.3">
      <c r="A10" s="21" t="str">
        <f>Tech_Specs_Infra!$A$1&amp;" - Infrastructure 1"</f>
        <v>Material intensities - Infrastructure 1</v>
      </c>
      <c r="B10" s="21" t="s">
        <v>804</v>
      </c>
    </row>
    <row r="11" spans="1:138" x14ac:dyDescent="0.3">
      <c r="A11" s="21" t="str">
        <f>"   "&amp;Tech_Specs_Infra!C3</f>
        <v xml:space="preserve">   Asphalt</v>
      </c>
      <c r="D11" s="262">
        <f>VLOOKUP(D$5,Tech_Specs_Infra!$A$4:$F$9,COLUMN(Tech_Specs_Infra!$C$3)-COLUMN(Tech_Specs_Infra!$A$3)+1,FALSE)</f>
        <v>0.12</v>
      </c>
      <c r="E11" s="262">
        <f>VLOOKUP(E$5,Tech_Specs_Infra!$A$4:$F$9,COLUMN(Tech_Specs_Infra!$C$3)-COLUMN(Tech_Specs_Infra!$A$3)+1,FALSE)</f>
        <v>0.12</v>
      </c>
      <c r="F11" s="262">
        <f>VLOOKUP(F$5,Tech_Specs_Infra!$A$4:$F$9,COLUMN(Tech_Specs_Infra!$C$3)-COLUMN(Tech_Specs_Infra!$A$3)+1,FALSE)</f>
        <v>0.12</v>
      </c>
      <c r="G11" s="262">
        <f>VLOOKUP(G$5,Tech_Specs_Infra!$A$4:$F$9,COLUMN(Tech_Specs_Infra!$C$3)-COLUMN(Tech_Specs_Infra!$A$3)+1,FALSE)</f>
        <v>0.12</v>
      </c>
      <c r="H11" s="262">
        <f>VLOOKUP(H$5,Tech_Specs_Infra!$A$4:$F$9,COLUMN(Tech_Specs_Infra!$C$3)-COLUMN(Tech_Specs_Infra!$A$3)+1,FALSE)</f>
        <v>0.12</v>
      </c>
      <c r="I11" s="262">
        <f>VLOOKUP(I$5,Tech_Specs_Infra!$A$4:$F$9,COLUMN(Tech_Specs_Infra!$C$3)-COLUMN(Tech_Specs_Infra!$A$3)+1,FALSE)</f>
        <v>0.12</v>
      </c>
      <c r="J11" s="262">
        <f>VLOOKUP(J$5,Tech_Specs_Infra!$A$4:$F$9,COLUMN(Tech_Specs_Infra!$C$3)-COLUMN(Tech_Specs_Infra!$A$3)+1,FALSE)</f>
        <v>0.12</v>
      </c>
      <c r="K11" s="262">
        <f>VLOOKUP(K$5,Tech_Specs_Infra!$A$4:$F$9,COLUMN(Tech_Specs_Infra!$C$3)-COLUMN(Tech_Specs_Infra!$A$3)+1,FALSE)</f>
        <v>0.12</v>
      </c>
      <c r="L11" s="262">
        <f>VLOOKUP(L$5,Tech_Specs_Infra!$A$4:$F$9,COLUMN(Tech_Specs_Infra!$C$3)-COLUMN(Tech_Specs_Infra!$A$3)+1,FALSE)</f>
        <v>0.12</v>
      </c>
      <c r="M11" s="262">
        <f>VLOOKUP(M$5,Tech_Specs_Infra!$A$4:$F$9,COLUMN(Tech_Specs_Infra!$C$3)-COLUMN(Tech_Specs_Infra!$A$3)+1,FALSE)</f>
        <v>0.12</v>
      </c>
      <c r="N11" s="262">
        <f>VLOOKUP(N$5,Tech_Specs_Infra!$A$4:$F$9,COLUMN(Tech_Specs_Infra!$C$3)-COLUMN(Tech_Specs_Infra!$A$3)+1,FALSE)</f>
        <v>0.12</v>
      </c>
      <c r="O11" s="262">
        <f>VLOOKUP(O$5,Tech_Specs_Infra!$A$4:$F$9,COLUMN(Tech_Specs_Infra!$C$3)-COLUMN(Tech_Specs_Infra!$A$3)+1,FALSE)</f>
        <v>0.12</v>
      </c>
      <c r="P11" s="262">
        <f>VLOOKUP(P$5,Tech_Specs_Infra!$A$4:$F$9,COLUMN(Tech_Specs_Infra!$C$3)-COLUMN(Tech_Specs_Infra!$A$3)+1,FALSE)</f>
        <v>0.12</v>
      </c>
      <c r="Q11" s="262">
        <f>VLOOKUP(Q$5,Tech_Specs_Infra!$A$4:$F$9,COLUMN(Tech_Specs_Infra!$C$3)-COLUMN(Tech_Specs_Infra!$A$3)+1,FALSE)</f>
        <v>0.12</v>
      </c>
      <c r="R11" s="262">
        <f>VLOOKUP(R$5,Tech_Specs_Infra!$A$4:$F$9,COLUMN(Tech_Specs_Infra!$C$3)-COLUMN(Tech_Specs_Infra!$A$3)+1,FALSE)</f>
        <v>0.12</v>
      </c>
      <c r="S11" s="262">
        <f>VLOOKUP(S$5,Tech_Specs_Infra!$A$4:$F$9,COLUMN(Tech_Specs_Infra!$C$3)-COLUMN(Tech_Specs_Infra!$A$3)+1,FALSE)</f>
        <v>0.12</v>
      </c>
      <c r="T11" s="262">
        <f>VLOOKUP(T$5,Tech_Specs_Infra!$A$4:$F$9,COLUMN(Tech_Specs_Infra!$C$3)-COLUMN(Tech_Specs_Infra!$A$3)+1,FALSE)</f>
        <v>0.12</v>
      </c>
      <c r="U11" s="262">
        <f>VLOOKUP(U$5,Tech_Specs_Infra!$A$4:$F$9,COLUMN(Tech_Specs_Infra!$C$3)-COLUMN(Tech_Specs_Infra!$A$3)+1,FALSE)</f>
        <v>0.12</v>
      </c>
      <c r="V11" s="262">
        <f>VLOOKUP(V$5,Tech_Specs_Infra!$A$4:$F$9,COLUMN(Tech_Specs_Infra!$C$3)-COLUMN(Tech_Specs_Infra!$A$3)+1,FALSE)</f>
        <v>0.12</v>
      </c>
      <c r="W11" s="262">
        <f>VLOOKUP(W$5,Tech_Specs_Infra!$A$4:$F$9,COLUMN(Tech_Specs_Infra!$C$3)-COLUMN(Tech_Specs_Infra!$A$3)+1,FALSE)</f>
        <v>0.12</v>
      </c>
      <c r="X11" s="262">
        <f>VLOOKUP(X$5,Tech_Specs_Infra!$A$4:$F$9,COLUMN(Tech_Specs_Infra!$C$3)-COLUMN(Tech_Specs_Infra!$A$3)+1,FALSE)</f>
        <v>0.12</v>
      </c>
      <c r="Y11" s="262">
        <f>VLOOKUP(Y$5,Tech_Specs_Infra!$A$4:$F$9,COLUMN(Tech_Specs_Infra!$C$3)-COLUMN(Tech_Specs_Infra!$A$3)+1,FALSE)</f>
        <v>0.12</v>
      </c>
      <c r="Z11" s="262">
        <f>VLOOKUP(Z$5,Tech_Specs_Infra!$A$4:$F$9,COLUMN(Tech_Specs_Infra!$C$3)-COLUMN(Tech_Specs_Infra!$A$3)+1,FALSE)</f>
        <v>0.12</v>
      </c>
      <c r="AA11" s="262">
        <f>VLOOKUP(AA$5,Tech_Specs_Infra!$A$4:$F$9,COLUMN(Tech_Specs_Infra!$C$3)-COLUMN(Tech_Specs_Infra!$A$3)+1,FALSE)</f>
        <v>0.12</v>
      </c>
      <c r="AB11" s="262">
        <f>VLOOKUP(AB$5,Tech_Specs_Infra!$A$4:$F$9,COLUMN(Tech_Specs_Infra!$C$3)-COLUMN(Tech_Specs_Infra!$A$3)+1,FALSE)</f>
        <v>0.12</v>
      </c>
      <c r="AC11" s="262">
        <f>VLOOKUP(AC$5,Tech_Specs_Infra!$A$4:$F$9,COLUMN(Tech_Specs_Infra!$C$3)-COLUMN(Tech_Specs_Infra!$A$3)+1,FALSE)</f>
        <v>0.12</v>
      </c>
      <c r="AD11" s="262">
        <f>VLOOKUP(AD$5,Tech_Specs_Infra!$A$4:$F$9,COLUMN(Tech_Specs_Infra!$C$3)-COLUMN(Tech_Specs_Infra!$A$3)+1,FALSE)</f>
        <v>0.12</v>
      </c>
      <c r="AE11" s="262">
        <f>VLOOKUP(AE$5,Tech_Specs_Infra!$A$4:$F$9,COLUMN(Tech_Specs_Infra!$C$3)-COLUMN(Tech_Specs_Infra!$A$3)+1,FALSE)</f>
        <v>0.12</v>
      </c>
      <c r="AF11" s="262">
        <f>VLOOKUP(AF$5,Tech_Specs_Infra!$A$4:$F$9,COLUMN(Tech_Specs_Infra!$C$3)-COLUMN(Tech_Specs_Infra!$A$3)+1,FALSE)</f>
        <v>0.12</v>
      </c>
      <c r="AG11" s="262">
        <f>VLOOKUP(AG$5,Tech_Specs_Infra!$A$4:$F$9,COLUMN(Tech_Specs_Infra!$C$3)-COLUMN(Tech_Specs_Infra!$A$3)+1,FALSE)</f>
        <v>0.12</v>
      </c>
      <c r="AH11" s="262">
        <f>VLOOKUP(AH$5,Tech_Specs_Infra!$A$4:$F$9,COLUMN(Tech_Specs_Infra!$C$3)-COLUMN(Tech_Specs_Infra!$A$3)+1,FALSE)</f>
        <v>0.12</v>
      </c>
      <c r="AI11" s="262">
        <f>VLOOKUP(AI$5,Tech_Specs_Infra!$A$4:$F$9,COLUMN(Tech_Specs_Infra!$C$3)-COLUMN(Tech_Specs_Infra!$A$3)+1,FALSE)</f>
        <v>0.12</v>
      </c>
      <c r="AJ11" s="262">
        <f>VLOOKUP(AJ$5,Tech_Specs_Infra!$A$4:$F$9,COLUMN(Tech_Specs_Infra!$C$3)-COLUMN(Tech_Specs_Infra!$A$3)+1,FALSE)</f>
        <v>0.12</v>
      </c>
      <c r="AK11" s="262">
        <f>VLOOKUP(AK$5,Tech_Specs_Infra!$A$4:$F$9,COLUMN(Tech_Specs_Infra!$C$3)-COLUMN(Tech_Specs_Infra!$A$3)+1,FALSE)</f>
        <v>1</v>
      </c>
      <c r="AL11" s="262">
        <f>VLOOKUP(AL$5,Tech_Specs_Infra!$A$4:$F$9,COLUMN(Tech_Specs_Infra!$C$3)-COLUMN(Tech_Specs_Infra!$A$3)+1,FALSE)</f>
        <v>1</v>
      </c>
      <c r="AM11" s="262">
        <f>VLOOKUP(AM$5,Tech_Specs_Infra!$A$4:$F$9,COLUMN(Tech_Specs_Infra!$C$3)-COLUMN(Tech_Specs_Infra!$A$3)+1,FALSE)</f>
        <v>1</v>
      </c>
      <c r="AN11" s="262">
        <f>VLOOKUP(AN$5,Tech_Specs_Infra!$A$4:$F$9,COLUMN(Tech_Specs_Infra!$C$3)-COLUMN(Tech_Specs_Infra!$A$3)+1,FALSE)</f>
        <v>1</v>
      </c>
      <c r="AO11" s="262">
        <f>VLOOKUP(AO$5,Tech_Specs_Infra!$A$4:$F$9,COLUMN(Tech_Specs_Infra!$C$3)-COLUMN(Tech_Specs_Infra!$A$3)+1,FALSE)</f>
        <v>1.1599999999999999</v>
      </c>
      <c r="AP11" s="262">
        <f>VLOOKUP(AP$5,Tech_Specs_Infra!$A$4:$F$9,COLUMN(Tech_Specs_Infra!$C$3)-COLUMN(Tech_Specs_Infra!$A$3)+1,FALSE)</f>
        <v>1.1599999999999999</v>
      </c>
      <c r="AQ11" s="262">
        <f>VLOOKUP(AQ$5,Tech_Specs_Infra!$A$4:$F$9,COLUMN(Tech_Specs_Infra!$C$3)-COLUMN(Tech_Specs_Infra!$A$3)+1,FALSE)</f>
        <v>1.1599999999999999</v>
      </c>
      <c r="AR11" s="262">
        <f>VLOOKUP(AR$5,Tech_Specs_Infra!$A$4:$F$9,COLUMN(Tech_Specs_Infra!$C$3)-COLUMN(Tech_Specs_Infra!$A$3)+1,FALSE)</f>
        <v>1.1599999999999999</v>
      </c>
      <c r="AS11" s="262">
        <f>VLOOKUP(AS$5,Tech_Specs_Infra!$A$4:$F$9,COLUMN(Tech_Specs_Infra!$C$3)-COLUMN(Tech_Specs_Infra!$A$3)+1,FALSE)</f>
        <v>1.1599999999999999</v>
      </c>
      <c r="AT11" s="262">
        <f>VLOOKUP(AT$5,Tech_Specs_Infra!$A$4:$F$9,COLUMN(Tech_Specs_Infra!$C$3)-COLUMN(Tech_Specs_Infra!$A$3)+1,FALSE)</f>
        <v>1.1599999999999999</v>
      </c>
      <c r="AU11" s="262">
        <f>VLOOKUP(AU$5,Tech_Specs_Infra!$A$4:$F$9,COLUMN(Tech_Specs_Infra!$C$3)-COLUMN(Tech_Specs_Infra!$A$3)+1,FALSE)</f>
        <v>1.1599999999999999</v>
      </c>
      <c r="AV11" s="262">
        <f>VLOOKUP(AV$5,Tech_Specs_Infra!$A$4:$F$9,COLUMN(Tech_Specs_Infra!$C$3)-COLUMN(Tech_Specs_Infra!$A$3)+1,FALSE)</f>
        <v>1.1599999999999999</v>
      </c>
      <c r="AW11" s="262">
        <f>VLOOKUP(AW$5,Tech_Specs_Infra!$A$4:$F$9,COLUMN(Tech_Specs_Infra!$C$3)-COLUMN(Tech_Specs_Infra!$A$3)+1,FALSE)</f>
        <v>1.1599999999999999</v>
      </c>
      <c r="AX11" s="262">
        <f>VLOOKUP(AX$5,Tech_Specs_Infra!$A$4:$F$9,COLUMN(Tech_Specs_Infra!$C$3)-COLUMN(Tech_Specs_Infra!$A$3)+1,FALSE)</f>
        <v>1.1599999999999999</v>
      </c>
      <c r="AY11" s="262">
        <f>VLOOKUP(AY$5,Tech_Specs_Infra!$A$4:$F$9,COLUMN(Tech_Specs_Infra!$C$3)-COLUMN(Tech_Specs_Infra!$A$3)+1,FALSE)</f>
        <v>1.1599999999999999</v>
      </c>
      <c r="AZ11" s="262">
        <f>VLOOKUP(AZ$5,Tech_Specs_Infra!$A$4:$F$9,COLUMN(Tech_Specs_Infra!$C$3)-COLUMN(Tech_Specs_Infra!$A$3)+1,FALSE)</f>
        <v>1.1599999999999999</v>
      </c>
      <c r="BA11" s="262">
        <f>VLOOKUP(BA$5,Tech_Specs_Infra!$A$4:$F$9,COLUMN(Tech_Specs_Infra!$C$3)-COLUMN(Tech_Specs_Infra!$A$3)+1,FALSE)</f>
        <v>1.1599999999999999</v>
      </c>
      <c r="BB11" s="262">
        <f>VLOOKUP(BB$5,Tech_Specs_Infra!$A$4:$F$9,COLUMN(Tech_Specs_Infra!$C$3)-COLUMN(Tech_Specs_Infra!$A$3)+1,FALSE)</f>
        <v>1.1599999999999999</v>
      </c>
      <c r="BC11" s="262">
        <f>VLOOKUP(BC$5,Tech_Specs_Infra!$A$4:$F$9,COLUMN(Tech_Specs_Infra!$C$3)-COLUMN(Tech_Specs_Infra!$A$3)+1,FALSE)</f>
        <v>1</v>
      </c>
      <c r="BD11" s="262">
        <f>VLOOKUP(BD$5,Tech_Specs_Infra!$A$4:$F$9,COLUMN(Tech_Specs_Infra!$C$3)-COLUMN(Tech_Specs_Infra!$A$3)+1,FALSE)</f>
        <v>1</v>
      </c>
      <c r="BE11" s="262">
        <f>VLOOKUP(BE$5,Tech_Specs_Infra!$A$4:$F$9,COLUMN(Tech_Specs_Infra!$C$3)-COLUMN(Tech_Specs_Infra!$A$3)+1,FALSE)</f>
        <v>1</v>
      </c>
      <c r="BF11" s="262">
        <f>VLOOKUP(BF$5,Tech_Specs_Infra!$A$4:$F$9,COLUMN(Tech_Specs_Infra!$C$3)-COLUMN(Tech_Specs_Infra!$A$3)+1,FALSE)</f>
        <v>1</v>
      </c>
      <c r="BG11" s="262">
        <f>VLOOKUP(BG$5,Tech_Specs_Infra!$A$4:$F$9,COLUMN(Tech_Specs_Infra!$C$3)-COLUMN(Tech_Specs_Infra!$A$3)+1,FALSE)</f>
        <v>1</v>
      </c>
      <c r="BH11" s="262">
        <f>VLOOKUP(BH$5,Tech_Specs_Infra!$A$4:$F$9,COLUMN(Tech_Specs_Infra!$C$3)-COLUMN(Tech_Specs_Infra!$A$3)+1,FALSE)</f>
        <v>1</v>
      </c>
      <c r="BI11" s="262">
        <f>VLOOKUP(BI$5,Tech_Specs_Infra!$A$4:$F$9,COLUMN(Tech_Specs_Infra!$C$3)-COLUMN(Tech_Specs_Infra!$A$3)+1,FALSE)</f>
        <v>1</v>
      </c>
      <c r="BJ11" s="262">
        <f>VLOOKUP(BJ$5,Tech_Specs_Infra!$A$4:$F$9,COLUMN(Tech_Specs_Infra!$C$3)-COLUMN(Tech_Specs_Infra!$A$3)+1,FALSE)</f>
        <v>1</v>
      </c>
      <c r="BK11" s="262">
        <f>VLOOKUP(BK$5,Tech_Specs_Infra!$A$4:$F$9,COLUMN(Tech_Specs_Infra!$C$3)-COLUMN(Tech_Specs_Infra!$A$3)+1,FALSE)</f>
        <v>1</v>
      </c>
      <c r="BL11" s="262">
        <f>VLOOKUP(BL$5,Tech_Specs_Infra!$A$4:$F$9,COLUMN(Tech_Specs_Infra!$C$3)-COLUMN(Tech_Specs_Infra!$A$3)+1,FALSE)</f>
        <v>1</v>
      </c>
      <c r="BM11" s="262">
        <f>VLOOKUP(BM$5,Tech_Specs_Infra!$A$4:$F$9,COLUMN(Tech_Specs_Infra!$C$3)-COLUMN(Tech_Specs_Infra!$A$3)+1,FALSE)</f>
        <v>1</v>
      </c>
      <c r="BN11" s="262">
        <f>VLOOKUP(BN$5,Tech_Specs_Infra!$A$4:$F$9,COLUMN(Tech_Specs_Infra!$C$3)-COLUMN(Tech_Specs_Infra!$A$3)+1,FALSE)</f>
        <v>1</v>
      </c>
      <c r="BO11" s="262">
        <f>VLOOKUP(BO$5,Tech_Specs_Infra!$A$4:$F$9,COLUMN(Tech_Specs_Infra!$C$3)-COLUMN(Tech_Specs_Infra!$A$3)+1,FALSE)</f>
        <v>1</v>
      </c>
      <c r="BP11" s="262">
        <f>VLOOKUP(BP$5,Tech_Specs_Infra!$A$4:$F$9,COLUMN(Tech_Specs_Infra!$C$3)-COLUMN(Tech_Specs_Infra!$A$3)+1,FALSE)</f>
        <v>1</v>
      </c>
      <c r="BQ11" s="262">
        <f>VLOOKUP(BQ$5,Tech_Specs_Infra!$A$4:$F$9,COLUMN(Tech_Specs_Infra!$C$3)-COLUMN(Tech_Specs_Infra!$A$3)+1,FALSE)</f>
        <v>1</v>
      </c>
      <c r="BR11" s="262">
        <f>VLOOKUP(BR$5,Tech_Specs_Infra!$A$4:$F$9,COLUMN(Tech_Specs_Infra!$C$3)-COLUMN(Tech_Specs_Infra!$A$3)+1,FALSE)</f>
        <v>1</v>
      </c>
      <c r="BS11" s="262">
        <f>VLOOKUP(BS$5,Tech_Specs_Infra!$A$4:$F$9,COLUMN(Tech_Specs_Infra!$C$3)-COLUMN(Tech_Specs_Infra!$A$3)+1,FALSE)</f>
        <v>1</v>
      </c>
      <c r="BT11" s="262">
        <f>VLOOKUP(BT$5,Tech_Specs_Infra!$A$4:$F$9,COLUMN(Tech_Specs_Infra!$C$3)-COLUMN(Tech_Specs_Infra!$A$3)+1,FALSE)</f>
        <v>1</v>
      </c>
      <c r="BU11" s="262">
        <f>VLOOKUP(BU$5,Tech_Specs_Infra!$A$4:$F$9,COLUMN(Tech_Specs_Infra!$C$3)-COLUMN(Tech_Specs_Infra!$A$3)+1,FALSE)</f>
        <v>1</v>
      </c>
      <c r="BV11" s="262">
        <f>VLOOKUP(BV$5,Tech_Specs_Infra!$A$4:$F$9,COLUMN(Tech_Specs_Infra!$C$3)-COLUMN(Tech_Specs_Infra!$A$3)+1,FALSE)</f>
        <v>1</v>
      </c>
      <c r="BW11" s="262">
        <f>VLOOKUP(BW$5,Tech_Specs_Infra!$A$4:$F$9,COLUMN(Tech_Specs_Infra!$C$3)-COLUMN(Tech_Specs_Infra!$A$3)+1,FALSE)</f>
        <v>1</v>
      </c>
      <c r="BX11" s="262">
        <f>VLOOKUP(BX$5,Tech_Specs_Infra!$A$4:$F$9,COLUMN(Tech_Specs_Infra!$C$3)-COLUMN(Tech_Specs_Infra!$A$3)+1,FALSE)</f>
        <v>1</v>
      </c>
      <c r="BY11" s="262">
        <f>VLOOKUP(BY$5,Tech_Specs_Infra!$A$4:$F$9,COLUMN(Tech_Specs_Infra!$C$3)-COLUMN(Tech_Specs_Infra!$A$3)+1,FALSE)</f>
        <v>1</v>
      </c>
      <c r="BZ11" s="262">
        <f>VLOOKUP(BZ$5,Tech_Specs_Infra!$A$4:$F$9,COLUMN(Tech_Specs_Infra!$C$3)-COLUMN(Tech_Specs_Infra!$A$3)+1,FALSE)</f>
        <v>1</v>
      </c>
      <c r="CA11" s="262">
        <f>VLOOKUP(CA$5,Tech_Specs_Infra!$A$4:$F$9,COLUMN(Tech_Specs_Infra!$C$3)-COLUMN(Tech_Specs_Infra!$A$3)+1,FALSE)</f>
        <v>1</v>
      </c>
      <c r="CB11" s="262">
        <f>VLOOKUP(CB$5,Tech_Specs_Infra!$A$4:$F$9,COLUMN(Tech_Specs_Infra!$C$3)-COLUMN(Tech_Specs_Infra!$A$3)+1,FALSE)</f>
        <v>1</v>
      </c>
      <c r="CC11" s="262">
        <f>VLOOKUP(CC$5,Tech_Specs_Infra!$A$4:$F$9,COLUMN(Tech_Specs_Infra!$C$3)-COLUMN(Tech_Specs_Infra!$A$3)+1,FALSE)</f>
        <v>1</v>
      </c>
      <c r="CD11" s="262">
        <f>VLOOKUP(CD$5,Tech_Specs_Infra!$A$4:$F$9,COLUMN(Tech_Specs_Infra!$C$3)-COLUMN(Tech_Specs_Infra!$A$3)+1,FALSE)</f>
        <v>1</v>
      </c>
      <c r="CE11" s="262">
        <f>VLOOKUP(CE$5,Tech_Specs_Infra!$A$4:$F$9,COLUMN(Tech_Specs_Infra!$C$3)-COLUMN(Tech_Specs_Infra!$A$3)+1,FALSE)</f>
        <v>1</v>
      </c>
      <c r="CF11" s="262">
        <f>VLOOKUP(CF$5,Tech_Specs_Infra!$A$4:$F$9,COLUMN(Tech_Specs_Infra!$C$3)-COLUMN(Tech_Specs_Infra!$A$3)+1,FALSE)</f>
        <v>1</v>
      </c>
      <c r="CG11" s="262">
        <f>VLOOKUP(CG$5,Tech_Specs_Infra!$A$4:$F$9,COLUMN(Tech_Specs_Infra!$C$3)-COLUMN(Tech_Specs_Infra!$A$3)+1,FALSE)</f>
        <v>1</v>
      </c>
      <c r="CH11" s="262">
        <f>VLOOKUP(CH$5,Tech_Specs_Infra!$A$4:$F$9,COLUMN(Tech_Specs_Infra!$C$3)-COLUMN(Tech_Specs_Infra!$A$3)+1,FALSE)</f>
        <v>1</v>
      </c>
      <c r="CI11" s="262">
        <f>VLOOKUP(CI$5,Tech_Specs_Infra!$A$4:$F$9,COLUMN(Tech_Specs_Infra!$C$3)-COLUMN(Tech_Specs_Infra!$A$3)+1,FALSE)</f>
        <v>1</v>
      </c>
      <c r="CJ11" s="262">
        <f>VLOOKUP(CJ$5,Tech_Specs_Infra!$A$4:$F$9,COLUMN(Tech_Specs_Infra!$C$3)-COLUMN(Tech_Specs_Infra!$A$3)+1,FALSE)</f>
        <v>1</v>
      </c>
      <c r="CK11" s="262">
        <f>VLOOKUP(CK$5,Tech_Specs_Infra!$A$4:$F$9,COLUMN(Tech_Specs_Infra!$C$3)-COLUMN(Tech_Specs_Infra!$A$3)+1,FALSE)</f>
        <v>1</v>
      </c>
      <c r="CL11" s="262">
        <f>VLOOKUP(CL$5,Tech_Specs_Infra!$A$4:$F$9,COLUMN(Tech_Specs_Infra!$C$3)-COLUMN(Tech_Specs_Infra!$A$3)+1,FALSE)</f>
        <v>1</v>
      </c>
      <c r="CM11" s="262">
        <f>VLOOKUP(CM$5,Tech_Specs_Infra!$A$4:$F$9,COLUMN(Tech_Specs_Infra!$C$3)-COLUMN(Tech_Specs_Infra!$A$3)+1,FALSE)</f>
        <v>1</v>
      </c>
      <c r="CN11" s="262">
        <f>VLOOKUP(CN$5,Tech_Specs_Infra!$A$4:$F$9,COLUMN(Tech_Specs_Infra!$C$3)-COLUMN(Tech_Specs_Infra!$A$3)+1,FALSE)</f>
        <v>1.1599999999999999</v>
      </c>
      <c r="CO11" s="262">
        <f>VLOOKUP(CO$5,Tech_Specs_Infra!$A$4:$F$9,COLUMN(Tech_Specs_Infra!$C$3)-COLUMN(Tech_Specs_Infra!$A$3)+1,FALSE)</f>
        <v>1.1599999999999999</v>
      </c>
      <c r="CP11" s="262">
        <f>VLOOKUP(CP$5,Tech_Specs_Infra!$A$4:$F$9,COLUMN(Tech_Specs_Infra!$C$3)-COLUMN(Tech_Specs_Infra!$A$3)+1,FALSE)</f>
        <v>1.1599999999999999</v>
      </c>
      <c r="CQ11" s="262">
        <f>VLOOKUP(CQ$5,Tech_Specs_Infra!$A$4:$F$9,COLUMN(Tech_Specs_Infra!$C$3)-COLUMN(Tech_Specs_Infra!$A$3)+1,FALSE)</f>
        <v>1.1599999999999999</v>
      </c>
      <c r="CR11" s="262">
        <f>VLOOKUP(CR$5,Tech_Specs_Infra!$A$4:$F$9,COLUMN(Tech_Specs_Infra!$C$3)-COLUMN(Tech_Specs_Infra!$A$3)+1,FALSE)</f>
        <v>1.1599999999999999</v>
      </c>
      <c r="CS11" s="262">
        <f>VLOOKUP(CS$5,Tech_Specs_Infra!$A$4:$F$9,COLUMN(Tech_Specs_Infra!$C$3)-COLUMN(Tech_Specs_Infra!$A$3)+1,FALSE)</f>
        <v>1</v>
      </c>
      <c r="CT11" s="262">
        <f>VLOOKUP(CT$5,Tech_Specs_Infra!$A$4:$F$9,COLUMN(Tech_Specs_Infra!$C$3)-COLUMN(Tech_Specs_Infra!$A$3)+1,FALSE)</f>
        <v>1</v>
      </c>
      <c r="CU11" s="262">
        <f>VLOOKUP(CU$5,Tech_Specs_Infra!$A$4:$F$9,COLUMN(Tech_Specs_Infra!$C$3)-COLUMN(Tech_Specs_Infra!$A$3)+1,FALSE)</f>
        <v>1</v>
      </c>
      <c r="CV11" s="262">
        <f>VLOOKUP(CV$5,Tech_Specs_Infra!$A$4:$F$9,COLUMN(Tech_Specs_Infra!$C$3)-COLUMN(Tech_Specs_Infra!$A$3)+1,FALSE)</f>
        <v>1</v>
      </c>
      <c r="CW11" s="262">
        <f>VLOOKUP(CW$5,Tech_Specs_Infra!$A$4:$F$9,COLUMN(Tech_Specs_Infra!$C$3)-COLUMN(Tech_Specs_Infra!$A$3)+1,FALSE)</f>
        <v>1</v>
      </c>
      <c r="CX11" s="262">
        <f>VLOOKUP(CX$5,Tech_Specs_Infra!$A$4:$F$9,COLUMN(Tech_Specs_Infra!$C$3)-COLUMN(Tech_Specs_Infra!$A$3)+1,FALSE)</f>
        <v>1</v>
      </c>
      <c r="CY11" s="262">
        <f>VLOOKUP(CY$5,Tech_Specs_Infra!$A$4:$F$9,COLUMN(Tech_Specs_Infra!$C$3)-COLUMN(Tech_Specs_Infra!$A$3)+1,FALSE)</f>
        <v>1</v>
      </c>
      <c r="CZ11" s="262">
        <f>VLOOKUP(CZ$5,Tech_Specs_Infra!$A$4:$F$9,COLUMN(Tech_Specs_Infra!$C$3)-COLUMN(Tech_Specs_Infra!$A$3)+1,FALSE)</f>
        <v>1</v>
      </c>
      <c r="DA11" s="262">
        <f>VLOOKUP(DA$5,Tech_Specs_Infra!$A$4:$F$9,COLUMN(Tech_Specs_Infra!$C$3)-COLUMN(Tech_Specs_Infra!$A$3)+1,FALSE)</f>
        <v>1</v>
      </c>
      <c r="DB11" s="262">
        <f>VLOOKUP(DB$5,Tech_Specs_Infra!$A$4:$F$9,COLUMN(Tech_Specs_Infra!$C$3)-COLUMN(Tech_Specs_Infra!$A$3)+1,FALSE)</f>
        <v>1</v>
      </c>
      <c r="DC11" s="262">
        <f>VLOOKUP(DC$5,Tech_Specs_Infra!$A$4:$F$9,COLUMN(Tech_Specs_Infra!$C$3)-COLUMN(Tech_Specs_Infra!$A$3)+1,FALSE)</f>
        <v>1</v>
      </c>
      <c r="DD11" s="262">
        <f>VLOOKUP(DD$5,Tech_Specs_Infra!$A$4:$F$9,COLUMN(Tech_Specs_Infra!$C$3)-COLUMN(Tech_Specs_Infra!$A$3)+1,FALSE)</f>
        <v>1</v>
      </c>
      <c r="DE11" s="262">
        <f>VLOOKUP(DE$5,Tech_Specs_Infra!$A$4:$F$9,COLUMN(Tech_Specs_Infra!$C$3)-COLUMN(Tech_Specs_Infra!$A$3)+1,FALSE)</f>
        <v>1</v>
      </c>
      <c r="DF11" s="262">
        <f>VLOOKUP(DF$5,Tech_Specs_Infra!$A$4:$F$9,COLUMN(Tech_Specs_Infra!$C$3)-COLUMN(Tech_Specs_Infra!$A$3)+1,FALSE)</f>
        <v>1</v>
      </c>
      <c r="DG11" s="262"/>
      <c r="DH11" s="262">
        <f>VLOOKUP(DH$5,Tech_Specs_Infra!$A$4:$F$9,COLUMN(Tech_Specs_Infra!$C$3)-COLUMN(Tech_Specs_Infra!$A$3)+1,FALSE)</f>
        <v>1</v>
      </c>
      <c r="DI11" s="262">
        <f>VLOOKUP(DI$5,Tech_Specs_Infra!$A$4:$F$9,COLUMN(Tech_Specs_Infra!$C$3)-COLUMN(Tech_Specs_Infra!$A$3)+1,FALSE)</f>
        <v>1</v>
      </c>
      <c r="DJ11" s="262">
        <f>VLOOKUP(DJ$5,Tech_Specs_Infra!$A$4:$F$9,COLUMN(Tech_Specs_Infra!$C$3)-COLUMN(Tech_Specs_Infra!$A$3)+1,FALSE)</f>
        <v>1</v>
      </c>
      <c r="DK11" s="262">
        <f>VLOOKUP(DK$5,Tech_Specs_Infra!$A$4:$F$9,COLUMN(Tech_Specs_Infra!$C$3)-COLUMN(Tech_Specs_Infra!$A$3)+1,FALSE)</f>
        <v>1</v>
      </c>
      <c r="DL11" s="262">
        <f>VLOOKUP(DL$5,Tech_Specs_Infra!$A$4:$F$9,COLUMN(Tech_Specs_Infra!$C$3)-COLUMN(Tech_Specs_Infra!$A$3)+1,FALSE)</f>
        <v>1</v>
      </c>
      <c r="DM11" s="262">
        <f>VLOOKUP(DM$5,Tech_Specs_Infra!$A$4:$F$9,COLUMN(Tech_Specs_Infra!$C$3)-COLUMN(Tech_Specs_Infra!$A$3)+1,FALSE)</f>
        <v>1</v>
      </c>
      <c r="DN11" s="262">
        <f>VLOOKUP(DN$5,Tech_Specs_Infra!$A$4:$F$9,COLUMN(Tech_Specs_Infra!$C$3)-COLUMN(Tech_Specs_Infra!$A$3)+1,FALSE)</f>
        <v>1</v>
      </c>
      <c r="DO11" s="262">
        <f>VLOOKUP(DO$5,Tech_Specs_Infra!$A$4:$F$9,COLUMN(Tech_Specs_Infra!$C$3)-COLUMN(Tech_Specs_Infra!$A$3)+1,FALSE)</f>
        <v>1</v>
      </c>
      <c r="DP11" s="262">
        <f>VLOOKUP(DP$5,Tech_Specs_Infra!$A$4:$F$9,COLUMN(Tech_Specs_Infra!$C$3)-COLUMN(Tech_Specs_Infra!$A$3)+1,FALSE)</f>
        <v>1</v>
      </c>
      <c r="DQ11" s="262">
        <f>VLOOKUP(DQ$5,Tech_Specs_Infra!$A$4:$F$9,COLUMN(Tech_Specs_Infra!$C$3)-COLUMN(Tech_Specs_Infra!$A$3)+1,FALSE)</f>
        <v>1</v>
      </c>
      <c r="DR11" s="262">
        <f>VLOOKUP(DR$5,Tech_Specs_Infra!$A$4:$F$9,COLUMN(Tech_Specs_Infra!$C$3)-COLUMN(Tech_Specs_Infra!$A$3)+1,FALSE)</f>
        <v>1</v>
      </c>
      <c r="DS11" s="262">
        <f>VLOOKUP(DS$5,Tech_Specs_Infra!$A$4:$F$9,COLUMN(Tech_Specs_Infra!$C$3)-COLUMN(Tech_Specs_Infra!$A$3)+1,FALSE)</f>
        <v>1</v>
      </c>
      <c r="DT11" s="262">
        <f>VLOOKUP(DT$5,Tech_Specs_Infra!$A$4:$F$9,COLUMN(Tech_Specs_Infra!$C$3)-COLUMN(Tech_Specs_Infra!$A$3)+1,FALSE)</f>
        <v>1</v>
      </c>
      <c r="DU11" s="262">
        <f>VLOOKUP(DU$5,Tech_Specs_Infra!$A$4:$F$9,COLUMN(Tech_Specs_Infra!$C$3)-COLUMN(Tech_Specs_Infra!$A$3)+1,FALSE)</f>
        <v>1</v>
      </c>
      <c r="DV11" s="262">
        <f>VLOOKUP(DV$5,Tech_Specs_Infra!$A$4:$F$9,COLUMN(Tech_Specs_Infra!$C$3)-COLUMN(Tech_Specs_Infra!$A$3)+1,FALSE)</f>
        <v>1</v>
      </c>
      <c r="DW11" s="262">
        <f>VLOOKUP(DW$5,Tech_Specs_Infra!$A$4:$F$9,COLUMN(Tech_Specs_Infra!$C$3)-COLUMN(Tech_Specs_Infra!$A$3)+1,FALSE)</f>
        <v>1</v>
      </c>
      <c r="DX11" s="262">
        <f>VLOOKUP(DX$5,Tech_Specs_Infra!$A$4:$F$9,COLUMN(Tech_Specs_Infra!$C$3)-COLUMN(Tech_Specs_Infra!$A$3)+1,FALSE)</f>
        <v>0</v>
      </c>
      <c r="DY11" s="262">
        <f>VLOOKUP(DY$5,Tech_Specs_Infra!$A$4:$F$9,COLUMN(Tech_Specs_Infra!$C$3)-COLUMN(Tech_Specs_Infra!$A$3)+1,FALSE)</f>
        <v>0</v>
      </c>
      <c r="DZ11" s="262">
        <f>VLOOKUP(DZ$5,Tech_Specs_Infra!$A$4:$F$9,COLUMN(Tech_Specs_Infra!$C$3)-COLUMN(Tech_Specs_Infra!$A$3)+1,FALSE)</f>
        <v>0</v>
      </c>
      <c r="EA11" s="262">
        <f>VLOOKUP(EA$5,Tech_Specs_Infra!$A$4:$F$9,COLUMN(Tech_Specs_Infra!$C$3)-COLUMN(Tech_Specs_Infra!$A$3)+1,FALSE)</f>
        <v>0</v>
      </c>
      <c r="EB11" s="262">
        <f>VLOOKUP(EB$5,Tech_Specs_Infra!$A$4:$F$9,COLUMN(Tech_Specs_Infra!$C$3)-COLUMN(Tech_Specs_Infra!$A$3)+1,FALSE)</f>
        <v>0</v>
      </c>
      <c r="EC11" s="262">
        <f>VLOOKUP(EC$5,Tech_Specs_Infra!$A$4:$F$9,COLUMN(Tech_Specs_Infra!$C$3)-COLUMN(Tech_Specs_Infra!$A$3)+1,FALSE)</f>
        <v>0</v>
      </c>
      <c r="ED11" s="262">
        <f>VLOOKUP(ED$5,Tech_Specs_Infra!$A$4:$F$9,COLUMN(Tech_Specs_Infra!$C$3)-COLUMN(Tech_Specs_Infra!$A$3)+1,FALSE)</f>
        <v>0</v>
      </c>
    </row>
    <row r="12" spans="1:138" x14ac:dyDescent="0.3">
      <c r="A12" s="21" t="str">
        <f>"   "&amp;Tech_Specs_Infra!E3</f>
        <v xml:space="preserve">   Cement </v>
      </c>
      <c r="D12" s="262">
        <f>VLOOKUP(D$5,Tech_Specs_Infra!$A$4:$F$9,COLUMN(Tech_Specs_Infra!$E$3)-COLUMN(Tech_Specs_Infra!$A$3)+1,FALSE)</f>
        <v>22.5</v>
      </c>
      <c r="E12" s="262">
        <f>VLOOKUP(E$5,Tech_Specs_Infra!$A$4:$F$9,COLUMN(Tech_Specs_Infra!$E$3)-COLUMN(Tech_Specs_Infra!$A$3)+1,FALSE)</f>
        <v>22.5</v>
      </c>
      <c r="F12" s="262">
        <f>VLOOKUP(F$5,Tech_Specs_Infra!$A$4:$F$9,COLUMN(Tech_Specs_Infra!$E$3)-COLUMN(Tech_Specs_Infra!$A$3)+1,FALSE)</f>
        <v>22.5</v>
      </c>
      <c r="G12" s="262">
        <f>VLOOKUP(G$5,Tech_Specs_Infra!$A$4:$F$9,COLUMN(Tech_Specs_Infra!$E$3)-COLUMN(Tech_Specs_Infra!$A$3)+1,FALSE)</f>
        <v>22.5</v>
      </c>
      <c r="H12" s="262">
        <f>VLOOKUP(H$5,Tech_Specs_Infra!$A$4:$F$9,COLUMN(Tech_Specs_Infra!$E$3)-COLUMN(Tech_Specs_Infra!$A$3)+1,FALSE)</f>
        <v>22.5</v>
      </c>
      <c r="I12" s="262">
        <f>VLOOKUP(I$5,Tech_Specs_Infra!$A$4:$F$9,COLUMN(Tech_Specs_Infra!$E$3)-COLUMN(Tech_Specs_Infra!$A$3)+1,FALSE)</f>
        <v>22.5</v>
      </c>
      <c r="J12" s="262">
        <f>VLOOKUP(J$5,Tech_Specs_Infra!$A$4:$F$9,COLUMN(Tech_Specs_Infra!$E$3)-COLUMN(Tech_Specs_Infra!$A$3)+1,FALSE)</f>
        <v>22.5</v>
      </c>
      <c r="K12" s="262">
        <f>VLOOKUP(K$5,Tech_Specs_Infra!$A$4:$F$9,COLUMN(Tech_Specs_Infra!$E$3)-COLUMN(Tech_Specs_Infra!$A$3)+1,FALSE)</f>
        <v>22.5</v>
      </c>
      <c r="L12" s="262">
        <f>VLOOKUP(L$5,Tech_Specs_Infra!$A$4:$F$9,COLUMN(Tech_Specs_Infra!$E$3)-COLUMN(Tech_Specs_Infra!$A$3)+1,FALSE)</f>
        <v>22.5</v>
      </c>
      <c r="M12" s="262">
        <f>VLOOKUP(M$5,Tech_Specs_Infra!$A$4:$F$9,COLUMN(Tech_Specs_Infra!$E$3)-COLUMN(Tech_Specs_Infra!$A$3)+1,FALSE)</f>
        <v>22.5</v>
      </c>
      <c r="N12" s="262">
        <f>VLOOKUP(N$5,Tech_Specs_Infra!$A$4:$F$9,COLUMN(Tech_Specs_Infra!$E$3)-COLUMN(Tech_Specs_Infra!$A$3)+1,FALSE)</f>
        <v>22.5</v>
      </c>
      <c r="O12" s="262">
        <f>VLOOKUP(O$5,Tech_Specs_Infra!$A$4:$F$9,COLUMN(Tech_Specs_Infra!$E$3)-COLUMN(Tech_Specs_Infra!$A$3)+1,FALSE)</f>
        <v>22.5</v>
      </c>
      <c r="P12" s="262">
        <f>VLOOKUP(P$5,Tech_Specs_Infra!$A$4:$F$9,COLUMN(Tech_Specs_Infra!$E$3)-COLUMN(Tech_Specs_Infra!$A$3)+1,FALSE)</f>
        <v>22.5</v>
      </c>
      <c r="Q12" s="262">
        <f>VLOOKUP(Q$5,Tech_Specs_Infra!$A$4:$F$9,COLUMN(Tech_Specs_Infra!$E$3)-COLUMN(Tech_Specs_Infra!$A$3)+1,FALSE)</f>
        <v>22.5</v>
      </c>
      <c r="R12" s="262">
        <f>VLOOKUP(R$5,Tech_Specs_Infra!$A$4:$F$9,COLUMN(Tech_Specs_Infra!$E$3)-COLUMN(Tech_Specs_Infra!$A$3)+1,FALSE)</f>
        <v>22.5</v>
      </c>
      <c r="S12" s="262">
        <f>VLOOKUP(S$5,Tech_Specs_Infra!$A$4:$F$9,COLUMN(Tech_Specs_Infra!$E$3)-COLUMN(Tech_Specs_Infra!$A$3)+1,FALSE)</f>
        <v>22.5</v>
      </c>
      <c r="T12" s="262">
        <f>VLOOKUP(T$5,Tech_Specs_Infra!$A$4:$F$9,COLUMN(Tech_Specs_Infra!$E$3)-COLUMN(Tech_Specs_Infra!$A$3)+1,FALSE)</f>
        <v>22.5</v>
      </c>
      <c r="U12" s="262">
        <f>VLOOKUP(U$5,Tech_Specs_Infra!$A$4:$F$9,COLUMN(Tech_Specs_Infra!$E$3)-COLUMN(Tech_Specs_Infra!$A$3)+1,FALSE)</f>
        <v>22.5</v>
      </c>
      <c r="V12" s="262">
        <f>VLOOKUP(V$5,Tech_Specs_Infra!$A$4:$F$9,COLUMN(Tech_Specs_Infra!$E$3)-COLUMN(Tech_Specs_Infra!$A$3)+1,FALSE)</f>
        <v>22.5</v>
      </c>
      <c r="W12" s="262">
        <f>VLOOKUP(W$5,Tech_Specs_Infra!$A$4:$F$9,COLUMN(Tech_Specs_Infra!$E$3)-COLUMN(Tech_Specs_Infra!$A$3)+1,FALSE)</f>
        <v>22.5</v>
      </c>
      <c r="X12" s="262">
        <f>VLOOKUP(X$5,Tech_Specs_Infra!$A$4:$F$9,COLUMN(Tech_Specs_Infra!$E$3)-COLUMN(Tech_Specs_Infra!$A$3)+1,FALSE)</f>
        <v>22.5</v>
      </c>
      <c r="Y12" s="262">
        <f>VLOOKUP(Y$5,Tech_Specs_Infra!$A$4:$F$9,COLUMN(Tech_Specs_Infra!$E$3)-COLUMN(Tech_Specs_Infra!$A$3)+1,FALSE)</f>
        <v>22.5</v>
      </c>
      <c r="Z12" s="262">
        <f>VLOOKUP(Z$5,Tech_Specs_Infra!$A$4:$F$9,COLUMN(Tech_Specs_Infra!$E$3)-COLUMN(Tech_Specs_Infra!$A$3)+1,FALSE)</f>
        <v>22.5</v>
      </c>
      <c r="AA12" s="262">
        <f>VLOOKUP(AA$5,Tech_Specs_Infra!$A$4:$F$9,COLUMN(Tech_Specs_Infra!$E$3)-COLUMN(Tech_Specs_Infra!$A$3)+1,FALSE)</f>
        <v>22.5</v>
      </c>
      <c r="AB12" s="262">
        <f>VLOOKUP(AB$5,Tech_Specs_Infra!$A$4:$F$9,COLUMN(Tech_Specs_Infra!$E$3)-COLUMN(Tech_Specs_Infra!$A$3)+1,FALSE)</f>
        <v>22.5</v>
      </c>
      <c r="AC12" s="262">
        <f>VLOOKUP(AC$5,Tech_Specs_Infra!$A$4:$F$9,COLUMN(Tech_Specs_Infra!$E$3)-COLUMN(Tech_Specs_Infra!$A$3)+1,FALSE)</f>
        <v>22.5</v>
      </c>
      <c r="AD12" s="262">
        <f>VLOOKUP(AD$5,Tech_Specs_Infra!$A$4:$F$9,COLUMN(Tech_Specs_Infra!$E$3)-COLUMN(Tech_Specs_Infra!$A$3)+1,FALSE)</f>
        <v>22.5</v>
      </c>
      <c r="AE12" s="262">
        <f>VLOOKUP(AE$5,Tech_Specs_Infra!$A$4:$F$9,COLUMN(Tech_Specs_Infra!$E$3)-COLUMN(Tech_Specs_Infra!$A$3)+1,FALSE)</f>
        <v>22.5</v>
      </c>
      <c r="AF12" s="262">
        <f>VLOOKUP(AF$5,Tech_Specs_Infra!$A$4:$F$9,COLUMN(Tech_Specs_Infra!$E$3)-COLUMN(Tech_Specs_Infra!$A$3)+1,FALSE)</f>
        <v>22.5</v>
      </c>
      <c r="AG12" s="262">
        <f>VLOOKUP(AG$5,Tech_Specs_Infra!$A$4:$F$9,COLUMN(Tech_Specs_Infra!$E$3)-COLUMN(Tech_Specs_Infra!$A$3)+1,FALSE)</f>
        <v>22.5</v>
      </c>
      <c r="AH12" s="262">
        <f>VLOOKUP(AH$5,Tech_Specs_Infra!$A$4:$F$9,COLUMN(Tech_Specs_Infra!$E$3)-COLUMN(Tech_Specs_Infra!$A$3)+1,FALSE)</f>
        <v>22.5</v>
      </c>
      <c r="AI12" s="262">
        <f>VLOOKUP(AI$5,Tech_Specs_Infra!$A$4:$F$9,COLUMN(Tech_Specs_Infra!$E$3)-COLUMN(Tech_Specs_Infra!$A$3)+1,FALSE)</f>
        <v>22.5</v>
      </c>
      <c r="AJ12" s="262">
        <f>VLOOKUP(AJ$5,Tech_Specs_Infra!$A$4:$F$9,COLUMN(Tech_Specs_Infra!$E$3)-COLUMN(Tech_Specs_Infra!$A$3)+1,FALSE)</f>
        <v>22.5</v>
      </c>
      <c r="AK12" s="262">
        <f>VLOOKUP(AK$5,Tech_Specs_Infra!$A$4:$F$9,COLUMN(Tech_Specs_Infra!$E$3)-COLUMN(Tech_Specs_Infra!$A$3)+1,FALSE)</f>
        <v>212.5</v>
      </c>
      <c r="AL12" s="262">
        <f>VLOOKUP(AL$5,Tech_Specs_Infra!$A$4:$F$9,COLUMN(Tech_Specs_Infra!$E$3)-COLUMN(Tech_Specs_Infra!$A$3)+1,FALSE)</f>
        <v>212.5</v>
      </c>
      <c r="AM12" s="262">
        <f>VLOOKUP(AM$5,Tech_Specs_Infra!$A$4:$F$9,COLUMN(Tech_Specs_Infra!$E$3)-COLUMN(Tech_Specs_Infra!$A$3)+1,FALSE)</f>
        <v>212.5</v>
      </c>
      <c r="AN12" s="262">
        <f>VLOOKUP(AN$5,Tech_Specs_Infra!$A$4:$F$9,COLUMN(Tech_Specs_Infra!$E$3)-COLUMN(Tech_Specs_Infra!$A$3)+1,FALSE)</f>
        <v>212.5</v>
      </c>
      <c r="AO12" s="262">
        <f>VLOOKUP(AO$5,Tech_Specs_Infra!$A$4:$F$9,COLUMN(Tech_Specs_Infra!$E$3)-COLUMN(Tech_Specs_Infra!$A$3)+1,FALSE)</f>
        <v>241.25</v>
      </c>
      <c r="AP12" s="262">
        <f>VLOOKUP(AP$5,Tech_Specs_Infra!$A$4:$F$9,COLUMN(Tech_Specs_Infra!$E$3)-COLUMN(Tech_Specs_Infra!$A$3)+1,FALSE)</f>
        <v>241.25</v>
      </c>
      <c r="AQ12" s="262">
        <f>VLOOKUP(AQ$5,Tech_Specs_Infra!$A$4:$F$9,COLUMN(Tech_Specs_Infra!$E$3)-COLUMN(Tech_Specs_Infra!$A$3)+1,FALSE)</f>
        <v>241.25</v>
      </c>
      <c r="AR12" s="262">
        <f>VLOOKUP(AR$5,Tech_Specs_Infra!$A$4:$F$9,COLUMN(Tech_Specs_Infra!$E$3)-COLUMN(Tech_Specs_Infra!$A$3)+1,FALSE)</f>
        <v>241.25</v>
      </c>
      <c r="AS12" s="262">
        <f>VLOOKUP(AS$5,Tech_Specs_Infra!$A$4:$F$9,COLUMN(Tech_Specs_Infra!$E$3)-COLUMN(Tech_Specs_Infra!$A$3)+1,FALSE)</f>
        <v>241.25</v>
      </c>
      <c r="AT12" s="262">
        <f>VLOOKUP(AT$5,Tech_Specs_Infra!$A$4:$F$9,COLUMN(Tech_Specs_Infra!$E$3)-COLUMN(Tech_Specs_Infra!$A$3)+1,FALSE)</f>
        <v>241.25</v>
      </c>
      <c r="AU12" s="262">
        <f>VLOOKUP(AU$5,Tech_Specs_Infra!$A$4:$F$9,COLUMN(Tech_Specs_Infra!$E$3)-COLUMN(Tech_Specs_Infra!$A$3)+1,FALSE)</f>
        <v>241.25</v>
      </c>
      <c r="AV12" s="262">
        <f>VLOOKUP(AV$5,Tech_Specs_Infra!$A$4:$F$9,COLUMN(Tech_Specs_Infra!$E$3)-COLUMN(Tech_Specs_Infra!$A$3)+1,FALSE)</f>
        <v>241.25</v>
      </c>
      <c r="AW12" s="262">
        <f>VLOOKUP(AW$5,Tech_Specs_Infra!$A$4:$F$9,COLUMN(Tech_Specs_Infra!$E$3)-COLUMN(Tech_Specs_Infra!$A$3)+1,FALSE)</f>
        <v>241.25</v>
      </c>
      <c r="AX12" s="262">
        <f>VLOOKUP(AX$5,Tech_Specs_Infra!$A$4:$F$9,COLUMN(Tech_Specs_Infra!$E$3)-COLUMN(Tech_Specs_Infra!$A$3)+1,FALSE)</f>
        <v>241.25</v>
      </c>
      <c r="AY12" s="262">
        <f>VLOOKUP(AY$5,Tech_Specs_Infra!$A$4:$F$9,COLUMN(Tech_Specs_Infra!$E$3)-COLUMN(Tech_Specs_Infra!$A$3)+1,FALSE)</f>
        <v>241.25</v>
      </c>
      <c r="AZ12" s="262">
        <f>VLOOKUP(AZ$5,Tech_Specs_Infra!$A$4:$F$9,COLUMN(Tech_Specs_Infra!$E$3)-COLUMN(Tech_Specs_Infra!$A$3)+1,FALSE)</f>
        <v>241.25</v>
      </c>
      <c r="BA12" s="262">
        <f>VLOOKUP(BA$5,Tech_Specs_Infra!$A$4:$F$9,COLUMN(Tech_Specs_Infra!$E$3)-COLUMN(Tech_Specs_Infra!$A$3)+1,FALSE)</f>
        <v>241.25</v>
      </c>
      <c r="BB12" s="262">
        <f>VLOOKUP(BB$5,Tech_Specs_Infra!$A$4:$F$9,COLUMN(Tech_Specs_Infra!$E$3)-COLUMN(Tech_Specs_Infra!$A$3)+1,FALSE)</f>
        <v>241.25</v>
      </c>
      <c r="BC12" s="262">
        <f>VLOOKUP(BC$5,Tech_Specs_Infra!$A$4:$F$9,COLUMN(Tech_Specs_Infra!$E$3)-COLUMN(Tech_Specs_Infra!$A$3)+1,FALSE)</f>
        <v>212.5</v>
      </c>
      <c r="BD12" s="262">
        <f>VLOOKUP(BD$5,Tech_Specs_Infra!$A$4:$F$9,COLUMN(Tech_Specs_Infra!$E$3)-COLUMN(Tech_Specs_Infra!$A$3)+1,FALSE)</f>
        <v>212.5</v>
      </c>
      <c r="BE12" s="262">
        <f>VLOOKUP(BE$5,Tech_Specs_Infra!$A$4:$F$9,COLUMN(Tech_Specs_Infra!$E$3)-COLUMN(Tech_Specs_Infra!$A$3)+1,FALSE)</f>
        <v>212.5</v>
      </c>
      <c r="BF12" s="262">
        <f>VLOOKUP(BF$5,Tech_Specs_Infra!$A$4:$F$9,COLUMN(Tech_Specs_Infra!$E$3)-COLUMN(Tech_Specs_Infra!$A$3)+1,FALSE)</f>
        <v>212.5</v>
      </c>
      <c r="BG12" s="262">
        <f>VLOOKUP(BG$5,Tech_Specs_Infra!$A$4:$F$9,COLUMN(Tech_Specs_Infra!$E$3)-COLUMN(Tech_Specs_Infra!$A$3)+1,FALSE)</f>
        <v>212.5</v>
      </c>
      <c r="BH12" s="262">
        <f>VLOOKUP(BH$5,Tech_Specs_Infra!$A$4:$F$9,COLUMN(Tech_Specs_Infra!$E$3)-COLUMN(Tech_Specs_Infra!$A$3)+1,FALSE)</f>
        <v>212.5</v>
      </c>
      <c r="BI12" s="262">
        <f>VLOOKUP(BI$5,Tech_Specs_Infra!$A$4:$F$9,COLUMN(Tech_Specs_Infra!$E$3)-COLUMN(Tech_Specs_Infra!$A$3)+1,FALSE)</f>
        <v>212.5</v>
      </c>
      <c r="BJ12" s="262">
        <f>VLOOKUP(BJ$5,Tech_Specs_Infra!$A$4:$F$9,COLUMN(Tech_Specs_Infra!$E$3)-COLUMN(Tech_Specs_Infra!$A$3)+1,FALSE)</f>
        <v>212.5</v>
      </c>
      <c r="BK12" s="262">
        <f>VLOOKUP(BK$5,Tech_Specs_Infra!$A$4:$F$9,COLUMN(Tech_Specs_Infra!$E$3)-COLUMN(Tech_Specs_Infra!$A$3)+1,FALSE)</f>
        <v>212.5</v>
      </c>
      <c r="BL12" s="262">
        <f>VLOOKUP(BL$5,Tech_Specs_Infra!$A$4:$F$9,COLUMN(Tech_Specs_Infra!$E$3)-COLUMN(Tech_Specs_Infra!$A$3)+1,FALSE)</f>
        <v>212.5</v>
      </c>
      <c r="BM12" s="262">
        <f>VLOOKUP(BM$5,Tech_Specs_Infra!$A$4:$F$9,COLUMN(Tech_Specs_Infra!$E$3)-COLUMN(Tech_Specs_Infra!$A$3)+1,FALSE)</f>
        <v>212.5</v>
      </c>
      <c r="BN12" s="262">
        <f>VLOOKUP(BN$5,Tech_Specs_Infra!$A$4:$F$9,COLUMN(Tech_Specs_Infra!$E$3)-COLUMN(Tech_Specs_Infra!$A$3)+1,FALSE)</f>
        <v>212.5</v>
      </c>
      <c r="BO12" s="262">
        <f>VLOOKUP(BO$5,Tech_Specs_Infra!$A$4:$F$9,COLUMN(Tech_Specs_Infra!$E$3)-COLUMN(Tech_Specs_Infra!$A$3)+1,FALSE)</f>
        <v>212.5</v>
      </c>
      <c r="BP12" s="262">
        <f>VLOOKUP(BP$5,Tech_Specs_Infra!$A$4:$F$9,COLUMN(Tech_Specs_Infra!$E$3)-COLUMN(Tech_Specs_Infra!$A$3)+1,FALSE)</f>
        <v>212.5</v>
      </c>
      <c r="BQ12" s="262">
        <f>VLOOKUP(BQ$5,Tech_Specs_Infra!$A$4:$F$9,COLUMN(Tech_Specs_Infra!$E$3)-COLUMN(Tech_Specs_Infra!$A$3)+1,FALSE)</f>
        <v>212.5</v>
      </c>
      <c r="BR12" s="262">
        <f>VLOOKUP(BR$5,Tech_Specs_Infra!$A$4:$F$9,COLUMN(Tech_Specs_Infra!$E$3)-COLUMN(Tech_Specs_Infra!$A$3)+1,FALSE)</f>
        <v>212.5</v>
      </c>
      <c r="BS12" s="262">
        <f>VLOOKUP(BS$5,Tech_Specs_Infra!$A$4:$F$9,COLUMN(Tech_Specs_Infra!$E$3)-COLUMN(Tech_Specs_Infra!$A$3)+1,FALSE)</f>
        <v>212.5</v>
      </c>
      <c r="BT12" s="262">
        <f>VLOOKUP(BT$5,Tech_Specs_Infra!$A$4:$F$9,COLUMN(Tech_Specs_Infra!$E$3)-COLUMN(Tech_Specs_Infra!$A$3)+1,FALSE)</f>
        <v>212.5</v>
      </c>
      <c r="BU12" s="262">
        <f>VLOOKUP(BU$5,Tech_Specs_Infra!$A$4:$F$9,COLUMN(Tech_Specs_Infra!$E$3)-COLUMN(Tech_Specs_Infra!$A$3)+1,FALSE)</f>
        <v>212.5</v>
      </c>
      <c r="BV12" s="262">
        <f>VLOOKUP(BV$5,Tech_Specs_Infra!$A$4:$F$9,COLUMN(Tech_Specs_Infra!$E$3)-COLUMN(Tech_Specs_Infra!$A$3)+1,FALSE)</f>
        <v>212.5</v>
      </c>
      <c r="BW12" s="262">
        <f>VLOOKUP(BW$5,Tech_Specs_Infra!$A$4:$F$9,COLUMN(Tech_Specs_Infra!$E$3)-COLUMN(Tech_Specs_Infra!$A$3)+1,FALSE)</f>
        <v>212.5</v>
      </c>
      <c r="BX12" s="262">
        <f>VLOOKUP(BX$5,Tech_Specs_Infra!$A$4:$F$9,COLUMN(Tech_Specs_Infra!$E$3)-COLUMN(Tech_Specs_Infra!$A$3)+1,FALSE)</f>
        <v>212.5</v>
      </c>
      <c r="BY12" s="262">
        <f>VLOOKUP(BY$5,Tech_Specs_Infra!$A$4:$F$9,COLUMN(Tech_Specs_Infra!$E$3)-COLUMN(Tech_Specs_Infra!$A$3)+1,FALSE)</f>
        <v>212.5</v>
      </c>
      <c r="BZ12" s="262">
        <f>VLOOKUP(BZ$5,Tech_Specs_Infra!$A$4:$F$9,COLUMN(Tech_Specs_Infra!$E$3)-COLUMN(Tech_Specs_Infra!$A$3)+1,FALSE)</f>
        <v>212.5</v>
      </c>
      <c r="CA12" s="262">
        <f>VLOOKUP(CA$5,Tech_Specs_Infra!$A$4:$F$9,COLUMN(Tech_Specs_Infra!$E$3)-COLUMN(Tech_Specs_Infra!$A$3)+1,FALSE)</f>
        <v>212.5</v>
      </c>
      <c r="CB12" s="262">
        <f>VLOOKUP(CB$5,Tech_Specs_Infra!$A$4:$F$9,COLUMN(Tech_Specs_Infra!$E$3)-COLUMN(Tech_Specs_Infra!$A$3)+1,FALSE)</f>
        <v>212.5</v>
      </c>
      <c r="CC12" s="262">
        <f>VLOOKUP(CC$5,Tech_Specs_Infra!$A$4:$F$9,COLUMN(Tech_Specs_Infra!$E$3)-COLUMN(Tech_Specs_Infra!$A$3)+1,FALSE)</f>
        <v>212.5</v>
      </c>
      <c r="CD12" s="262">
        <f>VLOOKUP(CD$5,Tech_Specs_Infra!$A$4:$F$9,COLUMN(Tech_Specs_Infra!$E$3)-COLUMN(Tech_Specs_Infra!$A$3)+1,FALSE)</f>
        <v>212.5</v>
      </c>
      <c r="CE12" s="262">
        <f>VLOOKUP(CE$5,Tech_Specs_Infra!$A$4:$F$9,COLUMN(Tech_Specs_Infra!$E$3)-COLUMN(Tech_Specs_Infra!$A$3)+1,FALSE)</f>
        <v>212.5</v>
      </c>
      <c r="CF12" s="262">
        <f>VLOOKUP(CF$5,Tech_Specs_Infra!$A$4:$F$9,COLUMN(Tech_Specs_Infra!$E$3)-COLUMN(Tech_Specs_Infra!$A$3)+1,FALSE)</f>
        <v>212.5</v>
      </c>
      <c r="CG12" s="262">
        <f>VLOOKUP(CG$5,Tech_Specs_Infra!$A$4:$F$9,COLUMN(Tech_Specs_Infra!$E$3)-COLUMN(Tech_Specs_Infra!$A$3)+1,FALSE)</f>
        <v>212.5</v>
      </c>
      <c r="CH12" s="262">
        <f>VLOOKUP(CH$5,Tech_Specs_Infra!$A$4:$F$9,COLUMN(Tech_Specs_Infra!$E$3)-COLUMN(Tech_Specs_Infra!$A$3)+1,FALSE)</f>
        <v>212.5</v>
      </c>
      <c r="CI12" s="262">
        <f>VLOOKUP(CI$5,Tech_Specs_Infra!$A$4:$F$9,COLUMN(Tech_Specs_Infra!$E$3)-COLUMN(Tech_Specs_Infra!$A$3)+1,FALSE)</f>
        <v>212.5</v>
      </c>
      <c r="CJ12" s="262">
        <f>VLOOKUP(CJ$5,Tech_Specs_Infra!$A$4:$F$9,COLUMN(Tech_Specs_Infra!$E$3)-COLUMN(Tech_Specs_Infra!$A$3)+1,FALSE)</f>
        <v>212.5</v>
      </c>
      <c r="CK12" s="262">
        <f>VLOOKUP(CK$5,Tech_Specs_Infra!$A$4:$F$9,COLUMN(Tech_Specs_Infra!$E$3)-COLUMN(Tech_Specs_Infra!$A$3)+1,FALSE)</f>
        <v>212.5</v>
      </c>
      <c r="CL12" s="262">
        <f>VLOOKUP(CL$5,Tech_Specs_Infra!$A$4:$F$9,COLUMN(Tech_Specs_Infra!$E$3)-COLUMN(Tech_Specs_Infra!$A$3)+1,FALSE)</f>
        <v>212.5</v>
      </c>
      <c r="CM12" s="262">
        <f>VLOOKUP(CM$5,Tech_Specs_Infra!$A$4:$F$9,COLUMN(Tech_Specs_Infra!$E$3)-COLUMN(Tech_Specs_Infra!$A$3)+1,FALSE)</f>
        <v>212.5</v>
      </c>
      <c r="CN12" s="262">
        <f>VLOOKUP(CN$5,Tech_Specs_Infra!$A$4:$F$9,COLUMN(Tech_Specs_Infra!$E$3)-COLUMN(Tech_Specs_Infra!$A$3)+1,FALSE)</f>
        <v>241.25</v>
      </c>
      <c r="CO12" s="262">
        <f>VLOOKUP(CO$5,Tech_Specs_Infra!$A$4:$F$9,COLUMN(Tech_Specs_Infra!$E$3)-COLUMN(Tech_Specs_Infra!$A$3)+1,FALSE)</f>
        <v>241.25</v>
      </c>
      <c r="CP12" s="262">
        <f>VLOOKUP(CP$5,Tech_Specs_Infra!$A$4:$F$9,COLUMN(Tech_Specs_Infra!$E$3)-COLUMN(Tech_Specs_Infra!$A$3)+1,FALSE)</f>
        <v>241.25</v>
      </c>
      <c r="CQ12" s="262">
        <f>VLOOKUP(CQ$5,Tech_Specs_Infra!$A$4:$F$9,COLUMN(Tech_Specs_Infra!$E$3)-COLUMN(Tech_Specs_Infra!$A$3)+1,FALSE)</f>
        <v>241.25</v>
      </c>
      <c r="CR12" s="262">
        <f>VLOOKUP(CR$5,Tech_Specs_Infra!$A$4:$F$9,COLUMN(Tech_Specs_Infra!$E$3)-COLUMN(Tech_Specs_Infra!$A$3)+1,FALSE)</f>
        <v>241.25</v>
      </c>
      <c r="CS12" s="262">
        <f>VLOOKUP(CS$5,Tech_Specs_Infra!$A$4:$F$9,COLUMN(Tech_Specs_Infra!$E$3)-COLUMN(Tech_Specs_Infra!$A$3)+1,FALSE)</f>
        <v>212.5</v>
      </c>
      <c r="CT12" s="262">
        <f>VLOOKUP(CT$5,Tech_Specs_Infra!$A$4:$F$9,COLUMN(Tech_Specs_Infra!$E$3)-COLUMN(Tech_Specs_Infra!$A$3)+1,FALSE)</f>
        <v>212.5</v>
      </c>
      <c r="CU12" s="262">
        <f>VLOOKUP(CU$5,Tech_Specs_Infra!$A$4:$F$9,COLUMN(Tech_Specs_Infra!$E$3)-COLUMN(Tech_Specs_Infra!$A$3)+1,FALSE)</f>
        <v>212.5</v>
      </c>
      <c r="CV12" s="262">
        <f>VLOOKUP(CV$5,Tech_Specs_Infra!$A$4:$F$9,COLUMN(Tech_Specs_Infra!$E$3)-COLUMN(Tech_Specs_Infra!$A$3)+1,FALSE)</f>
        <v>212.5</v>
      </c>
      <c r="CW12" s="262">
        <f>VLOOKUP(CW$5,Tech_Specs_Infra!$A$4:$F$9,COLUMN(Tech_Specs_Infra!$E$3)-COLUMN(Tech_Specs_Infra!$A$3)+1,FALSE)</f>
        <v>212.5</v>
      </c>
      <c r="CX12" s="262">
        <f>VLOOKUP(CX$5,Tech_Specs_Infra!$A$4:$F$9,COLUMN(Tech_Specs_Infra!$E$3)-COLUMN(Tech_Specs_Infra!$A$3)+1,FALSE)</f>
        <v>212.5</v>
      </c>
      <c r="CY12" s="262">
        <f>VLOOKUP(CY$5,Tech_Specs_Infra!$A$4:$F$9,COLUMN(Tech_Specs_Infra!$E$3)-COLUMN(Tech_Specs_Infra!$A$3)+1,FALSE)</f>
        <v>212.5</v>
      </c>
      <c r="CZ12" s="262">
        <f>VLOOKUP(CZ$5,Tech_Specs_Infra!$A$4:$F$9,COLUMN(Tech_Specs_Infra!$E$3)-COLUMN(Tech_Specs_Infra!$A$3)+1,FALSE)</f>
        <v>212.5</v>
      </c>
      <c r="DA12" s="262">
        <f>VLOOKUP(DA$5,Tech_Specs_Infra!$A$4:$F$9,COLUMN(Tech_Specs_Infra!$E$3)-COLUMN(Tech_Specs_Infra!$A$3)+1,FALSE)</f>
        <v>212.5</v>
      </c>
      <c r="DB12" s="262">
        <f>VLOOKUP(DB$5,Tech_Specs_Infra!$A$4:$F$9,COLUMN(Tech_Specs_Infra!$E$3)-COLUMN(Tech_Specs_Infra!$A$3)+1,FALSE)</f>
        <v>212.5</v>
      </c>
      <c r="DC12" s="262">
        <f>VLOOKUP(DC$5,Tech_Specs_Infra!$A$4:$F$9,COLUMN(Tech_Specs_Infra!$E$3)-COLUMN(Tech_Specs_Infra!$A$3)+1,FALSE)</f>
        <v>212.5</v>
      </c>
      <c r="DD12" s="262">
        <f>VLOOKUP(DD$5,Tech_Specs_Infra!$A$4:$F$9,COLUMN(Tech_Specs_Infra!$E$3)-COLUMN(Tech_Specs_Infra!$A$3)+1,FALSE)</f>
        <v>212.5</v>
      </c>
      <c r="DE12" s="262">
        <f>VLOOKUP(DE$5,Tech_Specs_Infra!$A$4:$F$9,COLUMN(Tech_Specs_Infra!$E$3)-COLUMN(Tech_Specs_Infra!$A$3)+1,FALSE)</f>
        <v>212.5</v>
      </c>
      <c r="DF12" s="262">
        <f>VLOOKUP(DF$5,Tech_Specs_Infra!$A$4:$F$9,COLUMN(Tech_Specs_Infra!$E$3)-COLUMN(Tech_Specs_Infra!$A$3)+1,FALSE)</f>
        <v>212.5</v>
      </c>
      <c r="DG12" s="262"/>
      <c r="DH12" s="262">
        <f>VLOOKUP(DH$5,Tech_Specs_Infra!$A$4:$F$9,COLUMN(Tech_Specs_Infra!$E$3)-COLUMN(Tech_Specs_Infra!$A$3)+1,FALSE)</f>
        <v>212.5</v>
      </c>
      <c r="DI12" s="262">
        <f>VLOOKUP(DI$5,Tech_Specs_Infra!$A$4:$F$9,COLUMN(Tech_Specs_Infra!$E$3)-COLUMN(Tech_Specs_Infra!$A$3)+1,FALSE)</f>
        <v>212.5</v>
      </c>
      <c r="DJ12" s="262">
        <f>VLOOKUP(DJ$5,Tech_Specs_Infra!$A$4:$F$9,COLUMN(Tech_Specs_Infra!$E$3)-COLUMN(Tech_Specs_Infra!$A$3)+1,FALSE)</f>
        <v>212.5</v>
      </c>
      <c r="DK12" s="262">
        <f>VLOOKUP(DK$5,Tech_Specs_Infra!$A$4:$F$9,COLUMN(Tech_Specs_Infra!$E$3)-COLUMN(Tech_Specs_Infra!$A$3)+1,FALSE)</f>
        <v>212.5</v>
      </c>
      <c r="DL12" s="262">
        <f>VLOOKUP(DL$5,Tech_Specs_Infra!$A$4:$F$9,COLUMN(Tech_Specs_Infra!$E$3)-COLUMN(Tech_Specs_Infra!$A$3)+1,FALSE)</f>
        <v>212.5</v>
      </c>
      <c r="DM12" s="262">
        <f>VLOOKUP(DM$5,Tech_Specs_Infra!$A$4:$F$9,COLUMN(Tech_Specs_Infra!$E$3)-COLUMN(Tech_Specs_Infra!$A$3)+1,FALSE)</f>
        <v>212.5</v>
      </c>
      <c r="DN12" s="262">
        <f>VLOOKUP(DN$5,Tech_Specs_Infra!$A$4:$F$9,COLUMN(Tech_Specs_Infra!$E$3)-COLUMN(Tech_Specs_Infra!$A$3)+1,FALSE)</f>
        <v>212.5</v>
      </c>
      <c r="DO12" s="262">
        <f>VLOOKUP(DO$5,Tech_Specs_Infra!$A$4:$F$9,COLUMN(Tech_Specs_Infra!$E$3)-COLUMN(Tech_Specs_Infra!$A$3)+1,FALSE)</f>
        <v>212.5</v>
      </c>
      <c r="DP12" s="262">
        <f>VLOOKUP(DP$5,Tech_Specs_Infra!$A$4:$F$9,COLUMN(Tech_Specs_Infra!$E$3)-COLUMN(Tech_Specs_Infra!$A$3)+1,FALSE)</f>
        <v>212.5</v>
      </c>
      <c r="DQ12" s="262">
        <f>VLOOKUP(DQ$5,Tech_Specs_Infra!$A$4:$F$9,COLUMN(Tech_Specs_Infra!$E$3)-COLUMN(Tech_Specs_Infra!$A$3)+1,FALSE)</f>
        <v>212.5</v>
      </c>
      <c r="DR12" s="262">
        <f>VLOOKUP(DR$5,Tech_Specs_Infra!$A$4:$F$9,COLUMN(Tech_Specs_Infra!$E$3)-COLUMN(Tech_Specs_Infra!$A$3)+1,FALSE)</f>
        <v>212.5</v>
      </c>
      <c r="DS12" s="262">
        <f>VLOOKUP(DS$5,Tech_Specs_Infra!$A$4:$F$9,COLUMN(Tech_Specs_Infra!$E$3)-COLUMN(Tech_Specs_Infra!$A$3)+1,FALSE)</f>
        <v>212.5</v>
      </c>
      <c r="DT12" s="262">
        <f>VLOOKUP(DT$5,Tech_Specs_Infra!$A$4:$F$9,COLUMN(Tech_Specs_Infra!$E$3)-COLUMN(Tech_Specs_Infra!$A$3)+1,FALSE)</f>
        <v>212.5</v>
      </c>
      <c r="DU12" s="262">
        <f>VLOOKUP(DU$5,Tech_Specs_Infra!$A$4:$F$9,COLUMN(Tech_Specs_Infra!$E$3)-COLUMN(Tech_Specs_Infra!$A$3)+1,FALSE)</f>
        <v>212.5</v>
      </c>
      <c r="DV12" s="262">
        <f>VLOOKUP(DV$5,Tech_Specs_Infra!$A$4:$F$9,COLUMN(Tech_Specs_Infra!$E$3)-COLUMN(Tech_Specs_Infra!$A$3)+1,FALSE)</f>
        <v>212.5</v>
      </c>
      <c r="DW12" s="262">
        <f>VLOOKUP(DW$5,Tech_Specs_Infra!$A$4:$F$9,COLUMN(Tech_Specs_Infra!$E$3)-COLUMN(Tech_Specs_Infra!$A$3)+1,FALSE)</f>
        <v>212.5</v>
      </c>
      <c r="DX12" s="262">
        <f>VLOOKUP(DX$5,Tech_Specs_Infra!$A$4:$F$9,COLUMN(Tech_Specs_Infra!$E$3)-COLUMN(Tech_Specs_Infra!$A$3)+1,FALSE)</f>
        <v>2512.5</v>
      </c>
      <c r="DY12" s="262">
        <f>VLOOKUP(DY$5,Tech_Specs_Infra!$A$4:$F$9,COLUMN(Tech_Specs_Infra!$E$3)-COLUMN(Tech_Specs_Infra!$A$3)+1,FALSE)</f>
        <v>2512.5</v>
      </c>
      <c r="DZ12" s="262">
        <f>VLOOKUP(DZ$5,Tech_Specs_Infra!$A$4:$F$9,COLUMN(Tech_Specs_Infra!$E$3)-COLUMN(Tech_Specs_Infra!$A$3)+1,FALSE)</f>
        <v>2512.5</v>
      </c>
      <c r="EA12" s="262">
        <f>VLOOKUP(EA$5,Tech_Specs_Infra!$A$4:$F$9,COLUMN(Tech_Specs_Infra!$E$3)-COLUMN(Tech_Specs_Infra!$A$3)+1,FALSE)</f>
        <v>2512.5</v>
      </c>
      <c r="EB12" s="262">
        <f>VLOOKUP(EB$5,Tech_Specs_Infra!$A$4:$F$9,COLUMN(Tech_Specs_Infra!$E$3)-COLUMN(Tech_Specs_Infra!$A$3)+1,FALSE)</f>
        <v>2512.5</v>
      </c>
      <c r="EC12" s="262">
        <f>VLOOKUP(EC$5,Tech_Specs_Infra!$A$4:$F$9,COLUMN(Tech_Specs_Infra!$E$3)-COLUMN(Tech_Specs_Infra!$A$3)+1,FALSE)</f>
        <v>2512.5</v>
      </c>
      <c r="ED12" s="262">
        <f>VLOOKUP(ED$5,Tech_Specs_Infra!$A$4:$F$9,COLUMN(Tech_Specs_Infra!$E$3)-COLUMN(Tech_Specs_Infra!$A$3)+1,FALSE)</f>
        <v>2512.5</v>
      </c>
    </row>
    <row r="13" spans="1:138" x14ac:dyDescent="0.3">
      <c r="A13" s="21" t="str">
        <f>"   "&amp;Tech_Specs_Infra!F3</f>
        <v xml:space="preserve">   Steel</v>
      </c>
      <c r="D13" s="262">
        <f>VLOOKUP(D$5,Tech_Specs_Infra!$A$4:$F$9,COLUMN(Tech_Specs_Infra!$F$3)-COLUMN(Tech_Specs_Infra!$A$3)+1,FALSE)</f>
        <v>0</v>
      </c>
      <c r="E13" s="262">
        <f>VLOOKUP(E$5,Tech_Specs_Infra!$A$4:$F$9,COLUMN(Tech_Specs_Infra!$F$3)-COLUMN(Tech_Specs_Infra!$A$3)+1,FALSE)</f>
        <v>0</v>
      </c>
      <c r="F13" s="262">
        <f>VLOOKUP(F$5,Tech_Specs_Infra!$A$4:$F$9,COLUMN(Tech_Specs_Infra!$F$3)-COLUMN(Tech_Specs_Infra!$A$3)+1,FALSE)</f>
        <v>0</v>
      </c>
      <c r="G13" s="262">
        <f>VLOOKUP(G$5,Tech_Specs_Infra!$A$4:$F$9,COLUMN(Tech_Specs_Infra!$F$3)-COLUMN(Tech_Specs_Infra!$A$3)+1,FALSE)</f>
        <v>0</v>
      </c>
      <c r="H13" s="262">
        <f>VLOOKUP(H$5,Tech_Specs_Infra!$A$4:$F$9,COLUMN(Tech_Specs_Infra!$F$3)-COLUMN(Tech_Specs_Infra!$A$3)+1,FALSE)</f>
        <v>0</v>
      </c>
      <c r="I13" s="262">
        <f>VLOOKUP(I$5,Tech_Specs_Infra!$A$4:$F$9,COLUMN(Tech_Specs_Infra!$F$3)-COLUMN(Tech_Specs_Infra!$A$3)+1,FALSE)</f>
        <v>0</v>
      </c>
      <c r="J13" s="262">
        <f>VLOOKUP(J$5,Tech_Specs_Infra!$A$4:$F$9,COLUMN(Tech_Specs_Infra!$F$3)-COLUMN(Tech_Specs_Infra!$A$3)+1,FALSE)</f>
        <v>0</v>
      </c>
      <c r="K13" s="262">
        <f>VLOOKUP(K$5,Tech_Specs_Infra!$A$4:$F$9,COLUMN(Tech_Specs_Infra!$F$3)-COLUMN(Tech_Specs_Infra!$A$3)+1,FALSE)</f>
        <v>0</v>
      </c>
      <c r="L13" s="262">
        <f>VLOOKUP(L$5,Tech_Specs_Infra!$A$4:$F$9,COLUMN(Tech_Specs_Infra!$F$3)-COLUMN(Tech_Specs_Infra!$A$3)+1,FALSE)</f>
        <v>0</v>
      </c>
      <c r="M13" s="262">
        <f>VLOOKUP(M$5,Tech_Specs_Infra!$A$4:$F$9,COLUMN(Tech_Specs_Infra!$F$3)-COLUMN(Tech_Specs_Infra!$A$3)+1,FALSE)</f>
        <v>0</v>
      </c>
      <c r="N13" s="262">
        <f>VLOOKUP(N$5,Tech_Specs_Infra!$A$4:$F$9,COLUMN(Tech_Specs_Infra!$F$3)-COLUMN(Tech_Specs_Infra!$A$3)+1,FALSE)</f>
        <v>0</v>
      </c>
      <c r="O13" s="262">
        <f>VLOOKUP(O$5,Tech_Specs_Infra!$A$4:$F$9,COLUMN(Tech_Specs_Infra!$F$3)-COLUMN(Tech_Specs_Infra!$A$3)+1,FALSE)</f>
        <v>0</v>
      </c>
      <c r="P13" s="262">
        <f>VLOOKUP(P$5,Tech_Specs_Infra!$A$4:$F$9,COLUMN(Tech_Specs_Infra!$F$3)-COLUMN(Tech_Specs_Infra!$A$3)+1,FALSE)</f>
        <v>0</v>
      </c>
      <c r="Q13" s="262">
        <f>VLOOKUP(Q$5,Tech_Specs_Infra!$A$4:$F$9,COLUMN(Tech_Specs_Infra!$F$3)-COLUMN(Tech_Specs_Infra!$A$3)+1,FALSE)</f>
        <v>0</v>
      </c>
      <c r="R13" s="262">
        <f>VLOOKUP(R$5,Tech_Specs_Infra!$A$4:$F$9,COLUMN(Tech_Specs_Infra!$F$3)-COLUMN(Tech_Specs_Infra!$A$3)+1,FALSE)</f>
        <v>0</v>
      </c>
      <c r="S13" s="262">
        <f>VLOOKUP(S$5,Tech_Specs_Infra!$A$4:$F$9,COLUMN(Tech_Specs_Infra!$F$3)-COLUMN(Tech_Specs_Infra!$A$3)+1,FALSE)</f>
        <v>0</v>
      </c>
      <c r="T13" s="262">
        <f>VLOOKUP(T$5,Tech_Specs_Infra!$A$4:$F$9,COLUMN(Tech_Specs_Infra!$F$3)-COLUMN(Tech_Specs_Infra!$A$3)+1,FALSE)</f>
        <v>0</v>
      </c>
      <c r="U13" s="262">
        <f>VLOOKUP(U$5,Tech_Specs_Infra!$A$4:$F$9,COLUMN(Tech_Specs_Infra!$F$3)-COLUMN(Tech_Specs_Infra!$A$3)+1,FALSE)</f>
        <v>0</v>
      </c>
      <c r="V13" s="262">
        <f>VLOOKUP(V$5,Tech_Specs_Infra!$A$4:$F$9,COLUMN(Tech_Specs_Infra!$F$3)-COLUMN(Tech_Specs_Infra!$A$3)+1,FALSE)</f>
        <v>0</v>
      </c>
      <c r="W13" s="262">
        <f>VLOOKUP(W$5,Tech_Specs_Infra!$A$4:$F$9,COLUMN(Tech_Specs_Infra!$F$3)-COLUMN(Tech_Specs_Infra!$A$3)+1,FALSE)</f>
        <v>0</v>
      </c>
      <c r="X13" s="262">
        <f>VLOOKUP(X$5,Tech_Specs_Infra!$A$4:$F$9,COLUMN(Tech_Specs_Infra!$F$3)-COLUMN(Tech_Specs_Infra!$A$3)+1,FALSE)</f>
        <v>0</v>
      </c>
      <c r="Y13" s="262">
        <f>VLOOKUP(Y$5,Tech_Specs_Infra!$A$4:$F$9,COLUMN(Tech_Specs_Infra!$F$3)-COLUMN(Tech_Specs_Infra!$A$3)+1,FALSE)</f>
        <v>0</v>
      </c>
      <c r="Z13" s="262">
        <f>VLOOKUP(Z$5,Tech_Specs_Infra!$A$4:$F$9,COLUMN(Tech_Specs_Infra!$F$3)-COLUMN(Tech_Specs_Infra!$A$3)+1,FALSE)</f>
        <v>0</v>
      </c>
      <c r="AA13" s="262">
        <f>VLOOKUP(AA$5,Tech_Specs_Infra!$A$4:$F$9,COLUMN(Tech_Specs_Infra!$F$3)-COLUMN(Tech_Specs_Infra!$A$3)+1,FALSE)</f>
        <v>0</v>
      </c>
      <c r="AB13" s="262">
        <f>VLOOKUP(AB$5,Tech_Specs_Infra!$A$4:$F$9,COLUMN(Tech_Specs_Infra!$F$3)-COLUMN(Tech_Specs_Infra!$A$3)+1,FALSE)</f>
        <v>0</v>
      </c>
      <c r="AC13" s="262">
        <f>VLOOKUP(AC$5,Tech_Specs_Infra!$A$4:$F$9,COLUMN(Tech_Specs_Infra!$F$3)-COLUMN(Tech_Specs_Infra!$A$3)+1,FALSE)</f>
        <v>0</v>
      </c>
      <c r="AD13" s="262">
        <f>VLOOKUP(AD$5,Tech_Specs_Infra!$A$4:$F$9,COLUMN(Tech_Specs_Infra!$F$3)-COLUMN(Tech_Specs_Infra!$A$3)+1,FALSE)</f>
        <v>0</v>
      </c>
      <c r="AE13" s="262">
        <f>VLOOKUP(AE$5,Tech_Specs_Infra!$A$4:$F$9,COLUMN(Tech_Specs_Infra!$F$3)-COLUMN(Tech_Specs_Infra!$A$3)+1,FALSE)</f>
        <v>0</v>
      </c>
      <c r="AF13" s="262">
        <f>VLOOKUP(AF$5,Tech_Specs_Infra!$A$4:$F$9,COLUMN(Tech_Specs_Infra!$F$3)-COLUMN(Tech_Specs_Infra!$A$3)+1,FALSE)</f>
        <v>0</v>
      </c>
      <c r="AG13" s="262">
        <f>VLOOKUP(AG$5,Tech_Specs_Infra!$A$4:$F$9,COLUMN(Tech_Specs_Infra!$F$3)-COLUMN(Tech_Specs_Infra!$A$3)+1,FALSE)</f>
        <v>0</v>
      </c>
      <c r="AH13" s="262">
        <f>VLOOKUP(AH$5,Tech_Specs_Infra!$A$4:$F$9,COLUMN(Tech_Specs_Infra!$F$3)-COLUMN(Tech_Specs_Infra!$A$3)+1,FALSE)</f>
        <v>0</v>
      </c>
      <c r="AI13" s="262">
        <f>VLOOKUP(AI$5,Tech_Specs_Infra!$A$4:$F$9,COLUMN(Tech_Specs_Infra!$F$3)-COLUMN(Tech_Specs_Infra!$A$3)+1,FALSE)</f>
        <v>0</v>
      </c>
      <c r="AJ13" s="262">
        <f>VLOOKUP(AJ$5,Tech_Specs_Infra!$A$4:$F$9,COLUMN(Tech_Specs_Infra!$F$3)-COLUMN(Tech_Specs_Infra!$A$3)+1,FALSE)</f>
        <v>0</v>
      </c>
      <c r="AK13" s="262">
        <f>VLOOKUP(AK$5,Tech_Specs_Infra!$A$4:$F$9,COLUMN(Tech_Specs_Infra!$F$3)-COLUMN(Tech_Specs_Infra!$A$3)+1,FALSE)</f>
        <v>0.1</v>
      </c>
      <c r="AL13" s="262">
        <f>VLOOKUP(AL$5,Tech_Specs_Infra!$A$4:$F$9,COLUMN(Tech_Specs_Infra!$F$3)-COLUMN(Tech_Specs_Infra!$A$3)+1,FALSE)</f>
        <v>0.1</v>
      </c>
      <c r="AM13" s="262">
        <f>VLOOKUP(AM$5,Tech_Specs_Infra!$A$4:$F$9,COLUMN(Tech_Specs_Infra!$F$3)-COLUMN(Tech_Specs_Infra!$A$3)+1,FALSE)</f>
        <v>0.1</v>
      </c>
      <c r="AN13" s="262">
        <f>VLOOKUP(AN$5,Tech_Specs_Infra!$A$4:$F$9,COLUMN(Tech_Specs_Infra!$F$3)-COLUMN(Tech_Specs_Infra!$A$3)+1,FALSE)</f>
        <v>0.1</v>
      </c>
      <c r="AO13" s="262">
        <f>VLOOKUP(AO$5,Tech_Specs_Infra!$A$4:$F$9,COLUMN(Tech_Specs_Infra!$F$3)-COLUMN(Tech_Specs_Infra!$A$3)+1,FALSE)</f>
        <v>0.1</v>
      </c>
      <c r="AP13" s="262">
        <f>VLOOKUP(AP$5,Tech_Specs_Infra!$A$4:$F$9,COLUMN(Tech_Specs_Infra!$F$3)-COLUMN(Tech_Specs_Infra!$A$3)+1,FALSE)</f>
        <v>0.1</v>
      </c>
      <c r="AQ13" s="262">
        <f>VLOOKUP(AQ$5,Tech_Specs_Infra!$A$4:$F$9,COLUMN(Tech_Specs_Infra!$F$3)-COLUMN(Tech_Specs_Infra!$A$3)+1,FALSE)</f>
        <v>0.1</v>
      </c>
      <c r="AR13" s="262">
        <f>VLOOKUP(AR$5,Tech_Specs_Infra!$A$4:$F$9,COLUMN(Tech_Specs_Infra!$F$3)-COLUMN(Tech_Specs_Infra!$A$3)+1,FALSE)</f>
        <v>0.1</v>
      </c>
      <c r="AS13" s="262">
        <f>VLOOKUP(AS$5,Tech_Specs_Infra!$A$4:$F$9,COLUMN(Tech_Specs_Infra!$F$3)-COLUMN(Tech_Specs_Infra!$A$3)+1,FALSE)</f>
        <v>0.1</v>
      </c>
      <c r="AT13" s="262">
        <f>VLOOKUP(AT$5,Tech_Specs_Infra!$A$4:$F$9,COLUMN(Tech_Specs_Infra!$F$3)-COLUMN(Tech_Specs_Infra!$A$3)+1,FALSE)</f>
        <v>0.1</v>
      </c>
      <c r="AU13" s="262">
        <f>VLOOKUP(AU$5,Tech_Specs_Infra!$A$4:$F$9,COLUMN(Tech_Specs_Infra!$F$3)-COLUMN(Tech_Specs_Infra!$A$3)+1,FALSE)</f>
        <v>0.1</v>
      </c>
      <c r="AV13" s="262">
        <f>VLOOKUP(AV$5,Tech_Specs_Infra!$A$4:$F$9,COLUMN(Tech_Specs_Infra!$F$3)-COLUMN(Tech_Specs_Infra!$A$3)+1,FALSE)</f>
        <v>0.1</v>
      </c>
      <c r="AW13" s="262">
        <f>VLOOKUP(AW$5,Tech_Specs_Infra!$A$4:$F$9,COLUMN(Tech_Specs_Infra!$F$3)-COLUMN(Tech_Specs_Infra!$A$3)+1,FALSE)</f>
        <v>0.1</v>
      </c>
      <c r="AX13" s="262">
        <f>VLOOKUP(AX$5,Tech_Specs_Infra!$A$4:$F$9,COLUMN(Tech_Specs_Infra!$F$3)-COLUMN(Tech_Specs_Infra!$A$3)+1,FALSE)</f>
        <v>0.1</v>
      </c>
      <c r="AY13" s="262">
        <f>VLOOKUP(AY$5,Tech_Specs_Infra!$A$4:$F$9,COLUMN(Tech_Specs_Infra!$F$3)-COLUMN(Tech_Specs_Infra!$A$3)+1,FALSE)</f>
        <v>0.1</v>
      </c>
      <c r="AZ13" s="262">
        <f>VLOOKUP(AZ$5,Tech_Specs_Infra!$A$4:$F$9,COLUMN(Tech_Specs_Infra!$F$3)-COLUMN(Tech_Specs_Infra!$A$3)+1,FALSE)</f>
        <v>0.1</v>
      </c>
      <c r="BA13" s="262">
        <f>VLOOKUP(BA$5,Tech_Specs_Infra!$A$4:$F$9,COLUMN(Tech_Specs_Infra!$F$3)-COLUMN(Tech_Specs_Infra!$A$3)+1,FALSE)</f>
        <v>0.1</v>
      </c>
      <c r="BB13" s="262">
        <f>VLOOKUP(BB$5,Tech_Specs_Infra!$A$4:$F$9,COLUMN(Tech_Specs_Infra!$F$3)-COLUMN(Tech_Specs_Infra!$A$3)+1,FALSE)</f>
        <v>0.1</v>
      </c>
      <c r="BC13" s="262">
        <f>VLOOKUP(BC$5,Tech_Specs_Infra!$A$4:$F$9,COLUMN(Tech_Specs_Infra!$F$3)-COLUMN(Tech_Specs_Infra!$A$3)+1,FALSE)</f>
        <v>0.1</v>
      </c>
      <c r="BD13" s="262">
        <f>VLOOKUP(BD$5,Tech_Specs_Infra!$A$4:$F$9,COLUMN(Tech_Specs_Infra!$F$3)-COLUMN(Tech_Specs_Infra!$A$3)+1,FALSE)</f>
        <v>0.1</v>
      </c>
      <c r="BE13" s="262">
        <f>VLOOKUP(BE$5,Tech_Specs_Infra!$A$4:$F$9,COLUMN(Tech_Specs_Infra!$F$3)-COLUMN(Tech_Specs_Infra!$A$3)+1,FALSE)</f>
        <v>0.1</v>
      </c>
      <c r="BF13" s="262">
        <f>VLOOKUP(BF$5,Tech_Specs_Infra!$A$4:$F$9,COLUMN(Tech_Specs_Infra!$F$3)-COLUMN(Tech_Specs_Infra!$A$3)+1,FALSE)</f>
        <v>0.1</v>
      </c>
      <c r="BG13" s="262">
        <f>VLOOKUP(BG$5,Tech_Specs_Infra!$A$4:$F$9,COLUMN(Tech_Specs_Infra!$F$3)-COLUMN(Tech_Specs_Infra!$A$3)+1,FALSE)</f>
        <v>0.1</v>
      </c>
      <c r="BH13" s="262">
        <f>VLOOKUP(BH$5,Tech_Specs_Infra!$A$4:$F$9,COLUMN(Tech_Specs_Infra!$F$3)-COLUMN(Tech_Specs_Infra!$A$3)+1,FALSE)</f>
        <v>0.1</v>
      </c>
      <c r="BI13" s="262">
        <f>VLOOKUP(BI$5,Tech_Specs_Infra!$A$4:$F$9,COLUMN(Tech_Specs_Infra!$F$3)-COLUMN(Tech_Specs_Infra!$A$3)+1,FALSE)</f>
        <v>0.1</v>
      </c>
      <c r="BJ13" s="262">
        <f>VLOOKUP(BJ$5,Tech_Specs_Infra!$A$4:$F$9,COLUMN(Tech_Specs_Infra!$F$3)-COLUMN(Tech_Specs_Infra!$A$3)+1,FALSE)</f>
        <v>0.1</v>
      </c>
      <c r="BK13" s="262">
        <f>VLOOKUP(BK$5,Tech_Specs_Infra!$A$4:$F$9,COLUMN(Tech_Specs_Infra!$F$3)-COLUMN(Tech_Specs_Infra!$A$3)+1,FALSE)</f>
        <v>0.1</v>
      </c>
      <c r="BL13" s="262">
        <f>VLOOKUP(BL$5,Tech_Specs_Infra!$A$4:$F$9,COLUMN(Tech_Specs_Infra!$F$3)-COLUMN(Tech_Specs_Infra!$A$3)+1,FALSE)</f>
        <v>0.1</v>
      </c>
      <c r="BM13" s="262">
        <f>VLOOKUP(BM$5,Tech_Specs_Infra!$A$4:$F$9,COLUMN(Tech_Specs_Infra!$F$3)-COLUMN(Tech_Specs_Infra!$A$3)+1,FALSE)</f>
        <v>0.1</v>
      </c>
      <c r="BN13" s="262">
        <f>VLOOKUP(BN$5,Tech_Specs_Infra!$A$4:$F$9,COLUMN(Tech_Specs_Infra!$F$3)-COLUMN(Tech_Specs_Infra!$A$3)+1,FALSE)</f>
        <v>0.1</v>
      </c>
      <c r="BO13" s="262">
        <f>VLOOKUP(BO$5,Tech_Specs_Infra!$A$4:$F$9,COLUMN(Tech_Specs_Infra!$F$3)-COLUMN(Tech_Specs_Infra!$A$3)+1,FALSE)</f>
        <v>0.1</v>
      </c>
      <c r="BP13" s="262">
        <f>VLOOKUP(BP$5,Tech_Specs_Infra!$A$4:$F$9,COLUMN(Tech_Specs_Infra!$F$3)-COLUMN(Tech_Specs_Infra!$A$3)+1,FALSE)</f>
        <v>0.1</v>
      </c>
      <c r="BQ13" s="262">
        <f>VLOOKUP(BQ$5,Tech_Specs_Infra!$A$4:$F$9,COLUMN(Tech_Specs_Infra!$F$3)-COLUMN(Tech_Specs_Infra!$A$3)+1,FALSE)</f>
        <v>0.1</v>
      </c>
      <c r="BR13" s="262">
        <f>VLOOKUP(BR$5,Tech_Specs_Infra!$A$4:$F$9,COLUMN(Tech_Specs_Infra!$F$3)-COLUMN(Tech_Specs_Infra!$A$3)+1,FALSE)</f>
        <v>0.1</v>
      </c>
      <c r="BS13" s="262">
        <f>VLOOKUP(BS$5,Tech_Specs_Infra!$A$4:$F$9,COLUMN(Tech_Specs_Infra!$F$3)-COLUMN(Tech_Specs_Infra!$A$3)+1,FALSE)</f>
        <v>0.1</v>
      </c>
      <c r="BT13" s="262">
        <f>VLOOKUP(BT$5,Tech_Specs_Infra!$A$4:$F$9,COLUMN(Tech_Specs_Infra!$F$3)-COLUMN(Tech_Specs_Infra!$A$3)+1,FALSE)</f>
        <v>0.1</v>
      </c>
      <c r="BU13" s="262">
        <f>VLOOKUP(BU$5,Tech_Specs_Infra!$A$4:$F$9,COLUMN(Tech_Specs_Infra!$F$3)-COLUMN(Tech_Specs_Infra!$A$3)+1,FALSE)</f>
        <v>0.1</v>
      </c>
      <c r="BV13" s="262">
        <f>VLOOKUP(BV$5,Tech_Specs_Infra!$A$4:$F$9,COLUMN(Tech_Specs_Infra!$F$3)-COLUMN(Tech_Specs_Infra!$A$3)+1,FALSE)</f>
        <v>0.1</v>
      </c>
      <c r="BW13" s="262">
        <f>VLOOKUP(BW$5,Tech_Specs_Infra!$A$4:$F$9,COLUMN(Tech_Specs_Infra!$F$3)-COLUMN(Tech_Specs_Infra!$A$3)+1,FALSE)</f>
        <v>0.1</v>
      </c>
      <c r="BX13" s="262">
        <f>VLOOKUP(BX$5,Tech_Specs_Infra!$A$4:$F$9,COLUMN(Tech_Specs_Infra!$F$3)-COLUMN(Tech_Specs_Infra!$A$3)+1,FALSE)</f>
        <v>0.1</v>
      </c>
      <c r="BY13" s="262">
        <f>VLOOKUP(BY$5,Tech_Specs_Infra!$A$4:$F$9,COLUMN(Tech_Specs_Infra!$F$3)-COLUMN(Tech_Specs_Infra!$A$3)+1,FALSE)</f>
        <v>0.1</v>
      </c>
      <c r="BZ13" s="262">
        <f>VLOOKUP(BZ$5,Tech_Specs_Infra!$A$4:$F$9,COLUMN(Tech_Specs_Infra!$F$3)-COLUMN(Tech_Specs_Infra!$A$3)+1,FALSE)</f>
        <v>0.1</v>
      </c>
      <c r="CA13" s="262">
        <f>VLOOKUP(CA$5,Tech_Specs_Infra!$A$4:$F$9,COLUMN(Tech_Specs_Infra!$F$3)-COLUMN(Tech_Specs_Infra!$A$3)+1,FALSE)</f>
        <v>0.1</v>
      </c>
      <c r="CB13" s="262">
        <f>VLOOKUP(CB$5,Tech_Specs_Infra!$A$4:$F$9,COLUMN(Tech_Specs_Infra!$F$3)-COLUMN(Tech_Specs_Infra!$A$3)+1,FALSE)</f>
        <v>0.1</v>
      </c>
      <c r="CC13" s="262">
        <f>VLOOKUP(CC$5,Tech_Specs_Infra!$A$4:$F$9,COLUMN(Tech_Specs_Infra!$F$3)-COLUMN(Tech_Specs_Infra!$A$3)+1,FALSE)</f>
        <v>0.1</v>
      </c>
      <c r="CD13" s="262">
        <f>VLOOKUP(CD$5,Tech_Specs_Infra!$A$4:$F$9,COLUMN(Tech_Specs_Infra!$F$3)-COLUMN(Tech_Specs_Infra!$A$3)+1,FALSE)</f>
        <v>0.1</v>
      </c>
      <c r="CE13" s="262">
        <f>VLOOKUP(CE$5,Tech_Specs_Infra!$A$4:$F$9,COLUMN(Tech_Specs_Infra!$F$3)-COLUMN(Tech_Specs_Infra!$A$3)+1,FALSE)</f>
        <v>0.1</v>
      </c>
      <c r="CF13" s="262">
        <f>VLOOKUP(CF$5,Tech_Specs_Infra!$A$4:$F$9,COLUMN(Tech_Specs_Infra!$F$3)-COLUMN(Tech_Specs_Infra!$A$3)+1,FALSE)</f>
        <v>0.1</v>
      </c>
      <c r="CG13" s="262">
        <f>VLOOKUP(CG$5,Tech_Specs_Infra!$A$4:$F$9,COLUMN(Tech_Specs_Infra!$F$3)-COLUMN(Tech_Specs_Infra!$A$3)+1,FALSE)</f>
        <v>0.1</v>
      </c>
      <c r="CH13" s="262">
        <f>VLOOKUP(CH$5,Tech_Specs_Infra!$A$4:$F$9,COLUMN(Tech_Specs_Infra!$F$3)-COLUMN(Tech_Specs_Infra!$A$3)+1,FALSE)</f>
        <v>0.1</v>
      </c>
      <c r="CI13" s="262">
        <f>VLOOKUP(CI$5,Tech_Specs_Infra!$A$4:$F$9,COLUMN(Tech_Specs_Infra!$F$3)-COLUMN(Tech_Specs_Infra!$A$3)+1,FALSE)</f>
        <v>0.1</v>
      </c>
      <c r="CJ13" s="262">
        <f>VLOOKUP(CJ$5,Tech_Specs_Infra!$A$4:$F$9,COLUMN(Tech_Specs_Infra!$F$3)-COLUMN(Tech_Specs_Infra!$A$3)+1,FALSE)</f>
        <v>0.1</v>
      </c>
      <c r="CK13" s="262">
        <f>VLOOKUP(CK$5,Tech_Specs_Infra!$A$4:$F$9,COLUMN(Tech_Specs_Infra!$F$3)-COLUMN(Tech_Specs_Infra!$A$3)+1,FALSE)</f>
        <v>0.1</v>
      </c>
      <c r="CL13" s="262">
        <f>VLOOKUP(CL$5,Tech_Specs_Infra!$A$4:$F$9,COLUMN(Tech_Specs_Infra!$F$3)-COLUMN(Tech_Specs_Infra!$A$3)+1,FALSE)</f>
        <v>0.1</v>
      </c>
      <c r="CM13" s="262">
        <f>VLOOKUP(CM$5,Tech_Specs_Infra!$A$4:$F$9,COLUMN(Tech_Specs_Infra!$F$3)-COLUMN(Tech_Specs_Infra!$A$3)+1,FALSE)</f>
        <v>0.1</v>
      </c>
      <c r="CN13" s="262">
        <f>VLOOKUP(CN$5,Tech_Specs_Infra!$A$4:$F$9,COLUMN(Tech_Specs_Infra!$F$3)-COLUMN(Tech_Specs_Infra!$A$3)+1,FALSE)</f>
        <v>0.1</v>
      </c>
      <c r="CO13" s="262">
        <f>VLOOKUP(CO$5,Tech_Specs_Infra!$A$4:$F$9,COLUMN(Tech_Specs_Infra!$F$3)-COLUMN(Tech_Specs_Infra!$A$3)+1,FALSE)</f>
        <v>0.1</v>
      </c>
      <c r="CP13" s="262">
        <f>VLOOKUP(CP$5,Tech_Specs_Infra!$A$4:$F$9,COLUMN(Tech_Specs_Infra!$F$3)-COLUMN(Tech_Specs_Infra!$A$3)+1,FALSE)</f>
        <v>0.1</v>
      </c>
      <c r="CQ13" s="262">
        <f>VLOOKUP(CQ$5,Tech_Specs_Infra!$A$4:$F$9,COLUMN(Tech_Specs_Infra!$F$3)-COLUMN(Tech_Specs_Infra!$A$3)+1,FALSE)</f>
        <v>0.1</v>
      </c>
      <c r="CR13" s="262">
        <f>VLOOKUP(CR$5,Tech_Specs_Infra!$A$4:$F$9,COLUMN(Tech_Specs_Infra!$F$3)-COLUMN(Tech_Specs_Infra!$A$3)+1,FALSE)</f>
        <v>0.1</v>
      </c>
      <c r="CS13" s="262">
        <f>VLOOKUP(CS$5,Tech_Specs_Infra!$A$4:$F$9,COLUMN(Tech_Specs_Infra!$F$3)-COLUMN(Tech_Specs_Infra!$A$3)+1,FALSE)</f>
        <v>0.1</v>
      </c>
      <c r="CT13" s="262">
        <f>VLOOKUP(CT$5,Tech_Specs_Infra!$A$4:$F$9,COLUMN(Tech_Specs_Infra!$F$3)-COLUMN(Tech_Specs_Infra!$A$3)+1,FALSE)</f>
        <v>0.1</v>
      </c>
      <c r="CU13" s="262">
        <f>VLOOKUP(CU$5,Tech_Specs_Infra!$A$4:$F$9,COLUMN(Tech_Specs_Infra!$F$3)-COLUMN(Tech_Specs_Infra!$A$3)+1,FALSE)</f>
        <v>0.1</v>
      </c>
      <c r="CV13" s="262">
        <f>VLOOKUP(CV$5,Tech_Specs_Infra!$A$4:$F$9,COLUMN(Tech_Specs_Infra!$F$3)-COLUMN(Tech_Specs_Infra!$A$3)+1,FALSE)</f>
        <v>0.1</v>
      </c>
      <c r="CW13" s="262">
        <f>VLOOKUP(CW$5,Tech_Specs_Infra!$A$4:$F$9,COLUMN(Tech_Specs_Infra!$F$3)-COLUMN(Tech_Specs_Infra!$A$3)+1,FALSE)</f>
        <v>0.1</v>
      </c>
      <c r="CX13" s="262">
        <f>VLOOKUP(CX$5,Tech_Specs_Infra!$A$4:$F$9,COLUMN(Tech_Specs_Infra!$F$3)-COLUMN(Tech_Specs_Infra!$A$3)+1,FALSE)</f>
        <v>0.1</v>
      </c>
      <c r="CY13" s="262">
        <f>VLOOKUP(CY$5,Tech_Specs_Infra!$A$4:$F$9,COLUMN(Tech_Specs_Infra!$F$3)-COLUMN(Tech_Specs_Infra!$A$3)+1,FALSE)</f>
        <v>0.1</v>
      </c>
      <c r="CZ13" s="262">
        <f>VLOOKUP(CZ$5,Tech_Specs_Infra!$A$4:$F$9,COLUMN(Tech_Specs_Infra!$F$3)-COLUMN(Tech_Specs_Infra!$A$3)+1,FALSE)</f>
        <v>0.1</v>
      </c>
      <c r="DA13" s="262">
        <f>VLOOKUP(DA$5,Tech_Specs_Infra!$A$4:$F$9,COLUMN(Tech_Specs_Infra!$F$3)-COLUMN(Tech_Specs_Infra!$A$3)+1,FALSE)</f>
        <v>0.1</v>
      </c>
      <c r="DB13" s="262">
        <f>VLOOKUP(DB$5,Tech_Specs_Infra!$A$4:$F$9,COLUMN(Tech_Specs_Infra!$F$3)-COLUMN(Tech_Specs_Infra!$A$3)+1,FALSE)</f>
        <v>0.1</v>
      </c>
      <c r="DC13" s="262">
        <f>VLOOKUP(DC$5,Tech_Specs_Infra!$A$4:$F$9,COLUMN(Tech_Specs_Infra!$F$3)-COLUMN(Tech_Specs_Infra!$A$3)+1,FALSE)</f>
        <v>0.1</v>
      </c>
      <c r="DD13" s="262">
        <f>VLOOKUP(DD$5,Tech_Specs_Infra!$A$4:$F$9,COLUMN(Tech_Specs_Infra!$F$3)-COLUMN(Tech_Specs_Infra!$A$3)+1,FALSE)</f>
        <v>0.1</v>
      </c>
      <c r="DE13" s="262">
        <f>VLOOKUP(DE$5,Tech_Specs_Infra!$A$4:$F$9,COLUMN(Tech_Specs_Infra!$F$3)-COLUMN(Tech_Specs_Infra!$A$3)+1,FALSE)</f>
        <v>0.1</v>
      </c>
      <c r="DF13" s="262">
        <f>VLOOKUP(DF$5,Tech_Specs_Infra!$A$4:$F$9,COLUMN(Tech_Specs_Infra!$F$3)-COLUMN(Tech_Specs_Infra!$A$3)+1,FALSE)</f>
        <v>0.1</v>
      </c>
      <c r="DG13" s="262"/>
      <c r="DH13" s="262">
        <f>VLOOKUP(DH$5,Tech_Specs_Infra!$A$4:$F$9,COLUMN(Tech_Specs_Infra!$F$3)-COLUMN(Tech_Specs_Infra!$A$3)+1,FALSE)</f>
        <v>0.1</v>
      </c>
      <c r="DI13" s="262">
        <f>VLOOKUP(DI$5,Tech_Specs_Infra!$A$4:$F$9,COLUMN(Tech_Specs_Infra!$F$3)-COLUMN(Tech_Specs_Infra!$A$3)+1,FALSE)</f>
        <v>0.1</v>
      </c>
      <c r="DJ13" s="262">
        <f>VLOOKUP(DJ$5,Tech_Specs_Infra!$A$4:$F$9,COLUMN(Tech_Specs_Infra!$F$3)-COLUMN(Tech_Specs_Infra!$A$3)+1,FALSE)</f>
        <v>0.1</v>
      </c>
      <c r="DK13" s="262">
        <f>VLOOKUP(DK$5,Tech_Specs_Infra!$A$4:$F$9,COLUMN(Tech_Specs_Infra!$F$3)-COLUMN(Tech_Specs_Infra!$A$3)+1,FALSE)</f>
        <v>0.1</v>
      </c>
      <c r="DL13" s="262">
        <f>VLOOKUP(DL$5,Tech_Specs_Infra!$A$4:$F$9,COLUMN(Tech_Specs_Infra!$F$3)-COLUMN(Tech_Specs_Infra!$A$3)+1,FALSE)</f>
        <v>0.1</v>
      </c>
      <c r="DM13" s="262">
        <f>VLOOKUP(DM$5,Tech_Specs_Infra!$A$4:$F$9,COLUMN(Tech_Specs_Infra!$F$3)-COLUMN(Tech_Specs_Infra!$A$3)+1,FALSE)</f>
        <v>0.1</v>
      </c>
      <c r="DN13" s="262">
        <f>VLOOKUP(DN$5,Tech_Specs_Infra!$A$4:$F$9,COLUMN(Tech_Specs_Infra!$F$3)-COLUMN(Tech_Specs_Infra!$A$3)+1,FALSE)</f>
        <v>0.1</v>
      </c>
      <c r="DO13" s="262">
        <f>VLOOKUP(DO$5,Tech_Specs_Infra!$A$4:$F$9,COLUMN(Tech_Specs_Infra!$F$3)-COLUMN(Tech_Specs_Infra!$A$3)+1,FALSE)</f>
        <v>0.1</v>
      </c>
      <c r="DP13" s="262">
        <f>VLOOKUP(DP$5,Tech_Specs_Infra!$A$4:$F$9,COLUMN(Tech_Specs_Infra!$F$3)-COLUMN(Tech_Specs_Infra!$A$3)+1,FALSE)</f>
        <v>0.1</v>
      </c>
      <c r="DQ13" s="262">
        <f>VLOOKUP(DQ$5,Tech_Specs_Infra!$A$4:$F$9,COLUMN(Tech_Specs_Infra!$F$3)-COLUMN(Tech_Specs_Infra!$A$3)+1,FALSE)</f>
        <v>0.1</v>
      </c>
      <c r="DR13" s="262">
        <f>VLOOKUP(DR$5,Tech_Specs_Infra!$A$4:$F$9,COLUMN(Tech_Specs_Infra!$F$3)-COLUMN(Tech_Specs_Infra!$A$3)+1,FALSE)</f>
        <v>0.1</v>
      </c>
      <c r="DS13" s="262">
        <f>VLOOKUP(DS$5,Tech_Specs_Infra!$A$4:$F$9,COLUMN(Tech_Specs_Infra!$F$3)-COLUMN(Tech_Specs_Infra!$A$3)+1,FALSE)</f>
        <v>0.1</v>
      </c>
      <c r="DT13" s="262">
        <f>VLOOKUP(DT$5,Tech_Specs_Infra!$A$4:$F$9,COLUMN(Tech_Specs_Infra!$F$3)-COLUMN(Tech_Specs_Infra!$A$3)+1,FALSE)</f>
        <v>0.1</v>
      </c>
      <c r="DU13" s="262">
        <f>VLOOKUP(DU$5,Tech_Specs_Infra!$A$4:$F$9,COLUMN(Tech_Specs_Infra!$F$3)-COLUMN(Tech_Specs_Infra!$A$3)+1,FALSE)</f>
        <v>0.1</v>
      </c>
      <c r="DV13" s="262">
        <f>VLOOKUP(DV$5,Tech_Specs_Infra!$A$4:$F$9,COLUMN(Tech_Specs_Infra!$F$3)-COLUMN(Tech_Specs_Infra!$A$3)+1,FALSE)</f>
        <v>0.1</v>
      </c>
      <c r="DW13" s="262">
        <f>VLOOKUP(DW$5,Tech_Specs_Infra!$A$4:$F$9,COLUMN(Tech_Specs_Infra!$F$3)-COLUMN(Tech_Specs_Infra!$A$3)+1,FALSE)</f>
        <v>0.1</v>
      </c>
      <c r="DX13" s="262">
        <f>VLOOKUP(DX$5,Tech_Specs_Infra!$A$4:$F$9,COLUMN(Tech_Specs_Infra!$F$3)-COLUMN(Tech_Specs_Infra!$A$3)+1,FALSE)</f>
        <v>960</v>
      </c>
      <c r="DY13" s="262">
        <f>VLOOKUP(DY$5,Tech_Specs_Infra!$A$4:$F$9,COLUMN(Tech_Specs_Infra!$F$3)-COLUMN(Tech_Specs_Infra!$A$3)+1,FALSE)</f>
        <v>960</v>
      </c>
      <c r="DZ13" s="262">
        <f>VLOOKUP(DZ$5,Tech_Specs_Infra!$A$4:$F$9,COLUMN(Tech_Specs_Infra!$F$3)-COLUMN(Tech_Specs_Infra!$A$3)+1,FALSE)</f>
        <v>960</v>
      </c>
      <c r="EA13" s="262">
        <f>VLOOKUP(EA$5,Tech_Specs_Infra!$A$4:$F$9,COLUMN(Tech_Specs_Infra!$F$3)-COLUMN(Tech_Specs_Infra!$A$3)+1,FALSE)</f>
        <v>960</v>
      </c>
      <c r="EB13" s="262">
        <f>VLOOKUP(EB$5,Tech_Specs_Infra!$A$4:$F$9,COLUMN(Tech_Specs_Infra!$F$3)-COLUMN(Tech_Specs_Infra!$A$3)+1,FALSE)</f>
        <v>960</v>
      </c>
      <c r="EC13" s="262">
        <f>VLOOKUP(EC$5,Tech_Specs_Infra!$A$4:$F$9,COLUMN(Tech_Specs_Infra!$F$3)-COLUMN(Tech_Specs_Infra!$A$3)+1,FALSE)</f>
        <v>960</v>
      </c>
      <c r="ED13" s="262">
        <f>VLOOKUP(ED$5,Tech_Specs_Infra!$A$4:$F$9,COLUMN(Tech_Specs_Infra!$F$3)-COLUMN(Tech_Specs_Infra!$A$3)+1,FALSE)</f>
        <v>960</v>
      </c>
    </row>
    <row r="15" spans="1:138" x14ac:dyDescent="0.3">
      <c r="A15" s="21" t="str">
        <f>Tech_Specs_Infra!$A$1&amp;" - Infrastructure 2"</f>
        <v>Material intensities - Infrastructure 2</v>
      </c>
      <c r="B15" s="21" t="str">
        <f>B10</f>
        <v>[t/km of one-way lane or track]</v>
      </c>
    </row>
    <row r="16" spans="1:138" x14ac:dyDescent="0.3">
      <c r="A16" s="21" t="str">
        <f>A11</f>
        <v xml:space="preserve">   Asphalt</v>
      </c>
      <c r="D16" s="262">
        <f>IFERROR(VLOOKUP(D$6,Tech_Specs_Infra!$A$4:$F$9,COLUMN(Tech_Specs_Infra!$C$3)-COLUMN(Tech_Specs_Infra!$A$3)+1,FALSE),0)</f>
        <v>1</v>
      </c>
      <c r="E16" s="262">
        <f>IFERROR(VLOOKUP(E$6,Tech_Specs_Infra!$A$4:$F$9,COLUMN(Tech_Specs_Infra!$C$3)-COLUMN(Tech_Specs_Infra!$A$3)+1,FALSE),0)</f>
        <v>1</v>
      </c>
      <c r="F16" s="262">
        <f>IFERROR(VLOOKUP(F$6,Tech_Specs_Infra!$A$4:$F$9,COLUMN(Tech_Specs_Infra!$C$3)-COLUMN(Tech_Specs_Infra!$A$3)+1,FALSE),0)</f>
        <v>1</v>
      </c>
      <c r="G16" s="262">
        <f>IFERROR(VLOOKUP(G$6,Tech_Specs_Infra!$A$4:$F$9,COLUMN(Tech_Specs_Infra!$C$3)-COLUMN(Tech_Specs_Infra!$A$3)+1,FALSE),0)</f>
        <v>1</v>
      </c>
      <c r="H16" s="262">
        <f>IFERROR(VLOOKUP(H$6,Tech_Specs_Infra!$A$4:$F$9,COLUMN(Tech_Specs_Infra!$C$3)-COLUMN(Tech_Specs_Infra!$A$3)+1,FALSE),0)</f>
        <v>1</v>
      </c>
      <c r="I16" s="262">
        <f>IFERROR(VLOOKUP(I$6,Tech_Specs_Infra!$A$4:$F$9,COLUMN(Tech_Specs_Infra!$C$3)-COLUMN(Tech_Specs_Infra!$A$3)+1,FALSE),0)</f>
        <v>1</v>
      </c>
      <c r="J16" s="262">
        <f>IFERROR(VLOOKUP(J$6,Tech_Specs_Infra!$A$4:$F$9,COLUMN(Tech_Specs_Infra!$C$3)-COLUMN(Tech_Specs_Infra!$A$3)+1,FALSE),0)</f>
        <v>1</v>
      </c>
      <c r="K16" s="262">
        <f>IFERROR(VLOOKUP(K$6,Tech_Specs_Infra!$A$4:$F$9,COLUMN(Tech_Specs_Infra!$C$3)-COLUMN(Tech_Specs_Infra!$A$3)+1,FALSE),0)</f>
        <v>1</v>
      </c>
      <c r="L16" s="262">
        <f>IFERROR(VLOOKUP(L$6,Tech_Specs_Infra!$A$4:$F$9,COLUMN(Tech_Specs_Infra!$C$3)-COLUMN(Tech_Specs_Infra!$A$3)+1,FALSE),0)</f>
        <v>1</v>
      </c>
      <c r="M16" s="262">
        <f>IFERROR(VLOOKUP(M$6,Tech_Specs_Infra!$A$4:$F$9,COLUMN(Tech_Specs_Infra!$C$3)-COLUMN(Tech_Specs_Infra!$A$3)+1,FALSE),0)</f>
        <v>1</v>
      </c>
      <c r="N16" s="262">
        <f>IFERROR(VLOOKUP(N$6,Tech_Specs_Infra!$A$4:$F$9,COLUMN(Tech_Specs_Infra!$C$3)-COLUMN(Tech_Specs_Infra!$A$3)+1,FALSE),0)</f>
        <v>1</v>
      </c>
      <c r="O16" s="262">
        <f>IFERROR(VLOOKUP(O$6,Tech_Specs_Infra!$A$4:$F$9,COLUMN(Tech_Specs_Infra!$C$3)-COLUMN(Tech_Specs_Infra!$A$3)+1,FALSE),0)</f>
        <v>1</v>
      </c>
      <c r="P16" s="262">
        <f>IFERROR(VLOOKUP(P$6,Tech_Specs_Infra!$A$4:$F$9,COLUMN(Tech_Specs_Infra!$C$3)-COLUMN(Tech_Specs_Infra!$A$3)+1,FALSE),0)</f>
        <v>1</v>
      </c>
      <c r="Q16" s="262">
        <f>IFERROR(VLOOKUP(Q$6,Tech_Specs_Infra!$A$4:$F$9,COLUMN(Tech_Specs_Infra!$C$3)-COLUMN(Tech_Specs_Infra!$A$3)+1,FALSE),0)</f>
        <v>1</v>
      </c>
      <c r="R16" s="262">
        <f>IFERROR(VLOOKUP(R$6,Tech_Specs_Infra!$A$4:$F$9,COLUMN(Tech_Specs_Infra!$C$3)-COLUMN(Tech_Specs_Infra!$A$3)+1,FALSE),0)</f>
        <v>1</v>
      </c>
      <c r="S16" s="262">
        <f>IFERROR(VLOOKUP(S$6,Tech_Specs_Infra!$A$4:$F$9,COLUMN(Tech_Specs_Infra!$C$3)-COLUMN(Tech_Specs_Infra!$A$3)+1,FALSE),0)</f>
        <v>1</v>
      </c>
      <c r="T16" s="262">
        <f>IFERROR(VLOOKUP(T$6,Tech_Specs_Infra!$A$4:$F$9,COLUMN(Tech_Specs_Infra!$C$3)-COLUMN(Tech_Specs_Infra!$A$3)+1,FALSE),0)</f>
        <v>1</v>
      </c>
      <c r="U16" s="262">
        <f>IFERROR(VLOOKUP(U$6,Tech_Specs_Infra!$A$4:$F$9,COLUMN(Tech_Specs_Infra!$C$3)-COLUMN(Tech_Specs_Infra!$A$3)+1,FALSE),0)</f>
        <v>1</v>
      </c>
      <c r="V16" s="262">
        <f>IFERROR(VLOOKUP(V$6,Tech_Specs_Infra!$A$4:$F$9,COLUMN(Tech_Specs_Infra!$C$3)-COLUMN(Tech_Specs_Infra!$A$3)+1,FALSE),0)</f>
        <v>1</v>
      </c>
      <c r="W16" s="262">
        <f>IFERROR(VLOOKUP(W$6,Tech_Specs_Infra!$A$4:$F$9,COLUMN(Tech_Specs_Infra!$C$3)-COLUMN(Tech_Specs_Infra!$A$3)+1,FALSE),0)</f>
        <v>1</v>
      </c>
      <c r="X16" s="262">
        <f>IFERROR(VLOOKUP(X$6,Tech_Specs_Infra!$A$4:$F$9,COLUMN(Tech_Specs_Infra!$C$3)-COLUMN(Tech_Specs_Infra!$A$3)+1,FALSE),0)</f>
        <v>1</v>
      </c>
      <c r="Y16" s="262">
        <f>IFERROR(VLOOKUP(Y$6,Tech_Specs_Infra!$A$4:$F$9,COLUMN(Tech_Specs_Infra!$C$3)-COLUMN(Tech_Specs_Infra!$A$3)+1,FALSE),0)</f>
        <v>1</v>
      </c>
      <c r="Z16" s="262">
        <f>IFERROR(VLOOKUP(Z$6,Tech_Specs_Infra!$A$4:$F$9,COLUMN(Tech_Specs_Infra!$C$3)-COLUMN(Tech_Specs_Infra!$A$3)+1,FALSE),0)</f>
        <v>1</v>
      </c>
      <c r="AA16" s="262">
        <f>IFERROR(VLOOKUP(AA$6,Tech_Specs_Infra!$A$4:$F$9,COLUMN(Tech_Specs_Infra!$C$3)-COLUMN(Tech_Specs_Infra!$A$3)+1,FALSE),0)</f>
        <v>1</v>
      </c>
      <c r="AB16" s="262">
        <f>IFERROR(VLOOKUP(AB$6,Tech_Specs_Infra!$A$4:$F$9,COLUMN(Tech_Specs_Infra!$C$3)-COLUMN(Tech_Specs_Infra!$A$3)+1,FALSE),0)</f>
        <v>1</v>
      </c>
      <c r="AC16" s="262">
        <f>IFERROR(VLOOKUP(AC$6,Tech_Specs_Infra!$A$4:$F$9,COLUMN(Tech_Specs_Infra!$C$3)-COLUMN(Tech_Specs_Infra!$A$3)+1,FALSE),0)</f>
        <v>1</v>
      </c>
      <c r="AD16" s="262">
        <f>IFERROR(VLOOKUP(AD$6,Tech_Specs_Infra!$A$4:$F$9,COLUMN(Tech_Specs_Infra!$C$3)-COLUMN(Tech_Specs_Infra!$A$3)+1,FALSE),0)</f>
        <v>1</v>
      </c>
      <c r="AE16" s="262">
        <f>IFERROR(VLOOKUP(AE$6,Tech_Specs_Infra!$A$4:$F$9,COLUMN(Tech_Specs_Infra!$C$3)-COLUMN(Tech_Specs_Infra!$A$3)+1,FALSE),0)</f>
        <v>1</v>
      </c>
      <c r="AF16" s="262">
        <f>IFERROR(VLOOKUP(AF$6,Tech_Specs_Infra!$A$4:$F$9,COLUMN(Tech_Specs_Infra!$C$3)-COLUMN(Tech_Specs_Infra!$A$3)+1,FALSE),0)</f>
        <v>1</v>
      </c>
      <c r="AG16" s="262">
        <f>IFERROR(VLOOKUP(AG$6,Tech_Specs_Infra!$A$4:$F$9,COLUMN(Tech_Specs_Infra!$C$3)-COLUMN(Tech_Specs_Infra!$A$3)+1,FALSE),0)</f>
        <v>1</v>
      </c>
      <c r="AH16" s="262">
        <f>IFERROR(VLOOKUP(AH$6,Tech_Specs_Infra!$A$4:$F$9,COLUMN(Tech_Specs_Infra!$C$3)-COLUMN(Tech_Specs_Infra!$A$3)+1,FALSE),0)</f>
        <v>1</v>
      </c>
      <c r="AI16" s="262">
        <f>IFERROR(VLOOKUP(AI$6,Tech_Specs_Infra!$A$4:$F$9,COLUMN(Tech_Specs_Infra!$C$3)-COLUMN(Tech_Specs_Infra!$A$3)+1,FALSE),0)</f>
        <v>1</v>
      </c>
      <c r="AJ16" s="262">
        <f>IFERROR(VLOOKUP(AJ$6,Tech_Specs_Infra!$A$4:$F$9,COLUMN(Tech_Specs_Infra!$C$3)-COLUMN(Tech_Specs_Infra!$A$3)+1,FALSE),0)</f>
        <v>1</v>
      </c>
      <c r="AK16" s="262">
        <f>IFERROR(VLOOKUP(AK$6,Tech_Specs_Infra!$A$4:$F$9,COLUMN(Tech_Specs_Infra!$C$3)-COLUMN(Tech_Specs_Infra!$A$3)+1,FALSE),0)</f>
        <v>0</v>
      </c>
      <c r="AL16" s="262">
        <f>IFERROR(VLOOKUP(AL$6,Tech_Specs_Infra!$A$4:$F$9,COLUMN(Tech_Specs_Infra!$C$3)-COLUMN(Tech_Specs_Infra!$A$3)+1,FALSE),0)</f>
        <v>0</v>
      </c>
      <c r="AM16" s="262">
        <f>IFERROR(VLOOKUP(AM$6,Tech_Specs_Infra!$A$4:$F$9,COLUMN(Tech_Specs_Infra!$C$3)-COLUMN(Tech_Specs_Infra!$A$3)+1,FALSE),0)</f>
        <v>0</v>
      </c>
      <c r="AN16" s="262">
        <f>IFERROR(VLOOKUP(AN$6,Tech_Specs_Infra!$A$4:$F$9,COLUMN(Tech_Specs_Infra!$C$3)-COLUMN(Tech_Specs_Infra!$A$3)+1,FALSE),0)</f>
        <v>0</v>
      </c>
      <c r="AO16" s="262">
        <f>IFERROR(VLOOKUP(AO$6,Tech_Specs_Infra!$A$4:$F$9,COLUMN(Tech_Specs_Infra!$C$3)-COLUMN(Tech_Specs_Infra!$A$3)+1,FALSE),0)</f>
        <v>0</v>
      </c>
      <c r="AP16" s="262">
        <f>IFERROR(VLOOKUP(AP$6,Tech_Specs_Infra!$A$4:$F$9,COLUMN(Tech_Specs_Infra!$C$3)-COLUMN(Tech_Specs_Infra!$A$3)+1,FALSE),0)</f>
        <v>0</v>
      </c>
      <c r="AQ16" s="262">
        <f>IFERROR(VLOOKUP(AQ$6,Tech_Specs_Infra!$A$4:$F$9,COLUMN(Tech_Specs_Infra!$C$3)-COLUMN(Tech_Specs_Infra!$A$3)+1,FALSE),0)</f>
        <v>0</v>
      </c>
      <c r="AR16" s="262">
        <f>IFERROR(VLOOKUP(AR$6,Tech_Specs_Infra!$A$4:$F$9,COLUMN(Tech_Specs_Infra!$C$3)-COLUMN(Tech_Specs_Infra!$A$3)+1,FALSE),0)</f>
        <v>0</v>
      </c>
      <c r="AS16" s="262">
        <f>IFERROR(VLOOKUP(AS$6,Tech_Specs_Infra!$A$4:$F$9,COLUMN(Tech_Specs_Infra!$C$3)-COLUMN(Tech_Specs_Infra!$A$3)+1,FALSE),0)</f>
        <v>0</v>
      </c>
      <c r="AT16" s="262">
        <f>IFERROR(VLOOKUP(AT$6,Tech_Specs_Infra!$A$4:$F$9,COLUMN(Tech_Specs_Infra!$C$3)-COLUMN(Tech_Specs_Infra!$A$3)+1,FALSE),0)</f>
        <v>0</v>
      </c>
      <c r="AU16" s="262">
        <f>IFERROR(VLOOKUP(AU$6,Tech_Specs_Infra!$A$4:$F$9,COLUMN(Tech_Specs_Infra!$C$3)-COLUMN(Tech_Specs_Infra!$A$3)+1,FALSE),0)</f>
        <v>0</v>
      </c>
      <c r="AV16" s="262">
        <f>IFERROR(VLOOKUP(AV$6,Tech_Specs_Infra!$A$4:$F$9,COLUMN(Tech_Specs_Infra!$C$3)-COLUMN(Tech_Specs_Infra!$A$3)+1,FALSE),0)</f>
        <v>0</v>
      </c>
      <c r="AW16" s="262">
        <f>IFERROR(VLOOKUP(AW$6,Tech_Specs_Infra!$A$4:$F$9,COLUMN(Tech_Specs_Infra!$C$3)-COLUMN(Tech_Specs_Infra!$A$3)+1,FALSE),0)</f>
        <v>0</v>
      </c>
      <c r="AX16" s="262">
        <f>IFERROR(VLOOKUP(AX$6,Tech_Specs_Infra!$A$4:$F$9,COLUMN(Tech_Specs_Infra!$C$3)-COLUMN(Tech_Specs_Infra!$A$3)+1,FALSE),0)</f>
        <v>0</v>
      </c>
      <c r="AY16" s="262">
        <f>IFERROR(VLOOKUP(AY$6,Tech_Specs_Infra!$A$4:$F$9,COLUMN(Tech_Specs_Infra!$C$3)-COLUMN(Tech_Specs_Infra!$A$3)+1,FALSE),0)</f>
        <v>0</v>
      </c>
      <c r="AZ16" s="262">
        <f>IFERROR(VLOOKUP(AZ$6,Tech_Specs_Infra!$A$4:$F$9,COLUMN(Tech_Specs_Infra!$C$3)-COLUMN(Tech_Specs_Infra!$A$3)+1,FALSE),0)</f>
        <v>0</v>
      </c>
      <c r="BA16" s="262">
        <f>IFERROR(VLOOKUP(BA$6,Tech_Specs_Infra!$A$4:$F$9,COLUMN(Tech_Specs_Infra!$C$3)-COLUMN(Tech_Specs_Infra!$A$3)+1,FALSE),0)</f>
        <v>0</v>
      </c>
      <c r="BB16" s="262">
        <f>IFERROR(VLOOKUP(BB$6,Tech_Specs_Infra!$A$4:$F$9,COLUMN(Tech_Specs_Infra!$C$3)-COLUMN(Tech_Specs_Infra!$A$3)+1,FALSE),0)</f>
        <v>0</v>
      </c>
      <c r="BC16" s="262">
        <f>IFERROR(VLOOKUP(BC$6,Tech_Specs_Infra!$A$4:$F$9,COLUMN(Tech_Specs_Infra!$C$3)-COLUMN(Tech_Specs_Infra!$A$3)+1,FALSE),0)</f>
        <v>0</v>
      </c>
      <c r="BD16" s="262">
        <f>IFERROR(VLOOKUP(BD$6,Tech_Specs_Infra!$A$4:$F$9,COLUMN(Tech_Specs_Infra!$C$3)-COLUMN(Tech_Specs_Infra!$A$3)+1,FALSE),0)</f>
        <v>0</v>
      </c>
      <c r="BE16" s="262">
        <f>IFERROR(VLOOKUP(BE$6,Tech_Specs_Infra!$A$4:$F$9,COLUMN(Tech_Specs_Infra!$C$3)-COLUMN(Tech_Specs_Infra!$A$3)+1,FALSE),0)</f>
        <v>0</v>
      </c>
      <c r="BF16" s="262">
        <f>IFERROR(VLOOKUP(BF$6,Tech_Specs_Infra!$A$4:$F$9,COLUMN(Tech_Specs_Infra!$C$3)-COLUMN(Tech_Specs_Infra!$A$3)+1,FALSE),0)</f>
        <v>0</v>
      </c>
      <c r="BG16" s="262">
        <f>IFERROR(VLOOKUP(BG$6,Tech_Specs_Infra!$A$4:$F$9,COLUMN(Tech_Specs_Infra!$C$3)-COLUMN(Tech_Specs_Infra!$A$3)+1,FALSE),0)</f>
        <v>0</v>
      </c>
      <c r="BH16" s="262">
        <f>IFERROR(VLOOKUP(BH$6,Tech_Specs_Infra!$A$4:$F$9,COLUMN(Tech_Specs_Infra!$C$3)-COLUMN(Tech_Specs_Infra!$A$3)+1,FALSE),0)</f>
        <v>0</v>
      </c>
      <c r="BI16" s="262">
        <f>IFERROR(VLOOKUP(BI$6,Tech_Specs_Infra!$A$4:$F$9,COLUMN(Tech_Specs_Infra!$C$3)-COLUMN(Tech_Specs_Infra!$A$3)+1,FALSE),0)</f>
        <v>0</v>
      </c>
      <c r="BJ16" s="262">
        <f>IFERROR(VLOOKUP(BJ$6,Tech_Specs_Infra!$A$4:$F$9,COLUMN(Tech_Specs_Infra!$C$3)-COLUMN(Tech_Specs_Infra!$A$3)+1,FALSE),0)</f>
        <v>0</v>
      </c>
      <c r="BK16" s="262">
        <f>IFERROR(VLOOKUP(BK$6,Tech_Specs_Infra!$A$4:$F$9,COLUMN(Tech_Specs_Infra!$C$3)-COLUMN(Tech_Specs_Infra!$A$3)+1,FALSE),0)</f>
        <v>0</v>
      </c>
      <c r="BL16" s="262">
        <f>IFERROR(VLOOKUP(BL$6,Tech_Specs_Infra!$A$4:$F$9,COLUMN(Tech_Specs_Infra!$C$3)-COLUMN(Tech_Specs_Infra!$A$3)+1,FALSE),0)</f>
        <v>0</v>
      </c>
      <c r="BM16" s="262">
        <f>IFERROR(VLOOKUP(BM$6,Tech_Specs_Infra!$A$4:$F$9,COLUMN(Tech_Specs_Infra!$C$3)-COLUMN(Tech_Specs_Infra!$A$3)+1,FALSE),0)</f>
        <v>0</v>
      </c>
      <c r="BN16" s="262">
        <f>IFERROR(VLOOKUP(BN$6,Tech_Specs_Infra!$A$4:$F$9,COLUMN(Tech_Specs_Infra!$C$3)-COLUMN(Tech_Specs_Infra!$A$3)+1,FALSE),0)</f>
        <v>0</v>
      </c>
      <c r="BO16" s="262">
        <f>IFERROR(VLOOKUP(BO$6,Tech_Specs_Infra!$A$4:$F$9,COLUMN(Tech_Specs_Infra!$C$3)-COLUMN(Tech_Specs_Infra!$A$3)+1,FALSE),0)</f>
        <v>0</v>
      </c>
      <c r="BP16" s="262">
        <f>IFERROR(VLOOKUP(BP$6,Tech_Specs_Infra!$A$4:$F$9,COLUMN(Tech_Specs_Infra!$C$3)-COLUMN(Tech_Specs_Infra!$A$3)+1,FALSE),0)</f>
        <v>0</v>
      </c>
      <c r="BQ16" s="262">
        <f>IFERROR(VLOOKUP(BQ$6,Tech_Specs_Infra!$A$4:$F$9,COLUMN(Tech_Specs_Infra!$C$3)-COLUMN(Tech_Specs_Infra!$A$3)+1,FALSE),0)</f>
        <v>0</v>
      </c>
      <c r="BR16" s="262">
        <f>IFERROR(VLOOKUP(BR$6,Tech_Specs_Infra!$A$4:$F$9,COLUMN(Tech_Specs_Infra!$C$3)-COLUMN(Tech_Specs_Infra!$A$3)+1,FALSE),0)</f>
        <v>0</v>
      </c>
      <c r="BS16" s="262">
        <f>IFERROR(VLOOKUP(BS$6,Tech_Specs_Infra!$A$4:$F$9,COLUMN(Tech_Specs_Infra!$C$3)-COLUMN(Tech_Specs_Infra!$A$3)+1,FALSE),0)</f>
        <v>0</v>
      </c>
      <c r="BT16" s="262">
        <f>IFERROR(VLOOKUP(BT$6,Tech_Specs_Infra!$A$4:$F$9,COLUMN(Tech_Specs_Infra!$C$3)-COLUMN(Tech_Specs_Infra!$A$3)+1,FALSE),0)</f>
        <v>0</v>
      </c>
      <c r="BU16" s="262">
        <f>IFERROR(VLOOKUP(BU$6,Tech_Specs_Infra!$A$4:$F$9,COLUMN(Tech_Specs_Infra!$C$3)-COLUMN(Tech_Specs_Infra!$A$3)+1,FALSE),0)</f>
        <v>0</v>
      </c>
      <c r="BV16" s="262">
        <f>IFERROR(VLOOKUP(BV$6,Tech_Specs_Infra!$A$4:$F$9,COLUMN(Tech_Specs_Infra!$C$3)-COLUMN(Tech_Specs_Infra!$A$3)+1,FALSE),0)</f>
        <v>0</v>
      </c>
      <c r="BW16" s="262">
        <f>IFERROR(VLOOKUP(BW$6,Tech_Specs_Infra!$A$4:$F$9,COLUMN(Tech_Specs_Infra!$C$3)-COLUMN(Tech_Specs_Infra!$A$3)+1,FALSE),0)</f>
        <v>0</v>
      </c>
      <c r="BX16" s="262">
        <f>IFERROR(VLOOKUP(BX$6,Tech_Specs_Infra!$A$4:$F$9,COLUMN(Tech_Specs_Infra!$C$3)-COLUMN(Tech_Specs_Infra!$A$3)+1,FALSE),0)</f>
        <v>0</v>
      </c>
      <c r="BY16" s="262">
        <f>IFERROR(VLOOKUP(BY$6,Tech_Specs_Infra!$A$4:$F$9,COLUMN(Tech_Specs_Infra!$C$3)-COLUMN(Tech_Specs_Infra!$A$3)+1,FALSE),0)</f>
        <v>0</v>
      </c>
      <c r="BZ16" s="262">
        <f>IFERROR(VLOOKUP(BZ$6,Tech_Specs_Infra!$A$4:$F$9,COLUMN(Tech_Specs_Infra!$C$3)-COLUMN(Tech_Specs_Infra!$A$3)+1,FALSE),0)</f>
        <v>0</v>
      </c>
      <c r="CA16" s="262">
        <f>IFERROR(VLOOKUP(CA$6,Tech_Specs_Infra!$A$4:$F$9,COLUMN(Tech_Specs_Infra!$C$3)-COLUMN(Tech_Specs_Infra!$A$3)+1,FALSE),0)</f>
        <v>0</v>
      </c>
      <c r="CB16" s="262">
        <f>IFERROR(VLOOKUP(CB$6,Tech_Specs_Infra!$A$4:$F$9,COLUMN(Tech_Specs_Infra!$C$3)-COLUMN(Tech_Specs_Infra!$A$3)+1,FALSE),0)</f>
        <v>0</v>
      </c>
      <c r="CC16" s="262">
        <f>IFERROR(VLOOKUP(CC$6,Tech_Specs_Infra!$A$4:$F$9,COLUMN(Tech_Specs_Infra!$C$3)-COLUMN(Tech_Specs_Infra!$A$3)+1,FALSE),0)</f>
        <v>0</v>
      </c>
      <c r="CD16" s="262">
        <f>IFERROR(VLOOKUP(CD$6,Tech_Specs_Infra!$A$4:$F$9,COLUMN(Tech_Specs_Infra!$C$3)-COLUMN(Tech_Specs_Infra!$A$3)+1,FALSE),0)</f>
        <v>0</v>
      </c>
      <c r="CE16" s="262">
        <f>IFERROR(VLOOKUP(CE$6,Tech_Specs_Infra!$A$4:$F$9,COLUMN(Tech_Specs_Infra!$C$3)-COLUMN(Tech_Specs_Infra!$A$3)+1,FALSE),0)</f>
        <v>0</v>
      </c>
      <c r="CF16" s="262">
        <f>IFERROR(VLOOKUP(CF$6,Tech_Specs_Infra!$A$4:$F$9,COLUMN(Tech_Specs_Infra!$C$3)-COLUMN(Tech_Specs_Infra!$A$3)+1,FALSE),0)</f>
        <v>0</v>
      </c>
      <c r="CG16" s="262">
        <f>IFERROR(VLOOKUP(CG$6,Tech_Specs_Infra!$A$4:$F$9,COLUMN(Tech_Specs_Infra!$C$3)-COLUMN(Tech_Specs_Infra!$A$3)+1,FALSE),0)</f>
        <v>0</v>
      </c>
      <c r="CH16" s="262">
        <f>IFERROR(VLOOKUP(CH$6,Tech_Specs_Infra!$A$4:$F$9,COLUMN(Tech_Specs_Infra!$C$3)-COLUMN(Tech_Specs_Infra!$A$3)+1,FALSE),0)</f>
        <v>0</v>
      </c>
      <c r="CI16" s="262">
        <f>IFERROR(VLOOKUP(CI$6,Tech_Specs_Infra!$A$4:$F$9,COLUMN(Tech_Specs_Infra!$C$3)-COLUMN(Tech_Specs_Infra!$A$3)+1,FALSE),0)</f>
        <v>0</v>
      </c>
      <c r="CJ16" s="262">
        <f>IFERROR(VLOOKUP(CJ$6,Tech_Specs_Infra!$A$4:$F$9,COLUMN(Tech_Specs_Infra!$C$3)-COLUMN(Tech_Specs_Infra!$A$3)+1,FALSE),0)</f>
        <v>0</v>
      </c>
      <c r="CK16" s="262">
        <f>IFERROR(VLOOKUP(CK$6,Tech_Specs_Infra!$A$4:$F$9,COLUMN(Tech_Specs_Infra!$C$3)-COLUMN(Tech_Specs_Infra!$A$3)+1,FALSE),0)</f>
        <v>0</v>
      </c>
      <c r="CL16" s="262">
        <f>IFERROR(VLOOKUP(CL$6,Tech_Specs_Infra!$A$4:$F$9,COLUMN(Tech_Specs_Infra!$C$3)-COLUMN(Tech_Specs_Infra!$A$3)+1,FALSE),0)</f>
        <v>0</v>
      </c>
      <c r="CM16" s="262">
        <f>IFERROR(VLOOKUP(CM$6,Tech_Specs_Infra!$A$4:$F$9,COLUMN(Tech_Specs_Infra!$C$3)-COLUMN(Tech_Specs_Infra!$A$3)+1,FALSE),0)</f>
        <v>0</v>
      </c>
      <c r="CN16" s="262">
        <f>IFERROR(VLOOKUP(CN$6,Tech_Specs_Infra!$A$4:$F$9,COLUMN(Tech_Specs_Infra!$C$3)-COLUMN(Tech_Specs_Infra!$A$3)+1,FALSE),0)</f>
        <v>0</v>
      </c>
      <c r="CO16" s="262">
        <f>IFERROR(VLOOKUP(CO$6,Tech_Specs_Infra!$A$4:$F$9,COLUMN(Tech_Specs_Infra!$C$3)-COLUMN(Tech_Specs_Infra!$A$3)+1,FALSE),0)</f>
        <v>0</v>
      </c>
      <c r="CP16" s="262">
        <f>IFERROR(VLOOKUP(CP$6,Tech_Specs_Infra!$A$4:$F$9,COLUMN(Tech_Specs_Infra!$C$3)-COLUMN(Tech_Specs_Infra!$A$3)+1,FALSE),0)</f>
        <v>0</v>
      </c>
      <c r="CQ16" s="262">
        <f>IFERROR(VLOOKUP(CQ$6,Tech_Specs_Infra!$A$4:$F$9,COLUMN(Tech_Specs_Infra!$C$3)-COLUMN(Tech_Specs_Infra!$A$3)+1,FALSE),0)</f>
        <v>0</v>
      </c>
      <c r="CR16" s="262">
        <f>IFERROR(VLOOKUP(CR$6,Tech_Specs_Infra!$A$4:$F$9,COLUMN(Tech_Specs_Infra!$C$3)-COLUMN(Tech_Specs_Infra!$A$3)+1,FALSE),0)</f>
        <v>0</v>
      </c>
      <c r="CS16" s="262">
        <f>IFERROR(VLOOKUP(CS$6,Tech_Specs_Infra!$A$4:$F$9,COLUMN(Tech_Specs_Infra!$C$3)-COLUMN(Tech_Specs_Infra!$A$3)+1,FALSE),0)</f>
        <v>0</v>
      </c>
      <c r="CT16" s="262">
        <f>IFERROR(VLOOKUP(CT$6,Tech_Specs_Infra!$A$4:$F$9,COLUMN(Tech_Specs_Infra!$C$3)-COLUMN(Tech_Specs_Infra!$A$3)+1,FALSE),0)</f>
        <v>0</v>
      </c>
      <c r="CU16" s="262">
        <f>IFERROR(VLOOKUP(CU$6,Tech_Specs_Infra!$A$4:$F$9,COLUMN(Tech_Specs_Infra!$C$3)-COLUMN(Tech_Specs_Infra!$A$3)+1,FALSE),0)</f>
        <v>0</v>
      </c>
      <c r="CV16" s="262">
        <f>IFERROR(VLOOKUP(CV$6,Tech_Specs_Infra!$A$4:$F$9,COLUMN(Tech_Specs_Infra!$C$3)-COLUMN(Tech_Specs_Infra!$A$3)+1,FALSE),0)</f>
        <v>0</v>
      </c>
      <c r="CW16" s="262">
        <f>IFERROR(VLOOKUP(CW$6,Tech_Specs_Infra!$A$4:$F$9,COLUMN(Tech_Specs_Infra!$C$3)-COLUMN(Tech_Specs_Infra!$A$3)+1,FALSE),0)</f>
        <v>0</v>
      </c>
      <c r="CX16" s="262">
        <f>IFERROR(VLOOKUP(CX$6,Tech_Specs_Infra!$A$4:$F$9,COLUMN(Tech_Specs_Infra!$C$3)-COLUMN(Tech_Specs_Infra!$A$3)+1,FALSE),0)</f>
        <v>0</v>
      </c>
      <c r="CY16" s="262">
        <f>IFERROR(VLOOKUP(CY$6,Tech_Specs_Infra!$A$4:$F$9,COLUMN(Tech_Specs_Infra!$C$3)-COLUMN(Tech_Specs_Infra!$A$3)+1,FALSE),0)</f>
        <v>0</v>
      </c>
      <c r="CZ16" s="262">
        <f>IFERROR(VLOOKUP(CZ$6,Tech_Specs_Infra!$A$4:$F$9,COLUMN(Tech_Specs_Infra!$C$3)-COLUMN(Tech_Specs_Infra!$A$3)+1,FALSE),0)</f>
        <v>0</v>
      </c>
      <c r="DA16" s="262">
        <f>IFERROR(VLOOKUP(DA$6,Tech_Specs_Infra!$A$4:$F$9,COLUMN(Tech_Specs_Infra!$C$3)-COLUMN(Tech_Specs_Infra!$A$3)+1,FALSE),0)</f>
        <v>0</v>
      </c>
      <c r="DB16" s="262">
        <f>IFERROR(VLOOKUP(DB$6,Tech_Specs_Infra!$A$4:$F$9,COLUMN(Tech_Specs_Infra!$C$3)-COLUMN(Tech_Specs_Infra!$A$3)+1,FALSE),0)</f>
        <v>0</v>
      </c>
      <c r="DC16" s="262">
        <f>IFERROR(VLOOKUP(DC$6,Tech_Specs_Infra!$A$4:$F$9,COLUMN(Tech_Specs_Infra!$C$3)-COLUMN(Tech_Specs_Infra!$A$3)+1,FALSE),0)</f>
        <v>0</v>
      </c>
      <c r="DD16" s="262">
        <f>IFERROR(VLOOKUP(DD$6,Tech_Specs_Infra!$A$4:$F$9,COLUMN(Tech_Specs_Infra!$C$3)-COLUMN(Tech_Specs_Infra!$A$3)+1,FALSE),0)</f>
        <v>0</v>
      </c>
      <c r="DE16" s="262">
        <f>IFERROR(VLOOKUP(DE$6,Tech_Specs_Infra!$A$4:$F$9,COLUMN(Tech_Specs_Infra!$C$3)-COLUMN(Tech_Specs_Infra!$A$3)+1,FALSE),0)</f>
        <v>0</v>
      </c>
      <c r="DF16" s="262">
        <f>IFERROR(VLOOKUP(DF$6,Tech_Specs_Infra!$A$4:$F$9,COLUMN(Tech_Specs_Infra!$C$3)-COLUMN(Tech_Specs_Infra!$A$3)+1,FALSE),0)</f>
        <v>0</v>
      </c>
      <c r="DG16" s="262"/>
      <c r="DH16" s="262">
        <f>IFERROR(VLOOKUP(DH$6,Tech_Specs_Infra!$A$4:$F$9,COLUMN(Tech_Specs_Infra!$C$3)-COLUMN(Tech_Specs_Infra!$A$3)+1,FALSE),0)</f>
        <v>0</v>
      </c>
      <c r="DI16" s="262">
        <f>IFERROR(VLOOKUP(DI$6,Tech_Specs_Infra!$A$4:$F$9,COLUMN(Tech_Specs_Infra!$C$3)-COLUMN(Tech_Specs_Infra!$A$3)+1,FALSE),0)</f>
        <v>0</v>
      </c>
      <c r="DJ16" s="262">
        <f>IFERROR(VLOOKUP(DJ$6,Tech_Specs_Infra!$A$4:$F$9,COLUMN(Tech_Specs_Infra!$C$3)-COLUMN(Tech_Specs_Infra!$A$3)+1,FALSE),0)</f>
        <v>0</v>
      </c>
      <c r="DK16" s="262">
        <f>IFERROR(VLOOKUP(DK$6,Tech_Specs_Infra!$A$4:$F$9,COLUMN(Tech_Specs_Infra!$C$3)-COLUMN(Tech_Specs_Infra!$A$3)+1,FALSE),0)</f>
        <v>1</v>
      </c>
      <c r="DL16" s="262">
        <f>IFERROR(VLOOKUP(DL$6,Tech_Specs_Infra!$A$4:$F$9,COLUMN(Tech_Specs_Infra!$C$3)-COLUMN(Tech_Specs_Infra!$A$3)+1,FALSE),0)</f>
        <v>1</v>
      </c>
      <c r="DM16" s="262">
        <f>IFERROR(VLOOKUP(DM$6,Tech_Specs_Infra!$A$4:$F$9,COLUMN(Tech_Specs_Infra!$C$3)-COLUMN(Tech_Specs_Infra!$A$3)+1,FALSE),0)</f>
        <v>1</v>
      </c>
      <c r="DN16" s="262">
        <f>IFERROR(VLOOKUP(DN$6,Tech_Specs_Infra!$A$4:$F$9,COLUMN(Tech_Specs_Infra!$C$3)-COLUMN(Tech_Specs_Infra!$A$3)+1,FALSE),0)</f>
        <v>1</v>
      </c>
      <c r="DO16" s="262">
        <f>IFERROR(VLOOKUP(DO$6,Tech_Specs_Infra!$A$4:$F$9,COLUMN(Tech_Specs_Infra!$C$3)-COLUMN(Tech_Specs_Infra!$A$3)+1,FALSE),0)</f>
        <v>1</v>
      </c>
      <c r="DP16" s="262">
        <f>IFERROR(VLOOKUP(DP$6,Tech_Specs_Infra!$A$4:$F$9,COLUMN(Tech_Specs_Infra!$C$3)-COLUMN(Tech_Specs_Infra!$A$3)+1,FALSE),0)</f>
        <v>1</v>
      </c>
      <c r="DQ16" s="262">
        <f>IFERROR(VLOOKUP(DQ$6,Tech_Specs_Infra!$A$4:$F$9,COLUMN(Tech_Specs_Infra!$C$3)-COLUMN(Tech_Specs_Infra!$A$3)+1,FALSE),0)</f>
        <v>1</v>
      </c>
      <c r="DR16" s="262">
        <f>IFERROR(VLOOKUP(DR$6,Tech_Specs_Infra!$A$4:$F$9,COLUMN(Tech_Specs_Infra!$C$3)-COLUMN(Tech_Specs_Infra!$A$3)+1,FALSE),0)</f>
        <v>1</v>
      </c>
      <c r="DS16" s="262">
        <f>IFERROR(VLOOKUP(DS$6,Tech_Specs_Infra!$A$4:$F$9,COLUMN(Tech_Specs_Infra!$C$3)-COLUMN(Tech_Specs_Infra!$A$3)+1,FALSE),0)</f>
        <v>1</v>
      </c>
      <c r="DT16" s="262">
        <f>IFERROR(VLOOKUP(DT$6,Tech_Specs_Infra!$A$4:$F$9,COLUMN(Tech_Specs_Infra!$C$3)-COLUMN(Tech_Specs_Infra!$A$3)+1,FALSE),0)</f>
        <v>1</v>
      </c>
      <c r="DU16" s="262">
        <f>IFERROR(VLOOKUP(DU$6,Tech_Specs_Infra!$A$4:$F$9,COLUMN(Tech_Specs_Infra!$C$3)-COLUMN(Tech_Specs_Infra!$A$3)+1,FALSE),0)</f>
        <v>1</v>
      </c>
      <c r="DV16" s="262">
        <f>IFERROR(VLOOKUP(DV$6,Tech_Specs_Infra!$A$4:$F$9,COLUMN(Tech_Specs_Infra!$C$3)-COLUMN(Tech_Specs_Infra!$A$3)+1,FALSE),0)</f>
        <v>1</v>
      </c>
      <c r="DW16" s="262">
        <f>IFERROR(VLOOKUP(DW$6,Tech_Specs_Infra!$A$4:$F$9,COLUMN(Tech_Specs_Infra!$C$3)-COLUMN(Tech_Specs_Infra!$A$3)+1,FALSE),0)</f>
        <v>1</v>
      </c>
      <c r="DX16" s="262">
        <f>IFERROR(VLOOKUP(DX$6,Tech_Specs_Infra!$A$4:$F$9,COLUMN(Tech_Specs_Infra!$C$3)-COLUMN(Tech_Specs_Infra!$A$3)+1,FALSE),0)</f>
        <v>0</v>
      </c>
      <c r="DY16" s="262">
        <f>IFERROR(VLOOKUP(DY$6,Tech_Specs_Infra!$A$4:$F$9,COLUMN(Tech_Specs_Infra!$C$3)-COLUMN(Tech_Specs_Infra!$A$3)+1,FALSE),0)</f>
        <v>0</v>
      </c>
      <c r="DZ16" s="262">
        <f>IFERROR(VLOOKUP(DZ$6,Tech_Specs_Infra!$A$4:$F$9,COLUMN(Tech_Specs_Infra!$C$3)-COLUMN(Tech_Specs_Infra!$A$3)+1,FALSE),0)</f>
        <v>0</v>
      </c>
      <c r="EA16" s="262">
        <f>IFERROR(VLOOKUP(EA$6,Tech_Specs_Infra!$A$4:$F$9,COLUMN(Tech_Specs_Infra!$C$3)-COLUMN(Tech_Specs_Infra!$A$3)+1,FALSE),0)</f>
        <v>0</v>
      </c>
      <c r="EB16" s="262">
        <f>IFERROR(VLOOKUP(EB$6,Tech_Specs_Infra!$A$4:$F$9,COLUMN(Tech_Specs_Infra!$C$3)-COLUMN(Tech_Specs_Infra!$A$3)+1,FALSE),0)</f>
        <v>0</v>
      </c>
      <c r="EC16" s="262">
        <f>IFERROR(VLOOKUP(EC$6,Tech_Specs_Infra!$A$4:$F$9,COLUMN(Tech_Specs_Infra!$C$3)-COLUMN(Tech_Specs_Infra!$A$3)+1,FALSE),0)</f>
        <v>0</v>
      </c>
      <c r="ED16" s="262">
        <f>IFERROR(VLOOKUP(ED$6,Tech_Specs_Infra!$A$4:$F$9,COLUMN(Tech_Specs_Infra!$C$3)-COLUMN(Tech_Specs_Infra!$A$3)+1,FALSE),0)</f>
        <v>0</v>
      </c>
    </row>
    <row r="17" spans="1:134" x14ac:dyDescent="0.3">
      <c r="A17" s="21" t="str">
        <f>A12</f>
        <v xml:space="preserve">   Cement </v>
      </c>
      <c r="D17" s="262">
        <f>IFERROR(VLOOKUP(D$6,Tech_Specs_Infra!$A$4:$F$9,COLUMN(Tech_Specs_Infra!$E$3)-COLUMN(Tech_Specs_Infra!$A$3)+1,FALSE),0)</f>
        <v>212.5</v>
      </c>
      <c r="E17" s="262">
        <f>IFERROR(VLOOKUP(E$6,Tech_Specs_Infra!$A$4:$F$9,COLUMN(Tech_Specs_Infra!$E$3)-COLUMN(Tech_Specs_Infra!$A$3)+1,FALSE),0)</f>
        <v>212.5</v>
      </c>
      <c r="F17" s="262">
        <f>IFERROR(VLOOKUP(F$6,Tech_Specs_Infra!$A$4:$F$9,COLUMN(Tech_Specs_Infra!$E$3)-COLUMN(Tech_Specs_Infra!$A$3)+1,FALSE),0)</f>
        <v>212.5</v>
      </c>
      <c r="G17" s="262">
        <f>IFERROR(VLOOKUP(G$6,Tech_Specs_Infra!$A$4:$F$9,COLUMN(Tech_Specs_Infra!$E$3)-COLUMN(Tech_Specs_Infra!$A$3)+1,FALSE),0)</f>
        <v>212.5</v>
      </c>
      <c r="H17" s="262">
        <f>IFERROR(VLOOKUP(H$6,Tech_Specs_Infra!$A$4:$F$9,COLUMN(Tech_Specs_Infra!$E$3)-COLUMN(Tech_Specs_Infra!$A$3)+1,FALSE),0)</f>
        <v>212.5</v>
      </c>
      <c r="I17" s="262">
        <f>IFERROR(VLOOKUP(I$6,Tech_Specs_Infra!$A$4:$F$9,COLUMN(Tech_Specs_Infra!$E$3)-COLUMN(Tech_Specs_Infra!$A$3)+1,FALSE),0)</f>
        <v>212.5</v>
      </c>
      <c r="J17" s="262">
        <f>IFERROR(VLOOKUP(J$6,Tech_Specs_Infra!$A$4:$F$9,COLUMN(Tech_Specs_Infra!$E$3)-COLUMN(Tech_Specs_Infra!$A$3)+1,FALSE),0)</f>
        <v>212.5</v>
      </c>
      <c r="K17" s="262">
        <f>IFERROR(VLOOKUP(K$6,Tech_Specs_Infra!$A$4:$F$9,COLUMN(Tech_Specs_Infra!$E$3)-COLUMN(Tech_Specs_Infra!$A$3)+1,FALSE),0)</f>
        <v>212.5</v>
      </c>
      <c r="L17" s="262">
        <f>IFERROR(VLOOKUP(L$6,Tech_Specs_Infra!$A$4:$F$9,COLUMN(Tech_Specs_Infra!$E$3)-COLUMN(Tech_Specs_Infra!$A$3)+1,FALSE),0)</f>
        <v>212.5</v>
      </c>
      <c r="M17" s="262">
        <f>IFERROR(VLOOKUP(M$6,Tech_Specs_Infra!$A$4:$F$9,COLUMN(Tech_Specs_Infra!$E$3)-COLUMN(Tech_Specs_Infra!$A$3)+1,FALSE),0)</f>
        <v>212.5</v>
      </c>
      <c r="N17" s="262">
        <f>IFERROR(VLOOKUP(N$6,Tech_Specs_Infra!$A$4:$F$9,COLUMN(Tech_Specs_Infra!$E$3)-COLUMN(Tech_Specs_Infra!$A$3)+1,FALSE),0)</f>
        <v>212.5</v>
      </c>
      <c r="O17" s="262">
        <f>IFERROR(VLOOKUP(O$6,Tech_Specs_Infra!$A$4:$F$9,COLUMN(Tech_Specs_Infra!$E$3)-COLUMN(Tech_Specs_Infra!$A$3)+1,FALSE),0)</f>
        <v>212.5</v>
      </c>
      <c r="P17" s="262">
        <f>IFERROR(VLOOKUP(P$6,Tech_Specs_Infra!$A$4:$F$9,COLUMN(Tech_Specs_Infra!$E$3)-COLUMN(Tech_Specs_Infra!$A$3)+1,FALSE),0)</f>
        <v>212.5</v>
      </c>
      <c r="Q17" s="262">
        <f>IFERROR(VLOOKUP(Q$6,Tech_Specs_Infra!$A$4:$F$9,COLUMN(Tech_Specs_Infra!$E$3)-COLUMN(Tech_Specs_Infra!$A$3)+1,FALSE),0)</f>
        <v>212.5</v>
      </c>
      <c r="R17" s="262">
        <f>IFERROR(VLOOKUP(R$6,Tech_Specs_Infra!$A$4:$F$9,COLUMN(Tech_Specs_Infra!$E$3)-COLUMN(Tech_Specs_Infra!$A$3)+1,FALSE),0)</f>
        <v>212.5</v>
      </c>
      <c r="S17" s="262">
        <f>IFERROR(VLOOKUP(S$6,Tech_Specs_Infra!$A$4:$F$9,COLUMN(Tech_Specs_Infra!$E$3)-COLUMN(Tech_Specs_Infra!$A$3)+1,FALSE),0)</f>
        <v>212.5</v>
      </c>
      <c r="T17" s="262">
        <f>IFERROR(VLOOKUP(T$6,Tech_Specs_Infra!$A$4:$F$9,COLUMN(Tech_Specs_Infra!$E$3)-COLUMN(Tech_Specs_Infra!$A$3)+1,FALSE),0)</f>
        <v>212.5</v>
      </c>
      <c r="U17" s="262">
        <f>IFERROR(VLOOKUP(U$6,Tech_Specs_Infra!$A$4:$F$9,COLUMN(Tech_Specs_Infra!$E$3)-COLUMN(Tech_Specs_Infra!$A$3)+1,FALSE),0)</f>
        <v>212.5</v>
      </c>
      <c r="V17" s="262">
        <f>IFERROR(VLOOKUP(V$6,Tech_Specs_Infra!$A$4:$F$9,COLUMN(Tech_Specs_Infra!$E$3)-COLUMN(Tech_Specs_Infra!$A$3)+1,FALSE),0)</f>
        <v>212.5</v>
      </c>
      <c r="W17" s="262">
        <f>IFERROR(VLOOKUP(W$6,Tech_Specs_Infra!$A$4:$F$9,COLUMN(Tech_Specs_Infra!$E$3)-COLUMN(Tech_Specs_Infra!$A$3)+1,FALSE),0)</f>
        <v>212.5</v>
      </c>
      <c r="X17" s="262">
        <f>IFERROR(VLOOKUP(X$6,Tech_Specs_Infra!$A$4:$F$9,COLUMN(Tech_Specs_Infra!$E$3)-COLUMN(Tech_Specs_Infra!$A$3)+1,FALSE),0)</f>
        <v>212.5</v>
      </c>
      <c r="Y17" s="262">
        <f>IFERROR(VLOOKUP(Y$6,Tech_Specs_Infra!$A$4:$F$9,COLUMN(Tech_Specs_Infra!$E$3)-COLUMN(Tech_Specs_Infra!$A$3)+1,FALSE),0)</f>
        <v>212.5</v>
      </c>
      <c r="Z17" s="262">
        <f>IFERROR(VLOOKUP(Z$6,Tech_Specs_Infra!$A$4:$F$9,COLUMN(Tech_Specs_Infra!$E$3)-COLUMN(Tech_Specs_Infra!$A$3)+1,FALSE),0)</f>
        <v>212.5</v>
      </c>
      <c r="AA17" s="262">
        <f>IFERROR(VLOOKUP(AA$6,Tech_Specs_Infra!$A$4:$F$9,COLUMN(Tech_Specs_Infra!$E$3)-COLUMN(Tech_Specs_Infra!$A$3)+1,FALSE),0)</f>
        <v>212.5</v>
      </c>
      <c r="AB17" s="262">
        <f>IFERROR(VLOOKUP(AB$6,Tech_Specs_Infra!$A$4:$F$9,COLUMN(Tech_Specs_Infra!$E$3)-COLUMN(Tech_Specs_Infra!$A$3)+1,FALSE),0)</f>
        <v>212.5</v>
      </c>
      <c r="AC17" s="262">
        <f>IFERROR(VLOOKUP(AC$6,Tech_Specs_Infra!$A$4:$F$9,COLUMN(Tech_Specs_Infra!$E$3)-COLUMN(Tech_Specs_Infra!$A$3)+1,FALSE),0)</f>
        <v>212.5</v>
      </c>
      <c r="AD17" s="262">
        <f>IFERROR(VLOOKUP(AD$6,Tech_Specs_Infra!$A$4:$F$9,COLUMN(Tech_Specs_Infra!$E$3)-COLUMN(Tech_Specs_Infra!$A$3)+1,FALSE),0)</f>
        <v>212.5</v>
      </c>
      <c r="AE17" s="262">
        <f>IFERROR(VLOOKUP(AE$6,Tech_Specs_Infra!$A$4:$F$9,COLUMN(Tech_Specs_Infra!$E$3)-COLUMN(Tech_Specs_Infra!$A$3)+1,FALSE),0)</f>
        <v>212.5</v>
      </c>
      <c r="AF17" s="262">
        <f>IFERROR(VLOOKUP(AF$6,Tech_Specs_Infra!$A$4:$F$9,COLUMN(Tech_Specs_Infra!$E$3)-COLUMN(Tech_Specs_Infra!$A$3)+1,FALSE),0)</f>
        <v>212.5</v>
      </c>
      <c r="AG17" s="262">
        <f>IFERROR(VLOOKUP(AG$6,Tech_Specs_Infra!$A$4:$F$9,COLUMN(Tech_Specs_Infra!$E$3)-COLUMN(Tech_Specs_Infra!$A$3)+1,FALSE),0)</f>
        <v>212.5</v>
      </c>
      <c r="AH17" s="262">
        <f>IFERROR(VLOOKUP(AH$6,Tech_Specs_Infra!$A$4:$F$9,COLUMN(Tech_Specs_Infra!$E$3)-COLUMN(Tech_Specs_Infra!$A$3)+1,FALSE),0)</f>
        <v>212.5</v>
      </c>
      <c r="AI17" s="262">
        <f>IFERROR(VLOOKUP(AI$6,Tech_Specs_Infra!$A$4:$F$9,COLUMN(Tech_Specs_Infra!$E$3)-COLUMN(Tech_Specs_Infra!$A$3)+1,FALSE),0)</f>
        <v>212.5</v>
      </c>
      <c r="AJ17" s="262">
        <f>IFERROR(VLOOKUP(AJ$6,Tech_Specs_Infra!$A$4:$F$9,COLUMN(Tech_Specs_Infra!$E$3)-COLUMN(Tech_Specs_Infra!$A$3)+1,FALSE),0)</f>
        <v>212.5</v>
      </c>
      <c r="AK17" s="262">
        <f>IFERROR(VLOOKUP(AK$6,Tech_Specs_Infra!$A$4:$F$9,COLUMN(Tech_Specs_Infra!$E$3)-COLUMN(Tech_Specs_Infra!$A$3)+1,FALSE),0)</f>
        <v>0</v>
      </c>
      <c r="AL17" s="262">
        <f>IFERROR(VLOOKUP(AL$6,Tech_Specs_Infra!$A$4:$F$9,COLUMN(Tech_Specs_Infra!$E$3)-COLUMN(Tech_Specs_Infra!$A$3)+1,FALSE),0)</f>
        <v>0</v>
      </c>
      <c r="AM17" s="262">
        <f>IFERROR(VLOOKUP(AM$6,Tech_Specs_Infra!$A$4:$F$9,COLUMN(Tech_Specs_Infra!$E$3)-COLUMN(Tech_Specs_Infra!$A$3)+1,FALSE),0)</f>
        <v>0</v>
      </c>
      <c r="AN17" s="262">
        <f>IFERROR(VLOOKUP(AN$6,Tech_Specs_Infra!$A$4:$F$9,COLUMN(Tech_Specs_Infra!$E$3)-COLUMN(Tech_Specs_Infra!$A$3)+1,FALSE),0)</f>
        <v>0</v>
      </c>
      <c r="AO17" s="262">
        <f>IFERROR(VLOOKUP(AO$6,Tech_Specs_Infra!$A$4:$F$9,COLUMN(Tech_Specs_Infra!$E$3)-COLUMN(Tech_Specs_Infra!$A$3)+1,FALSE),0)</f>
        <v>0</v>
      </c>
      <c r="AP17" s="262">
        <f>IFERROR(VLOOKUP(AP$6,Tech_Specs_Infra!$A$4:$F$9,COLUMN(Tech_Specs_Infra!$E$3)-COLUMN(Tech_Specs_Infra!$A$3)+1,FALSE),0)</f>
        <v>0</v>
      </c>
      <c r="AQ17" s="262">
        <f>IFERROR(VLOOKUP(AQ$6,Tech_Specs_Infra!$A$4:$F$9,COLUMN(Tech_Specs_Infra!$E$3)-COLUMN(Tech_Specs_Infra!$A$3)+1,FALSE),0)</f>
        <v>0</v>
      </c>
      <c r="AR17" s="262">
        <f>IFERROR(VLOOKUP(AR$6,Tech_Specs_Infra!$A$4:$F$9,COLUMN(Tech_Specs_Infra!$E$3)-COLUMN(Tech_Specs_Infra!$A$3)+1,FALSE),0)</f>
        <v>0</v>
      </c>
      <c r="AS17" s="262">
        <f>IFERROR(VLOOKUP(AS$6,Tech_Specs_Infra!$A$4:$F$9,COLUMN(Tech_Specs_Infra!$E$3)-COLUMN(Tech_Specs_Infra!$A$3)+1,FALSE),0)</f>
        <v>0</v>
      </c>
      <c r="AT17" s="262">
        <f>IFERROR(VLOOKUP(AT$6,Tech_Specs_Infra!$A$4:$F$9,COLUMN(Tech_Specs_Infra!$E$3)-COLUMN(Tech_Specs_Infra!$A$3)+1,FALSE),0)</f>
        <v>0</v>
      </c>
      <c r="AU17" s="262">
        <f>IFERROR(VLOOKUP(AU$6,Tech_Specs_Infra!$A$4:$F$9,COLUMN(Tech_Specs_Infra!$E$3)-COLUMN(Tech_Specs_Infra!$A$3)+1,FALSE),0)</f>
        <v>0</v>
      </c>
      <c r="AV17" s="262">
        <f>IFERROR(VLOOKUP(AV$6,Tech_Specs_Infra!$A$4:$F$9,COLUMN(Tech_Specs_Infra!$E$3)-COLUMN(Tech_Specs_Infra!$A$3)+1,FALSE),0)</f>
        <v>0</v>
      </c>
      <c r="AW17" s="262">
        <f>IFERROR(VLOOKUP(AW$6,Tech_Specs_Infra!$A$4:$F$9,COLUMN(Tech_Specs_Infra!$E$3)-COLUMN(Tech_Specs_Infra!$A$3)+1,FALSE),0)</f>
        <v>0</v>
      </c>
      <c r="AX17" s="262">
        <f>IFERROR(VLOOKUP(AX$6,Tech_Specs_Infra!$A$4:$F$9,COLUMN(Tech_Specs_Infra!$E$3)-COLUMN(Tech_Specs_Infra!$A$3)+1,FALSE),0)</f>
        <v>0</v>
      </c>
      <c r="AY17" s="262">
        <f>IFERROR(VLOOKUP(AY$6,Tech_Specs_Infra!$A$4:$F$9,COLUMN(Tech_Specs_Infra!$E$3)-COLUMN(Tech_Specs_Infra!$A$3)+1,FALSE),0)</f>
        <v>0</v>
      </c>
      <c r="AZ17" s="262">
        <f>IFERROR(VLOOKUP(AZ$6,Tech_Specs_Infra!$A$4:$F$9,COLUMN(Tech_Specs_Infra!$E$3)-COLUMN(Tech_Specs_Infra!$A$3)+1,FALSE),0)</f>
        <v>0</v>
      </c>
      <c r="BA17" s="262">
        <f>IFERROR(VLOOKUP(BA$6,Tech_Specs_Infra!$A$4:$F$9,COLUMN(Tech_Specs_Infra!$E$3)-COLUMN(Tech_Specs_Infra!$A$3)+1,FALSE),0)</f>
        <v>0</v>
      </c>
      <c r="BB17" s="262">
        <f>IFERROR(VLOOKUP(BB$6,Tech_Specs_Infra!$A$4:$F$9,COLUMN(Tech_Specs_Infra!$E$3)-COLUMN(Tech_Specs_Infra!$A$3)+1,FALSE),0)</f>
        <v>0</v>
      </c>
      <c r="BC17" s="262">
        <f>IFERROR(VLOOKUP(BC$6,Tech_Specs_Infra!$A$4:$F$9,COLUMN(Tech_Specs_Infra!$E$3)-COLUMN(Tech_Specs_Infra!$A$3)+1,FALSE),0)</f>
        <v>0</v>
      </c>
      <c r="BD17" s="262">
        <f>IFERROR(VLOOKUP(BD$6,Tech_Specs_Infra!$A$4:$F$9,COLUMN(Tech_Specs_Infra!$E$3)-COLUMN(Tech_Specs_Infra!$A$3)+1,FALSE),0)</f>
        <v>0</v>
      </c>
      <c r="BE17" s="262">
        <f>IFERROR(VLOOKUP(BE$6,Tech_Specs_Infra!$A$4:$F$9,COLUMN(Tech_Specs_Infra!$E$3)-COLUMN(Tech_Specs_Infra!$A$3)+1,FALSE),0)</f>
        <v>0</v>
      </c>
      <c r="BF17" s="262">
        <f>IFERROR(VLOOKUP(BF$6,Tech_Specs_Infra!$A$4:$F$9,COLUMN(Tech_Specs_Infra!$E$3)-COLUMN(Tech_Specs_Infra!$A$3)+1,FALSE),0)</f>
        <v>0</v>
      </c>
      <c r="BG17" s="262">
        <f>IFERROR(VLOOKUP(BG$6,Tech_Specs_Infra!$A$4:$F$9,COLUMN(Tech_Specs_Infra!$E$3)-COLUMN(Tech_Specs_Infra!$A$3)+1,FALSE),0)</f>
        <v>0</v>
      </c>
      <c r="BH17" s="262">
        <f>IFERROR(VLOOKUP(BH$6,Tech_Specs_Infra!$A$4:$F$9,COLUMN(Tech_Specs_Infra!$E$3)-COLUMN(Tech_Specs_Infra!$A$3)+1,FALSE),0)</f>
        <v>0</v>
      </c>
      <c r="BI17" s="262">
        <f>IFERROR(VLOOKUP(BI$6,Tech_Specs_Infra!$A$4:$F$9,COLUMN(Tech_Specs_Infra!$E$3)-COLUMN(Tech_Specs_Infra!$A$3)+1,FALSE),0)</f>
        <v>0</v>
      </c>
      <c r="BJ17" s="262">
        <f>IFERROR(VLOOKUP(BJ$6,Tech_Specs_Infra!$A$4:$F$9,COLUMN(Tech_Specs_Infra!$E$3)-COLUMN(Tech_Specs_Infra!$A$3)+1,FALSE),0)</f>
        <v>0</v>
      </c>
      <c r="BK17" s="262">
        <f>IFERROR(VLOOKUP(BK$6,Tech_Specs_Infra!$A$4:$F$9,COLUMN(Tech_Specs_Infra!$E$3)-COLUMN(Tech_Specs_Infra!$A$3)+1,FALSE),0)</f>
        <v>0</v>
      </c>
      <c r="BL17" s="262">
        <f>IFERROR(VLOOKUP(BL$6,Tech_Specs_Infra!$A$4:$F$9,COLUMN(Tech_Specs_Infra!$E$3)-COLUMN(Tech_Specs_Infra!$A$3)+1,FALSE),0)</f>
        <v>0</v>
      </c>
      <c r="BM17" s="262">
        <f>IFERROR(VLOOKUP(BM$6,Tech_Specs_Infra!$A$4:$F$9,COLUMN(Tech_Specs_Infra!$E$3)-COLUMN(Tech_Specs_Infra!$A$3)+1,FALSE),0)</f>
        <v>0</v>
      </c>
      <c r="BN17" s="262">
        <f>IFERROR(VLOOKUP(BN$6,Tech_Specs_Infra!$A$4:$F$9,COLUMN(Tech_Specs_Infra!$E$3)-COLUMN(Tech_Specs_Infra!$A$3)+1,FALSE),0)</f>
        <v>0</v>
      </c>
      <c r="BO17" s="262">
        <f>IFERROR(VLOOKUP(BO$6,Tech_Specs_Infra!$A$4:$F$9,COLUMN(Tech_Specs_Infra!$E$3)-COLUMN(Tech_Specs_Infra!$A$3)+1,FALSE),0)</f>
        <v>0</v>
      </c>
      <c r="BP17" s="262">
        <f>IFERROR(VLOOKUP(BP$6,Tech_Specs_Infra!$A$4:$F$9,COLUMN(Tech_Specs_Infra!$E$3)-COLUMN(Tech_Specs_Infra!$A$3)+1,FALSE),0)</f>
        <v>0</v>
      </c>
      <c r="BQ17" s="262">
        <f>IFERROR(VLOOKUP(BQ$6,Tech_Specs_Infra!$A$4:$F$9,COLUMN(Tech_Specs_Infra!$E$3)-COLUMN(Tech_Specs_Infra!$A$3)+1,FALSE),0)</f>
        <v>0</v>
      </c>
      <c r="BR17" s="262">
        <f>IFERROR(VLOOKUP(BR$6,Tech_Specs_Infra!$A$4:$F$9,COLUMN(Tech_Specs_Infra!$E$3)-COLUMN(Tech_Specs_Infra!$A$3)+1,FALSE),0)</f>
        <v>0</v>
      </c>
      <c r="BS17" s="262">
        <f>IFERROR(VLOOKUP(BS$6,Tech_Specs_Infra!$A$4:$F$9,COLUMN(Tech_Specs_Infra!$E$3)-COLUMN(Tech_Specs_Infra!$A$3)+1,FALSE),0)</f>
        <v>0</v>
      </c>
      <c r="BT17" s="262">
        <f>IFERROR(VLOOKUP(BT$6,Tech_Specs_Infra!$A$4:$F$9,COLUMN(Tech_Specs_Infra!$E$3)-COLUMN(Tech_Specs_Infra!$A$3)+1,FALSE),0)</f>
        <v>0</v>
      </c>
      <c r="BU17" s="262">
        <f>IFERROR(VLOOKUP(BU$6,Tech_Specs_Infra!$A$4:$F$9,COLUMN(Tech_Specs_Infra!$E$3)-COLUMN(Tech_Specs_Infra!$A$3)+1,FALSE),0)</f>
        <v>0</v>
      </c>
      <c r="BV17" s="262">
        <f>IFERROR(VLOOKUP(BV$6,Tech_Specs_Infra!$A$4:$F$9,COLUMN(Tech_Specs_Infra!$E$3)-COLUMN(Tech_Specs_Infra!$A$3)+1,FALSE),0)</f>
        <v>0</v>
      </c>
      <c r="BW17" s="262">
        <f>IFERROR(VLOOKUP(BW$6,Tech_Specs_Infra!$A$4:$F$9,COLUMN(Tech_Specs_Infra!$E$3)-COLUMN(Tech_Specs_Infra!$A$3)+1,FALSE),0)</f>
        <v>0</v>
      </c>
      <c r="BX17" s="262">
        <f>IFERROR(VLOOKUP(BX$6,Tech_Specs_Infra!$A$4:$F$9,COLUMN(Tech_Specs_Infra!$E$3)-COLUMN(Tech_Specs_Infra!$A$3)+1,FALSE),0)</f>
        <v>0</v>
      </c>
      <c r="BY17" s="262">
        <f>IFERROR(VLOOKUP(BY$6,Tech_Specs_Infra!$A$4:$F$9,COLUMN(Tech_Specs_Infra!$E$3)-COLUMN(Tech_Specs_Infra!$A$3)+1,FALSE),0)</f>
        <v>0</v>
      </c>
      <c r="BZ17" s="262">
        <f>IFERROR(VLOOKUP(BZ$6,Tech_Specs_Infra!$A$4:$F$9,COLUMN(Tech_Specs_Infra!$E$3)-COLUMN(Tech_Specs_Infra!$A$3)+1,FALSE),0)</f>
        <v>0</v>
      </c>
      <c r="CA17" s="262">
        <f>IFERROR(VLOOKUP(CA$6,Tech_Specs_Infra!$A$4:$F$9,COLUMN(Tech_Specs_Infra!$E$3)-COLUMN(Tech_Specs_Infra!$A$3)+1,FALSE),0)</f>
        <v>0</v>
      </c>
      <c r="CB17" s="262">
        <f>IFERROR(VLOOKUP(CB$6,Tech_Specs_Infra!$A$4:$F$9,COLUMN(Tech_Specs_Infra!$E$3)-COLUMN(Tech_Specs_Infra!$A$3)+1,FALSE),0)</f>
        <v>0</v>
      </c>
      <c r="CC17" s="262">
        <f>IFERROR(VLOOKUP(CC$6,Tech_Specs_Infra!$A$4:$F$9,COLUMN(Tech_Specs_Infra!$E$3)-COLUMN(Tech_Specs_Infra!$A$3)+1,FALSE),0)</f>
        <v>0</v>
      </c>
      <c r="CD17" s="262">
        <f>IFERROR(VLOOKUP(CD$6,Tech_Specs_Infra!$A$4:$F$9,COLUMN(Tech_Specs_Infra!$E$3)-COLUMN(Tech_Specs_Infra!$A$3)+1,FALSE),0)</f>
        <v>0</v>
      </c>
      <c r="CE17" s="262">
        <f>IFERROR(VLOOKUP(CE$6,Tech_Specs_Infra!$A$4:$F$9,COLUMN(Tech_Specs_Infra!$E$3)-COLUMN(Tech_Specs_Infra!$A$3)+1,FALSE),0)</f>
        <v>0</v>
      </c>
      <c r="CF17" s="262">
        <f>IFERROR(VLOOKUP(CF$6,Tech_Specs_Infra!$A$4:$F$9,COLUMN(Tech_Specs_Infra!$E$3)-COLUMN(Tech_Specs_Infra!$A$3)+1,FALSE),0)</f>
        <v>0</v>
      </c>
      <c r="CG17" s="262">
        <f>IFERROR(VLOOKUP(CG$6,Tech_Specs_Infra!$A$4:$F$9,COLUMN(Tech_Specs_Infra!$E$3)-COLUMN(Tech_Specs_Infra!$A$3)+1,FALSE),0)</f>
        <v>0</v>
      </c>
      <c r="CH17" s="262">
        <f>IFERROR(VLOOKUP(CH$6,Tech_Specs_Infra!$A$4:$F$9,COLUMN(Tech_Specs_Infra!$E$3)-COLUMN(Tech_Specs_Infra!$A$3)+1,FALSE),0)</f>
        <v>0</v>
      </c>
      <c r="CI17" s="262">
        <f>IFERROR(VLOOKUP(CI$6,Tech_Specs_Infra!$A$4:$F$9,COLUMN(Tech_Specs_Infra!$E$3)-COLUMN(Tech_Specs_Infra!$A$3)+1,FALSE),0)</f>
        <v>0</v>
      </c>
      <c r="CJ17" s="262">
        <f>IFERROR(VLOOKUP(CJ$6,Tech_Specs_Infra!$A$4:$F$9,COLUMN(Tech_Specs_Infra!$E$3)-COLUMN(Tech_Specs_Infra!$A$3)+1,FALSE),0)</f>
        <v>0</v>
      </c>
      <c r="CK17" s="262">
        <f>IFERROR(VLOOKUP(CK$6,Tech_Specs_Infra!$A$4:$F$9,COLUMN(Tech_Specs_Infra!$E$3)-COLUMN(Tech_Specs_Infra!$A$3)+1,FALSE),0)</f>
        <v>0</v>
      </c>
      <c r="CL17" s="262">
        <f>IFERROR(VLOOKUP(CL$6,Tech_Specs_Infra!$A$4:$F$9,COLUMN(Tech_Specs_Infra!$E$3)-COLUMN(Tech_Specs_Infra!$A$3)+1,FALSE),0)</f>
        <v>0</v>
      </c>
      <c r="CM17" s="262">
        <f>IFERROR(VLOOKUP(CM$6,Tech_Specs_Infra!$A$4:$F$9,COLUMN(Tech_Specs_Infra!$E$3)-COLUMN(Tech_Specs_Infra!$A$3)+1,FALSE),0)</f>
        <v>0</v>
      </c>
      <c r="CN17" s="262">
        <f>IFERROR(VLOOKUP(CN$6,Tech_Specs_Infra!$A$4:$F$9,COLUMN(Tech_Specs_Infra!$E$3)-COLUMN(Tech_Specs_Infra!$A$3)+1,FALSE),0)</f>
        <v>0</v>
      </c>
      <c r="CO17" s="262">
        <f>IFERROR(VLOOKUP(CO$6,Tech_Specs_Infra!$A$4:$F$9,COLUMN(Tech_Specs_Infra!$E$3)-COLUMN(Tech_Specs_Infra!$A$3)+1,FALSE),0)</f>
        <v>0</v>
      </c>
      <c r="CP17" s="262">
        <f>IFERROR(VLOOKUP(CP$6,Tech_Specs_Infra!$A$4:$F$9,COLUMN(Tech_Specs_Infra!$E$3)-COLUMN(Tech_Specs_Infra!$A$3)+1,FALSE),0)</f>
        <v>0</v>
      </c>
      <c r="CQ17" s="262">
        <f>IFERROR(VLOOKUP(CQ$6,Tech_Specs_Infra!$A$4:$F$9,COLUMN(Tech_Specs_Infra!$E$3)-COLUMN(Tech_Specs_Infra!$A$3)+1,FALSE),0)</f>
        <v>0</v>
      </c>
      <c r="CR17" s="262">
        <f>IFERROR(VLOOKUP(CR$6,Tech_Specs_Infra!$A$4:$F$9,COLUMN(Tech_Specs_Infra!$E$3)-COLUMN(Tech_Specs_Infra!$A$3)+1,FALSE),0)</f>
        <v>0</v>
      </c>
      <c r="CS17" s="262">
        <f>IFERROR(VLOOKUP(CS$6,Tech_Specs_Infra!$A$4:$F$9,COLUMN(Tech_Specs_Infra!$E$3)-COLUMN(Tech_Specs_Infra!$A$3)+1,FALSE),0)</f>
        <v>0</v>
      </c>
      <c r="CT17" s="262">
        <f>IFERROR(VLOOKUP(CT$6,Tech_Specs_Infra!$A$4:$F$9,COLUMN(Tech_Specs_Infra!$E$3)-COLUMN(Tech_Specs_Infra!$A$3)+1,FALSE),0)</f>
        <v>0</v>
      </c>
      <c r="CU17" s="262">
        <f>IFERROR(VLOOKUP(CU$6,Tech_Specs_Infra!$A$4:$F$9,COLUMN(Tech_Specs_Infra!$E$3)-COLUMN(Tech_Specs_Infra!$A$3)+1,FALSE),0)</f>
        <v>0</v>
      </c>
      <c r="CV17" s="262">
        <f>IFERROR(VLOOKUP(CV$6,Tech_Specs_Infra!$A$4:$F$9,COLUMN(Tech_Specs_Infra!$E$3)-COLUMN(Tech_Specs_Infra!$A$3)+1,FALSE),0)</f>
        <v>0</v>
      </c>
      <c r="CW17" s="262">
        <f>IFERROR(VLOOKUP(CW$6,Tech_Specs_Infra!$A$4:$F$9,COLUMN(Tech_Specs_Infra!$E$3)-COLUMN(Tech_Specs_Infra!$A$3)+1,FALSE),0)</f>
        <v>0</v>
      </c>
      <c r="CX17" s="262">
        <f>IFERROR(VLOOKUP(CX$6,Tech_Specs_Infra!$A$4:$F$9,COLUMN(Tech_Specs_Infra!$E$3)-COLUMN(Tech_Specs_Infra!$A$3)+1,FALSE),0)</f>
        <v>0</v>
      </c>
      <c r="CY17" s="262">
        <f>IFERROR(VLOOKUP(CY$6,Tech_Specs_Infra!$A$4:$F$9,COLUMN(Tech_Specs_Infra!$E$3)-COLUMN(Tech_Specs_Infra!$A$3)+1,FALSE),0)</f>
        <v>0</v>
      </c>
      <c r="CZ17" s="262">
        <f>IFERROR(VLOOKUP(CZ$6,Tech_Specs_Infra!$A$4:$F$9,COLUMN(Tech_Specs_Infra!$E$3)-COLUMN(Tech_Specs_Infra!$A$3)+1,FALSE),0)</f>
        <v>0</v>
      </c>
      <c r="DA17" s="262">
        <f>IFERROR(VLOOKUP(DA$6,Tech_Specs_Infra!$A$4:$F$9,COLUMN(Tech_Specs_Infra!$E$3)-COLUMN(Tech_Specs_Infra!$A$3)+1,FALSE),0)</f>
        <v>0</v>
      </c>
      <c r="DB17" s="262">
        <f>IFERROR(VLOOKUP(DB$6,Tech_Specs_Infra!$A$4:$F$9,COLUMN(Tech_Specs_Infra!$E$3)-COLUMN(Tech_Specs_Infra!$A$3)+1,FALSE),0)</f>
        <v>0</v>
      </c>
      <c r="DC17" s="262">
        <f>IFERROR(VLOOKUP(DC$6,Tech_Specs_Infra!$A$4:$F$9,COLUMN(Tech_Specs_Infra!$E$3)-COLUMN(Tech_Specs_Infra!$A$3)+1,FALSE),0)</f>
        <v>0</v>
      </c>
      <c r="DD17" s="262">
        <f>IFERROR(VLOOKUP(DD$6,Tech_Specs_Infra!$A$4:$F$9,COLUMN(Tech_Specs_Infra!$E$3)-COLUMN(Tech_Specs_Infra!$A$3)+1,FALSE),0)</f>
        <v>0</v>
      </c>
      <c r="DE17" s="262">
        <f>IFERROR(VLOOKUP(DE$6,Tech_Specs_Infra!$A$4:$F$9,COLUMN(Tech_Specs_Infra!$E$3)-COLUMN(Tech_Specs_Infra!$A$3)+1,FALSE),0)</f>
        <v>0</v>
      </c>
      <c r="DF17" s="262">
        <f>IFERROR(VLOOKUP(DF$6,Tech_Specs_Infra!$A$4:$F$9,COLUMN(Tech_Specs_Infra!$E$3)-COLUMN(Tech_Specs_Infra!$A$3)+1,FALSE),0)</f>
        <v>0</v>
      </c>
      <c r="DG17" s="262"/>
      <c r="DH17" s="262">
        <f>IFERROR(VLOOKUP(DH$6,Tech_Specs_Infra!$A$4:$F$9,COLUMN(Tech_Specs_Infra!$E$3)-COLUMN(Tech_Specs_Infra!$A$3)+1,FALSE),0)</f>
        <v>0</v>
      </c>
      <c r="DI17" s="262">
        <f>IFERROR(VLOOKUP(DI$6,Tech_Specs_Infra!$A$4:$F$9,COLUMN(Tech_Specs_Infra!$E$3)-COLUMN(Tech_Specs_Infra!$A$3)+1,FALSE),0)</f>
        <v>0</v>
      </c>
      <c r="DJ17" s="262">
        <f>IFERROR(VLOOKUP(DJ$6,Tech_Specs_Infra!$A$4:$F$9,COLUMN(Tech_Specs_Infra!$E$3)-COLUMN(Tech_Specs_Infra!$A$3)+1,FALSE),0)</f>
        <v>0</v>
      </c>
      <c r="DK17" s="262">
        <f>IFERROR(VLOOKUP(DK$6,Tech_Specs_Infra!$A$4:$F$9,COLUMN(Tech_Specs_Infra!$E$3)-COLUMN(Tech_Specs_Infra!$A$3)+1,FALSE),0)</f>
        <v>212.5</v>
      </c>
      <c r="DL17" s="262">
        <f>IFERROR(VLOOKUP(DL$6,Tech_Specs_Infra!$A$4:$F$9,COLUMN(Tech_Specs_Infra!$E$3)-COLUMN(Tech_Specs_Infra!$A$3)+1,FALSE),0)</f>
        <v>212.5</v>
      </c>
      <c r="DM17" s="262">
        <f>IFERROR(VLOOKUP(DM$6,Tech_Specs_Infra!$A$4:$F$9,COLUMN(Tech_Specs_Infra!$E$3)-COLUMN(Tech_Specs_Infra!$A$3)+1,FALSE),0)</f>
        <v>212.5</v>
      </c>
      <c r="DN17" s="262">
        <f>IFERROR(VLOOKUP(DN$6,Tech_Specs_Infra!$A$4:$F$9,COLUMN(Tech_Specs_Infra!$E$3)-COLUMN(Tech_Specs_Infra!$A$3)+1,FALSE),0)</f>
        <v>212.5</v>
      </c>
      <c r="DO17" s="262">
        <f>IFERROR(VLOOKUP(DO$6,Tech_Specs_Infra!$A$4:$F$9,COLUMN(Tech_Specs_Infra!$E$3)-COLUMN(Tech_Specs_Infra!$A$3)+1,FALSE),0)</f>
        <v>212.5</v>
      </c>
      <c r="DP17" s="262">
        <f>IFERROR(VLOOKUP(DP$6,Tech_Specs_Infra!$A$4:$F$9,COLUMN(Tech_Specs_Infra!$E$3)-COLUMN(Tech_Specs_Infra!$A$3)+1,FALSE),0)</f>
        <v>212.5</v>
      </c>
      <c r="DQ17" s="262">
        <f>IFERROR(VLOOKUP(DQ$6,Tech_Specs_Infra!$A$4:$F$9,COLUMN(Tech_Specs_Infra!$E$3)-COLUMN(Tech_Specs_Infra!$A$3)+1,FALSE),0)</f>
        <v>212.5</v>
      </c>
      <c r="DR17" s="262">
        <f>IFERROR(VLOOKUP(DR$6,Tech_Specs_Infra!$A$4:$F$9,COLUMN(Tech_Specs_Infra!$E$3)-COLUMN(Tech_Specs_Infra!$A$3)+1,FALSE),0)</f>
        <v>212.5</v>
      </c>
      <c r="DS17" s="262">
        <f>IFERROR(VLOOKUP(DS$6,Tech_Specs_Infra!$A$4:$F$9,COLUMN(Tech_Specs_Infra!$E$3)-COLUMN(Tech_Specs_Infra!$A$3)+1,FALSE),0)</f>
        <v>212.5</v>
      </c>
      <c r="DT17" s="262">
        <f>IFERROR(VLOOKUP(DT$6,Tech_Specs_Infra!$A$4:$F$9,COLUMN(Tech_Specs_Infra!$E$3)-COLUMN(Tech_Specs_Infra!$A$3)+1,FALSE),0)</f>
        <v>212.5</v>
      </c>
      <c r="DU17" s="262">
        <f>IFERROR(VLOOKUP(DU$6,Tech_Specs_Infra!$A$4:$F$9,COLUMN(Tech_Specs_Infra!$E$3)-COLUMN(Tech_Specs_Infra!$A$3)+1,FALSE),0)</f>
        <v>212.5</v>
      </c>
      <c r="DV17" s="262">
        <f>IFERROR(VLOOKUP(DV$6,Tech_Specs_Infra!$A$4:$F$9,COLUMN(Tech_Specs_Infra!$E$3)-COLUMN(Tech_Specs_Infra!$A$3)+1,FALSE),0)</f>
        <v>212.5</v>
      </c>
      <c r="DW17" s="262">
        <f>IFERROR(VLOOKUP(DW$6,Tech_Specs_Infra!$A$4:$F$9,COLUMN(Tech_Specs_Infra!$E$3)-COLUMN(Tech_Specs_Infra!$A$3)+1,FALSE),0)</f>
        <v>212.5</v>
      </c>
      <c r="DX17" s="262">
        <f>IFERROR(VLOOKUP(DX$6,Tech_Specs_Infra!$A$4:$F$9,COLUMN(Tech_Specs_Infra!$E$3)-COLUMN(Tech_Specs_Infra!$A$3)+1,FALSE),0)</f>
        <v>0</v>
      </c>
      <c r="DY17" s="262">
        <f>IFERROR(VLOOKUP(DY$6,Tech_Specs_Infra!$A$4:$F$9,COLUMN(Tech_Specs_Infra!$E$3)-COLUMN(Tech_Specs_Infra!$A$3)+1,FALSE),0)</f>
        <v>0</v>
      </c>
      <c r="DZ17" s="262">
        <f>IFERROR(VLOOKUP(DZ$6,Tech_Specs_Infra!$A$4:$F$9,COLUMN(Tech_Specs_Infra!$E$3)-COLUMN(Tech_Specs_Infra!$A$3)+1,FALSE),0)</f>
        <v>0</v>
      </c>
      <c r="EA17" s="262">
        <f>IFERROR(VLOOKUP(EA$6,Tech_Specs_Infra!$A$4:$F$9,COLUMN(Tech_Specs_Infra!$E$3)-COLUMN(Tech_Specs_Infra!$A$3)+1,FALSE),0)</f>
        <v>0</v>
      </c>
      <c r="EB17" s="262">
        <f>IFERROR(VLOOKUP(EB$6,Tech_Specs_Infra!$A$4:$F$9,COLUMN(Tech_Specs_Infra!$E$3)-COLUMN(Tech_Specs_Infra!$A$3)+1,FALSE),0)</f>
        <v>0</v>
      </c>
      <c r="EC17" s="262">
        <f>IFERROR(VLOOKUP(EC$6,Tech_Specs_Infra!$A$4:$F$9,COLUMN(Tech_Specs_Infra!$E$3)-COLUMN(Tech_Specs_Infra!$A$3)+1,FALSE),0)</f>
        <v>0</v>
      </c>
      <c r="ED17" s="262">
        <f>IFERROR(VLOOKUP(ED$6,Tech_Specs_Infra!$A$4:$F$9,COLUMN(Tech_Specs_Infra!$E$3)-COLUMN(Tech_Specs_Infra!$A$3)+1,FALSE),0)</f>
        <v>0</v>
      </c>
    </row>
    <row r="18" spans="1:134" x14ac:dyDescent="0.3">
      <c r="A18" s="21" t="str">
        <f>A13</f>
        <v xml:space="preserve">   Steel</v>
      </c>
      <c r="D18" s="262">
        <f>IFERROR(VLOOKUP(D$6,Tech_Specs_Infra!$A$4:$F$9,COLUMN(Tech_Specs_Infra!$F$3)-COLUMN(Tech_Specs_Infra!$A$3)+1,FALSE),0)</f>
        <v>0.1</v>
      </c>
      <c r="E18" s="262">
        <f>IFERROR(VLOOKUP(E$6,Tech_Specs_Infra!$A$4:$F$9,COLUMN(Tech_Specs_Infra!$F$3)-COLUMN(Tech_Specs_Infra!$A$3)+1,FALSE),0)</f>
        <v>0.1</v>
      </c>
      <c r="F18" s="262">
        <f>IFERROR(VLOOKUP(F$6,Tech_Specs_Infra!$A$4:$F$9,COLUMN(Tech_Specs_Infra!$F$3)-COLUMN(Tech_Specs_Infra!$A$3)+1,FALSE),0)</f>
        <v>0.1</v>
      </c>
      <c r="G18" s="262">
        <f>IFERROR(VLOOKUP(G$6,Tech_Specs_Infra!$A$4:$F$9,COLUMN(Tech_Specs_Infra!$F$3)-COLUMN(Tech_Specs_Infra!$A$3)+1,FALSE),0)</f>
        <v>0.1</v>
      </c>
      <c r="H18" s="262">
        <f>IFERROR(VLOOKUP(H$6,Tech_Specs_Infra!$A$4:$F$9,COLUMN(Tech_Specs_Infra!$F$3)-COLUMN(Tech_Specs_Infra!$A$3)+1,FALSE),0)</f>
        <v>0.1</v>
      </c>
      <c r="I18" s="262">
        <f>IFERROR(VLOOKUP(I$6,Tech_Specs_Infra!$A$4:$F$9,COLUMN(Tech_Specs_Infra!$F$3)-COLUMN(Tech_Specs_Infra!$A$3)+1,FALSE),0)</f>
        <v>0.1</v>
      </c>
      <c r="J18" s="262">
        <f>IFERROR(VLOOKUP(J$6,Tech_Specs_Infra!$A$4:$F$9,COLUMN(Tech_Specs_Infra!$F$3)-COLUMN(Tech_Specs_Infra!$A$3)+1,FALSE),0)</f>
        <v>0.1</v>
      </c>
      <c r="K18" s="262">
        <f>IFERROR(VLOOKUP(K$6,Tech_Specs_Infra!$A$4:$F$9,COLUMN(Tech_Specs_Infra!$F$3)-COLUMN(Tech_Specs_Infra!$A$3)+1,FALSE),0)</f>
        <v>0.1</v>
      </c>
      <c r="L18" s="262">
        <f>IFERROR(VLOOKUP(L$6,Tech_Specs_Infra!$A$4:$F$9,COLUMN(Tech_Specs_Infra!$F$3)-COLUMN(Tech_Specs_Infra!$A$3)+1,FALSE),0)</f>
        <v>0.1</v>
      </c>
      <c r="M18" s="262">
        <f>IFERROR(VLOOKUP(M$6,Tech_Specs_Infra!$A$4:$F$9,COLUMN(Tech_Specs_Infra!$F$3)-COLUMN(Tech_Specs_Infra!$A$3)+1,FALSE),0)</f>
        <v>0.1</v>
      </c>
      <c r="N18" s="262">
        <f>IFERROR(VLOOKUP(N$6,Tech_Specs_Infra!$A$4:$F$9,COLUMN(Tech_Specs_Infra!$F$3)-COLUMN(Tech_Specs_Infra!$A$3)+1,FALSE),0)</f>
        <v>0.1</v>
      </c>
      <c r="O18" s="262">
        <f>IFERROR(VLOOKUP(O$6,Tech_Specs_Infra!$A$4:$F$9,COLUMN(Tech_Specs_Infra!$F$3)-COLUMN(Tech_Specs_Infra!$A$3)+1,FALSE),0)</f>
        <v>0.1</v>
      </c>
      <c r="P18" s="262">
        <f>IFERROR(VLOOKUP(P$6,Tech_Specs_Infra!$A$4:$F$9,COLUMN(Tech_Specs_Infra!$F$3)-COLUMN(Tech_Specs_Infra!$A$3)+1,FALSE),0)</f>
        <v>0.1</v>
      </c>
      <c r="Q18" s="262">
        <f>IFERROR(VLOOKUP(Q$6,Tech_Specs_Infra!$A$4:$F$9,COLUMN(Tech_Specs_Infra!$F$3)-COLUMN(Tech_Specs_Infra!$A$3)+1,FALSE),0)</f>
        <v>0.1</v>
      </c>
      <c r="R18" s="262">
        <f>IFERROR(VLOOKUP(R$6,Tech_Specs_Infra!$A$4:$F$9,COLUMN(Tech_Specs_Infra!$F$3)-COLUMN(Tech_Specs_Infra!$A$3)+1,FALSE),0)</f>
        <v>0.1</v>
      </c>
      <c r="S18" s="262">
        <f>IFERROR(VLOOKUP(S$6,Tech_Specs_Infra!$A$4:$F$9,COLUMN(Tech_Specs_Infra!$F$3)-COLUMN(Tech_Specs_Infra!$A$3)+1,FALSE),0)</f>
        <v>0.1</v>
      </c>
      <c r="T18" s="262">
        <f>IFERROR(VLOOKUP(T$6,Tech_Specs_Infra!$A$4:$F$9,COLUMN(Tech_Specs_Infra!$F$3)-COLUMN(Tech_Specs_Infra!$A$3)+1,FALSE),0)</f>
        <v>0.1</v>
      </c>
      <c r="U18" s="262">
        <f>IFERROR(VLOOKUP(U$6,Tech_Specs_Infra!$A$4:$F$9,COLUMN(Tech_Specs_Infra!$F$3)-COLUMN(Tech_Specs_Infra!$A$3)+1,FALSE),0)</f>
        <v>0.1</v>
      </c>
      <c r="V18" s="262">
        <f>IFERROR(VLOOKUP(V$6,Tech_Specs_Infra!$A$4:$F$9,COLUMN(Tech_Specs_Infra!$F$3)-COLUMN(Tech_Specs_Infra!$A$3)+1,FALSE),0)</f>
        <v>0.1</v>
      </c>
      <c r="W18" s="262">
        <f>IFERROR(VLOOKUP(W$6,Tech_Specs_Infra!$A$4:$F$9,COLUMN(Tech_Specs_Infra!$F$3)-COLUMN(Tech_Specs_Infra!$A$3)+1,FALSE),0)</f>
        <v>0.1</v>
      </c>
      <c r="X18" s="262">
        <f>IFERROR(VLOOKUP(X$6,Tech_Specs_Infra!$A$4:$F$9,COLUMN(Tech_Specs_Infra!$F$3)-COLUMN(Tech_Specs_Infra!$A$3)+1,FALSE),0)</f>
        <v>0.1</v>
      </c>
      <c r="Y18" s="262">
        <f>IFERROR(VLOOKUP(Y$6,Tech_Specs_Infra!$A$4:$F$9,COLUMN(Tech_Specs_Infra!$F$3)-COLUMN(Tech_Specs_Infra!$A$3)+1,FALSE),0)</f>
        <v>0.1</v>
      </c>
      <c r="Z18" s="262">
        <f>IFERROR(VLOOKUP(Z$6,Tech_Specs_Infra!$A$4:$F$9,COLUMN(Tech_Specs_Infra!$F$3)-COLUMN(Tech_Specs_Infra!$A$3)+1,FALSE),0)</f>
        <v>0.1</v>
      </c>
      <c r="AA18" s="262">
        <f>IFERROR(VLOOKUP(AA$6,Tech_Specs_Infra!$A$4:$F$9,COLUMN(Tech_Specs_Infra!$F$3)-COLUMN(Tech_Specs_Infra!$A$3)+1,FALSE),0)</f>
        <v>0.1</v>
      </c>
      <c r="AB18" s="262">
        <f>IFERROR(VLOOKUP(AB$6,Tech_Specs_Infra!$A$4:$F$9,COLUMN(Tech_Specs_Infra!$F$3)-COLUMN(Tech_Specs_Infra!$A$3)+1,FALSE),0)</f>
        <v>0.1</v>
      </c>
      <c r="AC18" s="262">
        <f>IFERROR(VLOOKUP(AC$6,Tech_Specs_Infra!$A$4:$F$9,COLUMN(Tech_Specs_Infra!$F$3)-COLUMN(Tech_Specs_Infra!$A$3)+1,FALSE),0)</f>
        <v>0.1</v>
      </c>
      <c r="AD18" s="262">
        <f>IFERROR(VLOOKUP(AD$6,Tech_Specs_Infra!$A$4:$F$9,COLUMN(Tech_Specs_Infra!$F$3)-COLUMN(Tech_Specs_Infra!$A$3)+1,FALSE),0)</f>
        <v>0.1</v>
      </c>
      <c r="AE18" s="262">
        <f>IFERROR(VLOOKUP(AE$6,Tech_Specs_Infra!$A$4:$F$9,COLUMN(Tech_Specs_Infra!$F$3)-COLUMN(Tech_Specs_Infra!$A$3)+1,FALSE),0)</f>
        <v>0.1</v>
      </c>
      <c r="AF18" s="262">
        <f>IFERROR(VLOOKUP(AF$6,Tech_Specs_Infra!$A$4:$F$9,COLUMN(Tech_Specs_Infra!$F$3)-COLUMN(Tech_Specs_Infra!$A$3)+1,FALSE),0)</f>
        <v>0.1</v>
      </c>
      <c r="AG18" s="262">
        <f>IFERROR(VLOOKUP(AG$6,Tech_Specs_Infra!$A$4:$F$9,COLUMN(Tech_Specs_Infra!$F$3)-COLUMN(Tech_Specs_Infra!$A$3)+1,FALSE),0)</f>
        <v>0.1</v>
      </c>
      <c r="AH18" s="262">
        <f>IFERROR(VLOOKUP(AH$6,Tech_Specs_Infra!$A$4:$F$9,COLUMN(Tech_Specs_Infra!$F$3)-COLUMN(Tech_Specs_Infra!$A$3)+1,FALSE),0)</f>
        <v>0.1</v>
      </c>
      <c r="AI18" s="262">
        <f>IFERROR(VLOOKUP(AI$6,Tech_Specs_Infra!$A$4:$F$9,COLUMN(Tech_Specs_Infra!$F$3)-COLUMN(Tech_Specs_Infra!$A$3)+1,FALSE),0)</f>
        <v>0.1</v>
      </c>
      <c r="AJ18" s="262">
        <f>IFERROR(VLOOKUP(AJ$6,Tech_Specs_Infra!$A$4:$F$9,COLUMN(Tech_Specs_Infra!$F$3)-COLUMN(Tech_Specs_Infra!$A$3)+1,FALSE),0)</f>
        <v>0.1</v>
      </c>
      <c r="AK18" s="262">
        <f>IFERROR(VLOOKUP(AK$6,Tech_Specs_Infra!$A$4:$F$9,COLUMN(Tech_Specs_Infra!$F$3)-COLUMN(Tech_Specs_Infra!$A$3)+1,FALSE),0)</f>
        <v>0</v>
      </c>
      <c r="AL18" s="262">
        <f>IFERROR(VLOOKUP(AL$6,Tech_Specs_Infra!$A$4:$F$9,COLUMN(Tech_Specs_Infra!$F$3)-COLUMN(Tech_Specs_Infra!$A$3)+1,FALSE),0)</f>
        <v>0</v>
      </c>
      <c r="AM18" s="262">
        <f>IFERROR(VLOOKUP(AM$6,Tech_Specs_Infra!$A$4:$F$9,COLUMN(Tech_Specs_Infra!$F$3)-COLUMN(Tech_Specs_Infra!$A$3)+1,FALSE),0)</f>
        <v>0</v>
      </c>
      <c r="AN18" s="262">
        <f>IFERROR(VLOOKUP(AN$6,Tech_Specs_Infra!$A$4:$F$9,COLUMN(Tech_Specs_Infra!$F$3)-COLUMN(Tech_Specs_Infra!$A$3)+1,FALSE),0)</f>
        <v>0</v>
      </c>
      <c r="AO18" s="262">
        <f>IFERROR(VLOOKUP(AO$6,Tech_Specs_Infra!$A$4:$F$9,COLUMN(Tech_Specs_Infra!$F$3)-COLUMN(Tech_Specs_Infra!$A$3)+1,FALSE),0)</f>
        <v>0</v>
      </c>
      <c r="AP18" s="262">
        <f>IFERROR(VLOOKUP(AP$6,Tech_Specs_Infra!$A$4:$F$9,COLUMN(Tech_Specs_Infra!$F$3)-COLUMN(Tech_Specs_Infra!$A$3)+1,FALSE),0)</f>
        <v>0</v>
      </c>
      <c r="AQ18" s="262">
        <f>IFERROR(VLOOKUP(AQ$6,Tech_Specs_Infra!$A$4:$F$9,COLUMN(Tech_Specs_Infra!$F$3)-COLUMN(Tech_Specs_Infra!$A$3)+1,FALSE),0)</f>
        <v>0</v>
      </c>
      <c r="AR18" s="262">
        <f>IFERROR(VLOOKUP(AR$6,Tech_Specs_Infra!$A$4:$F$9,COLUMN(Tech_Specs_Infra!$F$3)-COLUMN(Tech_Specs_Infra!$A$3)+1,FALSE),0)</f>
        <v>0</v>
      </c>
      <c r="AS18" s="262">
        <f>IFERROR(VLOOKUP(AS$6,Tech_Specs_Infra!$A$4:$F$9,COLUMN(Tech_Specs_Infra!$F$3)-COLUMN(Tech_Specs_Infra!$A$3)+1,FALSE),0)</f>
        <v>0</v>
      </c>
      <c r="AT18" s="262">
        <f>IFERROR(VLOOKUP(AT$6,Tech_Specs_Infra!$A$4:$F$9,COLUMN(Tech_Specs_Infra!$F$3)-COLUMN(Tech_Specs_Infra!$A$3)+1,FALSE),0)</f>
        <v>0</v>
      </c>
      <c r="AU18" s="262">
        <f>IFERROR(VLOOKUP(AU$6,Tech_Specs_Infra!$A$4:$F$9,COLUMN(Tech_Specs_Infra!$F$3)-COLUMN(Tech_Specs_Infra!$A$3)+1,FALSE),0)</f>
        <v>0</v>
      </c>
      <c r="AV18" s="262">
        <f>IFERROR(VLOOKUP(AV$6,Tech_Specs_Infra!$A$4:$F$9,COLUMN(Tech_Specs_Infra!$F$3)-COLUMN(Tech_Specs_Infra!$A$3)+1,FALSE),0)</f>
        <v>0</v>
      </c>
      <c r="AW18" s="262">
        <f>IFERROR(VLOOKUP(AW$6,Tech_Specs_Infra!$A$4:$F$9,COLUMN(Tech_Specs_Infra!$F$3)-COLUMN(Tech_Specs_Infra!$A$3)+1,FALSE),0)</f>
        <v>0</v>
      </c>
      <c r="AX18" s="262">
        <f>IFERROR(VLOOKUP(AX$6,Tech_Specs_Infra!$A$4:$F$9,COLUMN(Tech_Specs_Infra!$F$3)-COLUMN(Tech_Specs_Infra!$A$3)+1,FALSE),0)</f>
        <v>0</v>
      </c>
      <c r="AY18" s="262">
        <f>IFERROR(VLOOKUP(AY$6,Tech_Specs_Infra!$A$4:$F$9,COLUMN(Tech_Specs_Infra!$F$3)-COLUMN(Tech_Specs_Infra!$A$3)+1,FALSE),0)</f>
        <v>0</v>
      </c>
      <c r="AZ18" s="262">
        <f>IFERROR(VLOOKUP(AZ$6,Tech_Specs_Infra!$A$4:$F$9,COLUMN(Tech_Specs_Infra!$F$3)-COLUMN(Tech_Specs_Infra!$A$3)+1,FALSE),0)</f>
        <v>0</v>
      </c>
      <c r="BA18" s="262">
        <f>IFERROR(VLOOKUP(BA$6,Tech_Specs_Infra!$A$4:$F$9,COLUMN(Tech_Specs_Infra!$F$3)-COLUMN(Tech_Specs_Infra!$A$3)+1,FALSE),0)</f>
        <v>0</v>
      </c>
      <c r="BB18" s="262">
        <f>IFERROR(VLOOKUP(BB$6,Tech_Specs_Infra!$A$4:$F$9,COLUMN(Tech_Specs_Infra!$F$3)-COLUMN(Tech_Specs_Infra!$A$3)+1,FALSE),0)</f>
        <v>0</v>
      </c>
      <c r="BC18" s="262">
        <f>IFERROR(VLOOKUP(BC$6,Tech_Specs_Infra!$A$4:$F$9,COLUMN(Tech_Specs_Infra!$F$3)-COLUMN(Tech_Specs_Infra!$A$3)+1,FALSE),0)</f>
        <v>0</v>
      </c>
      <c r="BD18" s="262">
        <f>IFERROR(VLOOKUP(BD$6,Tech_Specs_Infra!$A$4:$F$9,COLUMN(Tech_Specs_Infra!$F$3)-COLUMN(Tech_Specs_Infra!$A$3)+1,FALSE),0)</f>
        <v>0</v>
      </c>
      <c r="BE18" s="262">
        <f>IFERROR(VLOOKUP(BE$6,Tech_Specs_Infra!$A$4:$F$9,COLUMN(Tech_Specs_Infra!$F$3)-COLUMN(Tech_Specs_Infra!$A$3)+1,FALSE),0)</f>
        <v>0</v>
      </c>
      <c r="BF18" s="262">
        <f>IFERROR(VLOOKUP(BF$6,Tech_Specs_Infra!$A$4:$F$9,COLUMN(Tech_Specs_Infra!$F$3)-COLUMN(Tech_Specs_Infra!$A$3)+1,FALSE),0)</f>
        <v>0</v>
      </c>
      <c r="BG18" s="262">
        <f>IFERROR(VLOOKUP(BG$6,Tech_Specs_Infra!$A$4:$F$9,COLUMN(Tech_Specs_Infra!$F$3)-COLUMN(Tech_Specs_Infra!$A$3)+1,FALSE),0)</f>
        <v>0</v>
      </c>
      <c r="BH18" s="262">
        <f>IFERROR(VLOOKUP(BH$6,Tech_Specs_Infra!$A$4:$F$9,COLUMN(Tech_Specs_Infra!$F$3)-COLUMN(Tech_Specs_Infra!$A$3)+1,FALSE),0)</f>
        <v>0</v>
      </c>
      <c r="BI18" s="262">
        <f>IFERROR(VLOOKUP(BI$6,Tech_Specs_Infra!$A$4:$F$9,COLUMN(Tech_Specs_Infra!$F$3)-COLUMN(Tech_Specs_Infra!$A$3)+1,FALSE),0)</f>
        <v>0</v>
      </c>
      <c r="BJ18" s="262">
        <f>IFERROR(VLOOKUP(BJ$6,Tech_Specs_Infra!$A$4:$F$9,COLUMN(Tech_Specs_Infra!$F$3)-COLUMN(Tech_Specs_Infra!$A$3)+1,FALSE),0)</f>
        <v>0</v>
      </c>
      <c r="BK18" s="262">
        <f>IFERROR(VLOOKUP(BK$6,Tech_Specs_Infra!$A$4:$F$9,COLUMN(Tech_Specs_Infra!$F$3)-COLUMN(Tech_Specs_Infra!$A$3)+1,FALSE),0)</f>
        <v>0</v>
      </c>
      <c r="BL18" s="262">
        <f>IFERROR(VLOOKUP(BL$6,Tech_Specs_Infra!$A$4:$F$9,COLUMN(Tech_Specs_Infra!$F$3)-COLUMN(Tech_Specs_Infra!$A$3)+1,FALSE),0)</f>
        <v>0</v>
      </c>
      <c r="BM18" s="262">
        <f>IFERROR(VLOOKUP(BM$6,Tech_Specs_Infra!$A$4:$F$9,COLUMN(Tech_Specs_Infra!$F$3)-COLUMN(Tech_Specs_Infra!$A$3)+1,FALSE),0)</f>
        <v>0</v>
      </c>
      <c r="BN18" s="262">
        <f>IFERROR(VLOOKUP(BN$6,Tech_Specs_Infra!$A$4:$F$9,COLUMN(Tech_Specs_Infra!$F$3)-COLUMN(Tech_Specs_Infra!$A$3)+1,FALSE),0)</f>
        <v>0</v>
      </c>
      <c r="BO18" s="262">
        <f>IFERROR(VLOOKUP(BO$6,Tech_Specs_Infra!$A$4:$F$9,COLUMN(Tech_Specs_Infra!$F$3)-COLUMN(Tech_Specs_Infra!$A$3)+1,FALSE),0)</f>
        <v>0</v>
      </c>
      <c r="BP18" s="262">
        <f>IFERROR(VLOOKUP(BP$6,Tech_Specs_Infra!$A$4:$F$9,COLUMN(Tech_Specs_Infra!$F$3)-COLUMN(Tech_Specs_Infra!$A$3)+1,FALSE),0)</f>
        <v>0</v>
      </c>
      <c r="BQ18" s="262">
        <f>IFERROR(VLOOKUP(BQ$6,Tech_Specs_Infra!$A$4:$F$9,COLUMN(Tech_Specs_Infra!$F$3)-COLUMN(Tech_Specs_Infra!$A$3)+1,FALSE),0)</f>
        <v>0</v>
      </c>
      <c r="BR18" s="262">
        <f>IFERROR(VLOOKUP(BR$6,Tech_Specs_Infra!$A$4:$F$9,COLUMN(Tech_Specs_Infra!$F$3)-COLUMN(Tech_Specs_Infra!$A$3)+1,FALSE),0)</f>
        <v>0</v>
      </c>
      <c r="BS18" s="262">
        <f>IFERROR(VLOOKUP(BS$6,Tech_Specs_Infra!$A$4:$F$9,COLUMN(Tech_Specs_Infra!$F$3)-COLUMN(Tech_Specs_Infra!$A$3)+1,FALSE),0)</f>
        <v>0</v>
      </c>
      <c r="BT18" s="262">
        <f>IFERROR(VLOOKUP(BT$6,Tech_Specs_Infra!$A$4:$F$9,COLUMN(Tech_Specs_Infra!$F$3)-COLUMN(Tech_Specs_Infra!$A$3)+1,FALSE),0)</f>
        <v>0</v>
      </c>
      <c r="BU18" s="262">
        <f>IFERROR(VLOOKUP(BU$6,Tech_Specs_Infra!$A$4:$F$9,COLUMN(Tech_Specs_Infra!$F$3)-COLUMN(Tech_Specs_Infra!$A$3)+1,FALSE),0)</f>
        <v>0</v>
      </c>
      <c r="BV18" s="262">
        <f>IFERROR(VLOOKUP(BV$6,Tech_Specs_Infra!$A$4:$F$9,COLUMN(Tech_Specs_Infra!$F$3)-COLUMN(Tech_Specs_Infra!$A$3)+1,FALSE),0)</f>
        <v>0</v>
      </c>
      <c r="BW18" s="262">
        <f>IFERROR(VLOOKUP(BW$6,Tech_Specs_Infra!$A$4:$F$9,COLUMN(Tech_Specs_Infra!$F$3)-COLUMN(Tech_Specs_Infra!$A$3)+1,FALSE),0)</f>
        <v>0</v>
      </c>
      <c r="BX18" s="262">
        <f>IFERROR(VLOOKUP(BX$6,Tech_Specs_Infra!$A$4:$F$9,COLUMN(Tech_Specs_Infra!$F$3)-COLUMN(Tech_Specs_Infra!$A$3)+1,FALSE),0)</f>
        <v>0</v>
      </c>
      <c r="BY18" s="262">
        <f>IFERROR(VLOOKUP(BY$6,Tech_Specs_Infra!$A$4:$F$9,COLUMN(Tech_Specs_Infra!$F$3)-COLUMN(Tech_Specs_Infra!$A$3)+1,FALSE),0)</f>
        <v>0</v>
      </c>
      <c r="BZ18" s="262">
        <f>IFERROR(VLOOKUP(BZ$6,Tech_Specs_Infra!$A$4:$F$9,COLUMN(Tech_Specs_Infra!$F$3)-COLUMN(Tech_Specs_Infra!$A$3)+1,FALSE),0)</f>
        <v>0</v>
      </c>
      <c r="CA18" s="262">
        <f>IFERROR(VLOOKUP(CA$6,Tech_Specs_Infra!$A$4:$F$9,COLUMN(Tech_Specs_Infra!$F$3)-COLUMN(Tech_Specs_Infra!$A$3)+1,FALSE),0)</f>
        <v>0</v>
      </c>
      <c r="CB18" s="262">
        <f>IFERROR(VLOOKUP(CB$6,Tech_Specs_Infra!$A$4:$F$9,COLUMN(Tech_Specs_Infra!$F$3)-COLUMN(Tech_Specs_Infra!$A$3)+1,FALSE),0)</f>
        <v>0</v>
      </c>
      <c r="CC18" s="262">
        <f>IFERROR(VLOOKUP(CC$6,Tech_Specs_Infra!$A$4:$F$9,COLUMN(Tech_Specs_Infra!$F$3)-COLUMN(Tech_Specs_Infra!$A$3)+1,FALSE),0)</f>
        <v>0</v>
      </c>
      <c r="CD18" s="262">
        <f>IFERROR(VLOOKUP(CD$6,Tech_Specs_Infra!$A$4:$F$9,COLUMN(Tech_Specs_Infra!$F$3)-COLUMN(Tech_Specs_Infra!$A$3)+1,FALSE),0)</f>
        <v>0</v>
      </c>
      <c r="CE18" s="262">
        <f>IFERROR(VLOOKUP(CE$6,Tech_Specs_Infra!$A$4:$F$9,COLUMN(Tech_Specs_Infra!$F$3)-COLUMN(Tech_Specs_Infra!$A$3)+1,FALSE),0)</f>
        <v>0</v>
      </c>
      <c r="CF18" s="262">
        <f>IFERROR(VLOOKUP(CF$6,Tech_Specs_Infra!$A$4:$F$9,COLUMN(Tech_Specs_Infra!$F$3)-COLUMN(Tech_Specs_Infra!$A$3)+1,FALSE),0)</f>
        <v>0</v>
      </c>
      <c r="CG18" s="262">
        <f>IFERROR(VLOOKUP(CG$6,Tech_Specs_Infra!$A$4:$F$9,COLUMN(Tech_Specs_Infra!$F$3)-COLUMN(Tech_Specs_Infra!$A$3)+1,FALSE),0)</f>
        <v>0</v>
      </c>
      <c r="CH18" s="262">
        <f>IFERROR(VLOOKUP(CH$6,Tech_Specs_Infra!$A$4:$F$9,COLUMN(Tech_Specs_Infra!$F$3)-COLUMN(Tech_Specs_Infra!$A$3)+1,FALSE),0)</f>
        <v>0</v>
      </c>
      <c r="CI18" s="262">
        <f>IFERROR(VLOOKUP(CI$6,Tech_Specs_Infra!$A$4:$F$9,COLUMN(Tech_Specs_Infra!$F$3)-COLUMN(Tech_Specs_Infra!$A$3)+1,FALSE),0)</f>
        <v>0</v>
      </c>
      <c r="CJ18" s="262">
        <f>IFERROR(VLOOKUP(CJ$6,Tech_Specs_Infra!$A$4:$F$9,COLUMN(Tech_Specs_Infra!$F$3)-COLUMN(Tech_Specs_Infra!$A$3)+1,FALSE),0)</f>
        <v>0</v>
      </c>
      <c r="CK18" s="262">
        <f>IFERROR(VLOOKUP(CK$6,Tech_Specs_Infra!$A$4:$F$9,COLUMN(Tech_Specs_Infra!$F$3)-COLUMN(Tech_Specs_Infra!$A$3)+1,FALSE),0)</f>
        <v>0</v>
      </c>
      <c r="CL18" s="262">
        <f>IFERROR(VLOOKUP(CL$6,Tech_Specs_Infra!$A$4:$F$9,COLUMN(Tech_Specs_Infra!$F$3)-COLUMN(Tech_Specs_Infra!$A$3)+1,FALSE),0)</f>
        <v>0</v>
      </c>
      <c r="CM18" s="262">
        <f>IFERROR(VLOOKUP(CM$6,Tech_Specs_Infra!$A$4:$F$9,COLUMN(Tech_Specs_Infra!$F$3)-COLUMN(Tech_Specs_Infra!$A$3)+1,FALSE),0)</f>
        <v>0</v>
      </c>
      <c r="CN18" s="262">
        <f>IFERROR(VLOOKUP(CN$6,Tech_Specs_Infra!$A$4:$F$9,COLUMN(Tech_Specs_Infra!$F$3)-COLUMN(Tech_Specs_Infra!$A$3)+1,FALSE),0)</f>
        <v>0</v>
      </c>
      <c r="CO18" s="262">
        <f>IFERROR(VLOOKUP(CO$6,Tech_Specs_Infra!$A$4:$F$9,COLUMN(Tech_Specs_Infra!$F$3)-COLUMN(Tech_Specs_Infra!$A$3)+1,FALSE),0)</f>
        <v>0</v>
      </c>
      <c r="CP18" s="262">
        <f>IFERROR(VLOOKUP(CP$6,Tech_Specs_Infra!$A$4:$F$9,COLUMN(Tech_Specs_Infra!$F$3)-COLUMN(Tech_Specs_Infra!$A$3)+1,FALSE),0)</f>
        <v>0</v>
      </c>
      <c r="CQ18" s="262">
        <f>IFERROR(VLOOKUP(CQ$6,Tech_Specs_Infra!$A$4:$F$9,COLUMN(Tech_Specs_Infra!$F$3)-COLUMN(Tech_Specs_Infra!$A$3)+1,FALSE),0)</f>
        <v>0</v>
      </c>
      <c r="CR18" s="262">
        <f>IFERROR(VLOOKUP(CR$6,Tech_Specs_Infra!$A$4:$F$9,COLUMN(Tech_Specs_Infra!$F$3)-COLUMN(Tech_Specs_Infra!$A$3)+1,FALSE),0)</f>
        <v>0</v>
      </c>
      <c r="CS18" s="262">
        <f>IFERROR(VLOOKUP(CS$6,Tech_Specs_Infra!$A$4:$F$9,COLUMN(Tech_Specs_Infra!$F$3)-COLUMN(Tech_Specs_Infra!$A$3)+1,FALSE),0)</f>
        <v>0</v>
      </c>
      <c r="CT18" s="262">
        <f>IFERROR(VLOOKUP(CT$6,Tech_Specs_Infra!$A$4:$F$9,COLUMN(Tech_Specs_Infra!$F$3)-COLUMN(Tech_Specs_Infra!$A$3)+1,FALSE),0)</f>
        <v>0</v>
      </c>
      <c r="CU18" s="262">
        <f>IFERROR(VLOOKUP(CU$6,Tech_Specs_Infra!$A$4:$F$9,COLUMN(Tech_Specs_Infra!$F$3)-COLUMN(Tech_Specs_Infra!$A$3)+1,FALSE),0)</f>
        <v>0</v>
      </c>
      <c r="CV18" s="262">
        <f>IFERROR(VLOOKUP(CV$6,Tech_Specs_Infra!$A$4:$F$9,COLUMN(Tech_Specs_Infra!$F$3)-COLUMN(Tech_Specs_Infra!$A$3)+1,FALSE),0)</f>
        <v>0</v>
      </c>
      <c r="CW18" s="262">
        <f>IFERROR(VLOOKUP(CW$6,Tech_Specs_Infra!$A$4:$F$9,COLUMN(Tech_Specs_Infra!$F$3)-COLUMN(Tech_Specs_Infra!$A$3)+1,FALSE),0)</f>
        <v>0</v>
      </c>
      <c r="CX18" s="262">
        <f>IFERROR(VLOOKUP(CX$6,Tech_Specs_Infra!$A$4:$F$9,COLUMN(Tech_Specs_Infra!$F$3)-COLUMN(Tech_Specs_Infra!$A$3)+1,FALSE),0)</f>
        <v>0</v>
      </c>
      <c r="CY18" s="262">
        <f>IFERROR(VLOOKUP(CY$6,Tech_Specs_Infra!$A$4:$F$9,COLUMN(Tech_Specs_Infra!$F$3)-COLUMN(Tech_Specs_Infra!$A$3)+1,FALSE),0)</f>
        <v>0</v>
      </c>
      <c r="CZ18" s="262">
        <f>IFERROR(VLOOKUP(CZ$6,Tech_Specs_Infra!$A$4:$F$9,COLUMN(Tech_Specs_Infra!$F$3)-COLUMN(Tech_Specs_Infra!$A$3)+1,FALSE),0)</f>
        <v>0</v>
      </c>
      <c r="DA18" s="262">
        <f>IFERROR(VLOOKUP(DA$6,Tech_Specs_Infra!$A$4:$F$9,COLUMN(Tech_Specs_Infra!$F$3)-COLUMN(Tech_Specs_Infra!$A$3)+1,FALSE),0)</f>
        <v>0</v>
      </c>
      <c r="DB18" s="262">
        <f>IFERROR(VLOOKUP(DB$6,Tech_Specs_Infra!$A$4:$F$9,COLUMN(Tech_Specs_Infra!$F$3)-COLUMN(Tech_Specs_Infra!$A$3)+1,FALSE),0)</f>
        <v>0</v>
      </c>
      <c r="DC18" s="262">
        <f>IFERROR(VLOOKUP(DC$6,Tech_Specs_Infra!$A$4:$F$9,COLUMN(Tech_Specs_Infra!$F$3)-COLUMN(Tech_Specs_Infra!$A$3)+1,FALSE),0)</f>
        <v>0</v>
      </c>
      <c r="DD18" s="262">
        <f>IFERROR(VLOOKUP(DD$6,Tech_Specs_Infra!$A$4:$F$9,COLUMN(Tech_Specs_Infra!$F$3)-COLUMN(Tech_Specs_Infra!$A$3)+1,FALSE),0)</f>
        <v>0</v>
      </c>
      <c r="DE18" s="262">
        <f>IFERROR(VLOOKUP(DE$6,Tech_Specs_Infra!$A$4:$F$9,COLUMN(Tech_Specs_Infra!$F$3)-COLUMN(Tech_Specs_Infra!$A$3)+1,FALSE),0)</f>
        <v>0</v>
      </c>
      <c r="DF18" s="262">
        <f>IFERROR(VLOOKUP(DF$6,Tech_Specs_Infra!$A$4:$F$9,COLUMN(Tech_Specs_Infra!$F$3)-COLUMN(Tech_Specs_Infra!$A$3)+1,FALSE),0)</f>
        <v>0</v>
      </c>
      <c r="DG18" s="262"/>
      <c r="DH18" s="262">
        <f>IFERROR(VLOOKUP(DH$6,Tech_Specs_Infra!$A$4:$F$9,COLUMN(Tech_Specs_Infra!$F$3)-COLUMN(Tech_Specs_Infra!$A$3)+1,FALSE),0)</f>
        <v>0</v>
      </c>
      <c r="DI18" s="262">
        <f>IFERROR(VLOOKUP(DI$6,Tech_Specs_Infra!$A$4:$F$9,COLUMN(Tech_Specs_Infra!$F$3)-COLUMN(Tech_Specs_Infra!$A$3)+1,FALSE),0)</f>
        <v>0</v>
      </c>
      <c r="DJ18" s="262">
        <f>IFERROR(VLOOKUP(DJ$6,Tech_Specs_Infra!$A$4:$F$9,COLUMN(Tech_Specs_Infra!$F$3)-COLUMN(Tech_Specs_Infra!$A$3)+1,FALSE),0)</f>
        <v>0</v>
      </c>
      <c r="DK18" s="262">
        <f>IFERROR(VLOOKUP(DK$6,Tech_Specs_Infra!$A$4:$F$9,COLUMN(Tech_Specs_Infra!$F$3)-COLUMN(Tech_Specs_Infra!$A$3)+1,FALSE),0)</f>
        <v>0.1</v>
      </c>
      <c r="DL18" s="262">
        <f>IFERROR(VLOOKUP(DL$6,Tech_Specs_Infra!$A$4:$F$9,COLUMN(Tech_Specs_Infra!$F$3)-COLUMN(Tech_Specs_Infra!$A$3)+1,FALSE),0)</f>
        <v>0.1</v>
      </c>
      <c r="DM18" s="262">
        <f>IFERROR(VLOOKUP(DM$6,Tech_Specs_Infra!$A$4:$F$9,COLUMN(Tech_Specs_Infra!$F$3)-COLUMN(Tech_Specs_Infra!$A$3)+1,FALSE),0)</f>
        <v>0.1</v>
      </c>
      <c r="DN18" s="262">
        <f>IFERROR(VLOOKUP(DN$6,Tech_Specs_Infra!$A$4:$F$9,COLUMN(Tech_Specs_Infra!$F$3)-COLUMN(Tech_Specs_Infra!$A$3)+1,FALSE),0)</f>
        <v>0.1</v>
      </c>
      <c r="DO18" s="262">
        <f>IFERROR(VLOOKUP(DO$6,Tech_Specs_Infra!$A$4:$F$9,COLUMN(Tech_Specs_Infra!$F$3)-COLUMN(Tech_Specs_Infra!$A$3)+1,FALSE),0)</f>
        <v>0.1</v>
      </c>
      <c r="DP18" s="262">
        <f>IFERROR(VLOOKUP(DP$6,Tech_Specs_Infra!$A$4:$F$9,COLUMN(Tech_Specs_Infra!$F$3)-COLUMN(Tech_Specs_Infra!$A$3)+1,FALSE),0)</f>
        <v>0.1</v>
      </c>
      <c r="DQ18" s="262">
        <f>IFERROR(VLOOKUP(DQ$6,Tech_Specs_Infra!$A$4:$F$9,COLUMN(Tech_Specs_Infra!$F$3)-COLUMN(Tech_Specs_Infra!$A$3)+1,FALSE),0)</f>
        <v>0.1</v>
      </c>
      <c r="DR18" s="262">
        <f>IFERROR(VLOOKUP(DR$6,Tech_Specs_Infra!$A$4:$F$9,COLUMN(Tech_Specs_Infra!$F$3)-COLUMN(Tech_Specs_Infra!$A$3)+1,FALSE),0)</f>
        <v>0.1</v>
      </c>
      <c r="DS18" s="262">
        <f>IFERROR(VLOOKUP(DS$6,Tech_Specs_Infra!$A$4:$F$9,COLUMN(Tech_Specs_Infra!$F$3)-COLUMN(Tech_Specs_Infra!$A$3)+1,FALSE),0)</f>
        <v>0.1</v>
      </c>
      <c r="DT18" s="262">
        <f>IFERROR(VLOOKUP(DT$6,Tech_Specs_Infra!$A$4:$F$9,COLUMN(Tech_Specs_Infra!$F$3)-COLUMN(Tech_Specs_Infra!$A$3)+1,FALSE),0)</f>
        <v>0.1</v>
      </c>
      <c r="DU18" s="262">
        <f>IFERROR(VLOOKUP(DU$6,Tech_Specs_Infra!$A$4:$F$9,COLUMN(Tech_Specs_Infra!$F$3)-COLUMN(Tech_Specs_Infra!$A$3)+1,FALSE),0)</f>
        <v>0.1</v>
      </c>
      <c r="DV18" s="262">
        <f>IFERROR(VLOOKUP(DV$6,Tech_Specs_Infra!$A$4:$F$9,COLUMN(Tech_Specs_Infra!$F$3)-COLUMN(Tech_Specs_Infra!$A$3)+1,FALSE),0)</f>
        <v>0.1</v>
      </c>
      <c r="DW18" s="262">
        <f>IFERROR(VLOOKUP(DW$6,Tech_Specs_Infra!$A$4:$F$9,COLUMN(Tech_Specs_Infra!$F$3)-COLUMN(Tech_Specs_Infra!$A$3)+1,FALSE),0)</f>
        <v>0.1</v>
      </c>
      <c r="DX18" s="262">
        <f>IFERROR(VLOOKUP(DX$6,Tech_Specs_Infra!$A$4:$F$9,COLUMN(Tech_Specs_Infra!$F$3)-COLUMN(Tech_Specs_Infra!$A$3)+1,FALSE),0)</f>
        <v>0</v>
      </c>
      <c r="DY18" s="262">
        <f>IFERROR(VLOOKUP(DY$6,Tech_Specs_Infra!$A$4:$F$9,COLUMN(Tech_Specs_Infra!$F$3)-COLUMN(Tech_Specs_Infra!$A$3)+1,FALSE),0)</f>
        <v>0</v>
      </c>
      <c r="DZ18" s="262">
        <f>IFERROR(VLOOKUP(DZ$6,Tech_Specs_Infra!$A$4:$F$9,COLUMN(Tech_Specs_Infra!$F$3)-COLUMN(Tech_Specs_Infra!$A$3)+1,FALSE),0)</f>
        <v>0</v>
      </c>
      <c r="EA18" s="262">
        <f>IFERROR(VLOOKUP(EA$6,Tech_Specs_Infra!$A$4:$F$9,COLUMN(Tech_Specs_Infra!$F$3)-COLUMN(Tech_Specs_Infra!$A$3)+1,FALSE),0)</f>
        <v>0</v>
      </c>
      <c r="EB18" s="262">
        <f>IFERROR(VLOOKUP(EB$6,Tech_Specs_Infra!$A$4:$F$9,COLUMN(Tech_Specs_Infra!$F$3)-COLUMN(Tech_Specs_Infra!$A$3)+1,FALSE),0)</f>
        <v>0</v>
      </c>
      <c r="EC18" s="262">
        <f>IFERROR(VLOOKUP(EC$6,Tech_Specs_Infra!$A$4:$F$9,COLUMN(Tech_Specs_Infra!$F$3)-COLUMN(Tech_Specs_Infra!$A$3)+1,FALSE),0)</f>
        <v>0</v>
      </c>
      <c r="ED18" s="262">
        <f>IFERROR(VLOOKUP(ED$6,Tech_Specs_Infra!$A$4:$F$9,COLUMN(Tech_Specs_Infra!$F$3)-COLUMN(Tech_Specs_Infra!$A$3)+1,FALSE),0)</f>
        <v>0</v>
      </c>
    </row>
    <row r="20" spans="1:134" x14ac:dyDescent="0.3">
      <c r="A20" s="115" t="s">
        <v>822</v>
      </c>
      <c r="B20" s="21" t="s">
        <v>332</v>
      </c>
    </row>
    <row r="21" spans="1:134" x14ac:dyDescent="0.3">
      <c r="A21" s="115" t="s">
        <v>806</v>
      </c>
      <c r="D21" s="262">
        <f>IFERROR(VLOOKUP(D$5,Tech_Specs_Infra!$A$226:$D$231,COLUMN(Tech_Specs_Infra!$C$225)-COLUMN(Tech_Specs_Infra!$A$225)+1,FALSE),0)</f>
        <v>30</v>
      </c>
      <c r="E21" s="262">
        <f>IFERROR(VLOOKUP(E$5,Tech_Specs_Infra!$A$226:$D$231,COLUMN(Tech_Specs_Infra!$C$225)-COLUMN(Tech_Specs_Infra!$A$225)+1,FALSE),0)</f>
        <v>30</v>
      </c>
      <c r="F21" s="262">
        <f>IFERROR(VLOOKUP(F$5,Tech_Specs_Infra!$A$226:$D$231,COLUMN(Tech_Specs_Infra!$C$225)-COLUMN(Tech_Specs_Infra!$A$225)+1,FALSE),0)</f>
        <v>30</v>
      </c>
      <c r="G21" s="262">
        <f>IFERROR(VLOOKUP(G$5,Tech_Specs_Infra!$A$226:$D$231,COLUMN(Tech_Specs_Infra!$C$225)-COLUMN(Tech_Specs_Infra!$A$225)+1,FALSE),0)</f>
        <v>30</v>
      </c>
      <c r="H21" s="262">
        <f>IFERROR(VLOOKUP(H$5,Tech_Specs_Infra!$A$226:$D$231,COLUMN(Tech_Specs_Infra!$C$225)-COLUMN(Tech_Specs_Infra!$A$225)+1,FALSE),0)</f>
        <v>30</v>
      </c>
      <c r="I21" s="262">
        <f>IFERROR(VLOOKUP(I$5,Tech_Specs_Infra!$A$226:$D$231,COLUMN(Tech_Specs_Infra!$C$225)-COLUMN(Tech_Specs_Infra!$A$225)+1,FALSE),0)</f>
        <v>30</v>
      </c>
      <c r="J21" s="262">
        <f>IFERROR(VLOOKUP(J$5,Tech_Specs_Infra!$A$226:$D$231,COLUMN(Tech_Specs_Infra!$C$225)-COLUMN(Tech_Specs_Infra!$A$225)+1,FALSE),0)</f>
        <v>30</v>
      </c>
      <c r="K21" s="262">
        <f>IFERROR(VLOOKUP(K$5,Tech_Specs_Infra!$A$226:$D$231,COLUMN(Tech_Specs_Infra!$C$225)-COLUMN(Tech_Specs_Infra!$A$225)+1,FALSE),0)</f>
        <v>30</v>
      </c>
      <c r="L21" s="262">
        <f>IFERROR(VLOOKUP(L$5,Tech_Specs_Infra!$A$226:$D$231,COLUMN(Tech_Specs_Infra!$C$225)-COLUMN(Tech_Specs_Infra!$A$225)+1,FALSE),0)</f>
        <v>30</v>
      </c>
      <c r="M21" s="262">
        <f>IFERROR(VLOOKUP(M$5,Tech_Specs_Infra!$A$226:$D$231,COLUMN(Tech_Specs_Infra!$C$225)-COLUMN(Tech_Specs_Infra!$A$225)+1,FALSE),0)</f>
        <v>30</v>
      </c>
      <c r="N21" s="262">
        <f>IFERROR(VLOOKUP(N$5,Tech_Specs_Infra!$A$226:$D$231,COLUMN(Tech_Specs_Infra!$C$225)-COLUMN(Tech_Specs_Infra!$A$225)+1,FALSE),0)</f>
        <v>30</v>
      </c>
      <c r="O21" s="262">
        <f>IFERROR(VLOOKUP(O$5,Tech_Specs_Infra!$A$226:$D$231,COLUMN(Tech_Specs_Infra!$C$225)-COLUMN(Tech_Specs_Infra!$A$225)+1,FALSE),0)</f>
        <v>30</v>
      </c>
      <c r="P21" s="262">
        <f>IFERROR(VLOOKUP(P$5,Tech_Specs_Infra!$A$226:$D$231,COLUMN(Tech_Specs_Infra!$C$225)-COLUMN(Tech_Specs_Infra!$A$225)+1,FALSE),0)</f>
        <v>30</v>
      </c>
      <c r="Q21" s="262">
        <f>IFERROR(VLOOKUP(Q$5,Tech_Specs_Infra!$A$226:$D$231,COLUMN(Tech_Specs_Infra!$C$225)-COLUMN(Tech_Specs_Infra!$A$225)+1,FALSE),0)</f>
        <v>30</v>
      </c>
      <c r="R21" s="262">
        <f>IFERROR(VLOOKUP(R$5,Tech_Specs_Infra!$A$226:$D$231,COLUMN(Tech_Specs_Infra!$C$225)-COLUMN(Tech_Specs_Infra!$A$225)+1,FALSE),0)</f>
        <v>30</v>
      </c>
      <c r="S21" s="262">
        <f>IFERROR(VLOOKUP(S$5,Tech_Specs_Infra!$A$226:$D$231,COLUMN(Tech_Specs_Infra!$C$225)-COLUMN(Tech_Specs_Infra!$A$225)+1,FALSE),0)</f>
        <v>30</v>
      </c>
      <c r="T21" s="262">
        <f>IFERROR(VLOOKUP(T$5,Tech_Specs_Infra!$A$226:$D$231,COLUMN(Tech_Specs_Infra!$C$225)-COLUMN(Tech_Specs_Infra!$A$225)+1,FALSE),0)</f>
        <v>30</v>
      </c>
      <c r="U21" s="262">
        <f>IFERROR(VLOOKUP(U$5,Tech_Specs_Infra!$A$226:$D$231,COLUMN(Tech_Specs_Infra!$C$225)-COLUMN(Tech_Specs_Infra!$A$225)+1,FALSE),0)</f>
        <v>30</v>
      </c>
      <c r="V21" s="262">
        <f>IFERROR(VLOOKUP(V$5,Tech_Specs_Infra!$A$226:$D$231,COLUMN(Tech_Specs_Infra!$C$225)-COLUMN(Tech_Specs_Infra!$A$225)+1,FALSE),0)</f>
        <v>30</v>
      </c>
      <c r="W21" s="262">
        <f>IFERROR(VLOOKUP(W$5,Tech_Specs_Infra!$A$226:$D$231,COLUMN(Tech_Specs_Infra!$C$225)-COLUMN(Tech_Specs_Infra!$A$225)+1,FALSE),0)</f>
        <v>30</v>
      </c>
      <c r="X21" s="262">
        <f>IFERROR(VLOOKUP(X$5,Tech_Specs_Infra!$A$226:$D$231,COLUMN(Tech_Specs_Infra!$C$225)-COLUMN(Tech_Specs_Infra!$A$225)+1,FALSE),0)</f>
        <v>30</v>
      </c>
      <c r="Y21" s="262">
        <f>IFERROR(VLOOKUP(Y$5,Tech_Specs_Infra!$A$226:$D$231,COLUMN(Tech_Specs_Infra!$C$225)-COLUMN(Tech_Specs_Infra!$A$225)+1,FALSE),0)</f>
        <v>30</v>
      </c>
      <c r="Z21" s="262">
        <f>IFERROR(VLOOKUP(Z$5,Tech_Specs_Infra!$A$226:$D$231,COLUMN(Tech_Specs_Infra!$C$225)-COLUMN(Tech_Specs_Infra!$A$225)+1,FALSE),0)</f>
        <v>30</v>
      </c>
      <c r="AA21" s="262">
        <f>IFERROR(VLOOKUP(AA$5,Tech_Specs_Infra!$A$226:$D$231,COLUMN(Tech_Specs_Infra!$C$225)-COLUMN(Tech_Specs_Infra!$A$225)+1,FALSE),0)</f>
        <v>30</v>
      </c>
      <c r="AB21" s="262">
        <f>IFERROR(VLOOKUP(AB$5,Tech_Specs_Infra!$A$226:$D$231,COLUMN(Tech_Specs_Infra!$C$225)-COLUMN(Tech_Specs_Infra!$A$225)+1,FALSE),0)</f>
        <v>30</v>
      </c>
      <c r="AC21" s="262">
        <f>IFERROR(VLOOKUP(AC$5,Tech_Specs_Infra!$A$226:$D$231,COLUMN(Tech_Specs_Infra!$C$225)-COLUMN(Tech_Specs_Infra!$A$225)+1,FALSE),0)</f>
        <v>30</v>
      </c>
      <c r="AD21" s="262">
        <f>IFERROR(VLOOKUP(AD$5,Tech_Specs_Infra!$A$226:$D$231,COLUMN(Tech_Specs_Infra!$C$225)-COLUMN(Tech_Specs_Infra!$A$225)+1,FALSE),0)</f>
        <v>30</v>
      </c>
      <c r="AE21" s="262">
        <f>IFERROR(VLOOKUP(AE$5,Tech_Specs_Infra!$A$226:$D$231,COLUMN(Tech_Specs_Infra!$C$225)-COLUMN(Tech_Specs_Infra!$A$225)+1,FALSE),0)</f>
        <v>30</v>
      </c>
      <c r="AF21" s="262">
        <f>IFERROR(VLOOKUP(AF$5,Tech_Specs_Infra!$A$226:$D$231,COLUMN(Tech_Specs_Infra!$C$225)-COLUMN(Tech_Specs_Infra!$A$225)+1,FALSE),0)</f>
        <v>30</v>
      </c>
      <c r="AG21" s="262">
        <f>IFERROR(VLOOKUP(AG$5,Tech_Specs_Infra!$A$226:$D$231,COLUMN(Tech_Specs_Infra!$C$225)-COLUMN(Tech_Specs_Infra!$A$225)+1,FALSE),0)</f>
        <v>30</v>
      </c>
      <c r="AH21" s="262">
        <f>IFERROR(VLOOKUP(AH$5,Tech_Specs_Infra!$A$226:$D$231,COLUMN(Tech_Specs_Infra!$C$225)-COLUMN(Tech_Specs_Infra!$A$225)+1,FALSE),0)</f>
        <v>30</v>
      </c>
      <c r="AI21" s="262">
        <f>IFERROR(VLOOKUP(AI$5,Tech_Specs_Infra!$A$226:$D$231,COLUMN(Tech_Specs_Infra!$C$225)-COLUMN(Tech_Specs_Infra!$A$225)+1,FALSE),0)</f>
        <v>30</v>
      </c>
      <c r="AJ21" s="262">
        <f>IFERROR(VLOOKUP(AJ$5,Tech_Specs_Infra!$A$226:$D$231,COLUMN(Tech_Specs_Infra!$C$225)-COLUMN(Tech_Specs_Infra!$A$225)+1,FALSE),0)</f>
        <v>30</v>
      </c>
      <c r="AK21" s="262">
        <f>IFERROR(VLOOKUP(AK$5,Tech_Specs_Infra!$A$226:$D$231,COLUMN(Tech_Specs_Infra!$C$225)-COLUMN(Tech_Specs_Infra!$A$225)+1,FALSE),0)</f>
        <v>30</v>
      </c>
      <c r="AL21" s="262">
        <f>IFERROR(VLOOKUP(AL$5,Tech_Specs_Infra!$A$226:$D$231,COLUMN(Tech_Specs_Infra!$C$225)-COLUMN(Tech_Specs_Infra!$A$225)+1,FALSE),0)</f>
        <v>30</v>
      </c>
      <c r="AM21" s="262">
        <f>IFERROR(VLOOKUP(AM$5,Tech_Specs_Infra!$A$226:$D$231,COLUMN(Tech_Specs_Infra!$C$225)-COLUMN(Tech_Specs_Infra!$A$225)+1,FALSE),0)</f>
        <v>30</v>
      </c>
      <c r="AN21" s="262">
        <f>IFERROR(VLOOKUP(AN$5,Tech_Specs_Infra!$A$226:$D$231,COLUMN(Tech_Specs_Infra!$C$225)-COLUMN(Tech_Specs_Infra!$A$225)+1,FALSE),0)</f>
        <v>30</v>
      </c>
      <c r="AO21" s="262">
        <f>IFERROR(VLOOKUP(AO$5,Tech_Specs_Infra!$A$226:$D$231,COLUMN(Tech_Specs_Infra!$C$225)-COLUMN(Tech_Specs_Infra!$A$225)+1,FALSE),0)</f>
        <v>30</v>
      </c>
      <c r="AP21" s="262">
        <f>IFERROR(VLOOKUP(AP$5,Tech_Specs_Infra!$A$226:$D$231,COLUMN(Tech_Specs_Infra!$C$225)-COLUMN(Tech_Specs_Infra!$A$225)+1,FALSE),0)</f>
        <v>30</v>
      </c>
      <c r="AQ21" s="262">
        <f>IFERROR(VLOOKUP(AQ$5,Tech_Specs_Infra!$A$226:$D$231,COLUMN(Tech_Specs_Infra!$C$225)-COLUMN(Tech_Specs_Infra!$A$225)+1,FALSE),0)</f>
        <v>30</v>
      </c>
      <c r="AR21" s="262">
        <f>IFERROR(VLOOKUP(AR$5,Tech_Specs_Infra!$A$226:$D$231,COLUMN(Tech_Specs_Infra!$C$225)-COLUMN(Tech_Specs_Infra!$A$225)+1,FALSE),0)</f>
        <v>30</v>
      </c>
      <c r="AS21" s="262">
        <f>IFERROR(VLOOKUP(AS$5,Tech_Specs_Infra!$A$226:$D$231,COLUMN(Tech_Specs_Infra!$C$225)-COLUMN(Tech_Specs_Infra!$A$225)+1,FALSE),0)</f>
        <v>30</v>
      </c>
      <c r="AT21" s="262">
        <f>IFERROR(VLOOKUP(AT$5,Tech_Specs_Infra!$A$226:$D$231,COLUMN(Tech_Specs_Infra!$C$225)-COLUMN(Tech_Specs_Infra!$A$225)+1,FALSE),0)</f>
        <v>30</v>
      </c>
      <c r="AU21" s="262">
        <f>IFERROR(VLOOKUP(AU$5,Tech_Specs_Infra!$A$226:$D$231,COLUMN(Tech_Specs_Infra!$C$225)-COLUMN(Tech_Specs_Infra!$A$225)+1,FALSE),0)</f>
        <v>30</v>
      </c>
      <c r="AV21" s="262">
        <f>IFERROR(VLOOKUP(AV$5,Tech_Specs_Infra!$A$226:$D$231,COLUMN(Tech_Specs_Infra!$C$225)-COLUMN(Tech_Specs_Infra!$A$225)+1,FALSE),0)</f>
        <v>30</v>
      </c>
      <c r="AW21" s="262">
        <f>IFERROR(VLOOKUP(AW$5,Tech_Specs_Infra!$A$226:$D$231,COLUMN(Tech_Specs_Infra!$C$225)-COLUMN(Tech_Specs_Infra!$A$225)+1,FALSE),0)</f>
        <v>30</v>
      </c>
      <c r="AX21" s="262">
        <f>IFERROR(VLOOKUP(AX$5,Tech_Specs_Infra!$A$226:$D$231,COLUMN(Tech_Specs_Infra!$C$225)-COLUMN(Tech_Specs_Infra!$A$225)+1,FALSE),0)</f>
        <v>30</v>
      </c>
      <c r="AY21" s="262">
        <f>IFERROR(VLOOKUP(AY$5,Tech_Specs_Infra!$A$226:$D$231,COLUMN(Tech_Specs_Infra!$C$225)-COLUMN(Tech_Specs_Infra!$A$225)+1,FALSE),0)</f>
        <v>30</v>
      </c>
      <c r="AZ21" s="262">
        <f>IFERROR(VLOOKUP(AZ$5,Tech_Specs_Infra!$A$226:$D$231,COLUMN(Tech_Specs_Infra!$C$225)-COLUMN(Tech_Specs_Infra!$A$225)+1,FALSE),0)</f>
        <v>30</v>
      </c>
      <c r="BA21" s="262">
        <f>IFERROR(VLOOKUP(BA$5,Tech_Specs_Infra!$A$226:$D$231,COLUMN(Tech_Specs_Infra!$C$225)-COLUMN(Tech_Specs_Infra!$A$225)+1,FALSE),0)</f>
        <v>30</v>
      </c>
      <c r="BB21" s="262">
        <f>IFERROR(VLOOKUP(BB$5,Tech_Specs_Infra!$A$226:$D$231,COLUMN(Tech_Specs_Infra!$C$225)-COLUMN(Tech_Specs_Infra!$A$225)+1,FALSE),0)</f>
        <v>30</v>
      </c>
      <c r="BC21" s="262">
        <f>IFERROR(VLOOKUP(BC$5,Tech_Specs_Infra!$A$226:$D$231,COLUMN(Tech_Specs_Infra!$C$225)-COLUMN(Tech_Specs_Infra!$A$225)+1,FALSE),0)</f>
        <v>30</v>
      </c>
      <c r="BD21" s="262">
        <f>IFERROR(VLOOKUP(BD$5,Tech_Specs_Infra!$A$226:$D$231,COLUMN(Tech_Specs_Infra!$C$225)-COLUMN(Tech_Specs_Infra!$A$225)+1,FALSE),0)</f>
        <v>30</v>
      </c>
      <c r="BE21" s="262">
        <f>IFERROR(VLOOKUP(BE$5,Tech_Specs_Infra!$A$226:$D$231,COLUMN(Tech_Specs_Infra!$C$225)-COLUMN(Tech_Specs_Infra!$A$225)+1,FALSE),0)</f>
        <v>30</v>
      </c>
      <c r="BF21" s="262">
        <f>IFERROR(VLOOKUP(BF$5,Tech_Specs_Infra!$A$226:$D$231,COLUMN(Tech_Specs_Infra!$C$225)-COLUMN(Tech_Specs_Infra!$A$225)+1,FALSE),0)</f>
        <v>30</v>
      </c>
      <c r="BG21" s="262">
        <f>IFERROR(VLOOKUP(BG$5,Tech_Specs_Infra!$A$226:$D$231,COLUMN(Tech_Specs_Infra!$C$225)-COLUMN(Tech_Specs_Infra!$A$225)+1,FALSE),0)</f>
        <v>30</v>
      </c>
      <c r="BH21" s="262">
        <f>IFERROR(VLOOKUP(BH$5,Tech_Specs_Infra!$A$226:$D$231,COLUMN(Tech_Specs_Infra!$C$225)-COLUMN(Tech_Specs_Infra!$A$225)+1,FALSE),0)</f>
        <v>30</v>
      </c>
      <c r="BI21" s="262">
        <f>IFERROR(VLOOKUP(BI$5,Tech_Specs_Infra!$A$226:$D$231,COLUMN(Tech_Specs_Infra!$C$225)-COLUMN(Tech_Specs_Infra!$A$225)+1,FALSE),0)</f>
        <v>30</v>
      </c>
      <c r="BJ21" s="262">
        <f>IFERROR(VLOOKUP(BJ$5,Tech_Specs_Infra!$A$226:$D$231,COLUMN(Tech_Specs_Infra!$C$225)-COLUMN(Tech_Specs_Infra!$A$225)+1,FALSE),0)</f>
        <v>30</v>
      </c>
      <c r="BK21" s="262">
        <f>IFERROR(VLOOKUP(BK$5,Tech_Specs_Infra!$A$226:$D$231,COLUMN(Tech_Specs_Infra!$C$225)-COLUMN(Tech_Specs_Infra!$A$225)+1,FALSE),0)</f>
        <v>30</v>
      </c>
      <c r="BL21" s="262">
        <f>IFERROR(VLOOKUP(BL$5,Tech_Specs_Infra!$A$226:$D$231,COLUMN(Tech_Specs_Infra!$C$225)-COLUMN(Tech_Specs_Infra!$A$225)+1,FALSE),0)</f>
        <v>30</v>
      </c>
      <c r="BM21" s="262">
        <f>IFERROR(VLOOKUP(BM$5,Tech_Specs_Infra!$A$226:$D$231,COLUMN(Tech_Specs_Infra!$C$225)-COLUMN(Tech_Specs_Infra!$A$225)+1,FALSE),0)</f>
        <v>30</v>
      </c>
      <c r="BN21" s="262">
        <f>IFERROR(VLOOKUP(BN$5,Tech_Specs_Infra!$A$226:$D$231,COLUMN(Tech_Specs_Infra!$C$225)-COLUMN(Tech_Specs_Infra!$A$225)+1,FALSE),0)</f>
        <v>30</v>
      </c>
      <c r="BO21" s="262">
        <f>IFERROR(VLOOKUP(BO$5,Tech_Specs_Infra!$A$226:$D$231,COLUMN(Tech_Specs_Infra!$C$225)-COLUMN(Tech_Specs_Infra!$A$225)+1,FALSE),0)</f>
        <v>30</v>
      </c>
      <c r="BP21" s="262">
        <f>IFERROR(VLOOKUP(BP$5,Tech_Specs_Infra!$A$226:$D$231,COLUMN(Tech_Specs_Infra!$C$225)-COLUMN(Tech_Specs_Infra!$A$225)+1,FALSE),0)</f>
        <v>30</v>
      </c>
      <c r="BQ21" s="262">
        <f>IFERROR(VLOOKUP(BQ$5,Tech_Specs_Infra!$A$226:$D$231,COLUMN(Tech_Specs_Infra!$C$225)-COLUMN(Tech_Specs_Infra!$A$225)+1,FALSE),0)</f>
        <v>30</v>
      </c>
      <c r="BR21" s="262">
        <f>IFERROR(VLOOKUP(BR$5,Tech_Specs_Infra!$A$226:$D$231,COLUMN(Tech_Specs_Infra!$C$225)-COLUMN(Tech_Specs_Infra!$A$225)+1,FALSE),0)</f>
        <v>30</v>
      </c>
      <c r="BS21" s="262">
        <f>IFERROR(VLOOKUP(BS$5,Tech_Specs_Infra!$A$226:$D$231,COLUMN(Tech_Specs_Infra!$C$225)-COLUMN(Tech_Specs_Infra!$A$225)+1,FALSE),0)</f>
        <v>30</v>
      </c>
      <c r="BT21" s="262">
        <f>IFERROR(VLOOKUP(BT$5,Tech_Specs_Infra!$A$226:$D$231,COLUMN(Tech_Specs_Infra!$C$225)-COLUMN(Tech_Specs_Infra!$A$225)+1,FALSE),0)</f>
        <v>30</v>
      </c>
      <c r="BU21" s="262">
        <f>IFERROR(VLOOKUP(BU$5,Tech_Specs_Infra!$A$226:$D$231,COLUMN(Tech_Specs_Infra!$C$225)-COLUMN(Tech_Specs_Infra!$A$225)+1,FALSE),0)</f>
        <v>30</v>
      </c>
      <c r="BV21" s="262">
        <f>IFERROR(VLOOKUP(BV$5,Tech_Specs_Infra!$A$226:$D$231,COLUMN(Tech_Specs_Infra!$C$225)-COLUMN(Tech_Specs_Infra!$A$225)+1,FALSE),0)</f>
        <v>30</v>
      </c>
      <c r="BW21" s="262">
        <f>IFERROR(VLOOKUP(BW$5,Tech_Specs_Infra!$A$226:$D$231,COLUMN(Tech_Specs_Infra!$C$225)-COLUMN(Tech_Specs_Infra!$A$225)+1,FALSE),0)</f>
        <v>30</v>
      </c>
      <c r="BX21" s="262">
        <f>IFERROR(VLOOKUP(BX$5,Tech_Specs_Infra!$A$226:$D$231,COLUMN(Tech_Specs_Infra!$C$225)-COLUMN(Tech_Specs_Infra!$A$225)+1,FALSE),0)</f>
        <v>30</v>
      </c>
      <c r="BY21" s="262">
        <f>IFERROR(VLOOKUP(BY$5,Tech_Specs_Infra!$A$226:$D$231,COLUMN(Tech_Specs_Infra!$C$225)-COLUMN(Tech_Specs_Infra!$A$225)+1,FALSE),0)</f>
        <v>30</v>
      </c>
      <c r="BZ21" s="262">
        <f>IFERROR(VLOOKUP(BZ$5,Tech_Specs_Infra!$A$226:$D$231,COLUMN(Tech_Specs_Infra!$C$225)-COLUMN(Tech_Specs_Infra!$A$225)+1,FALSE),0)</f>
        <v>30</v>
      </c>
      <c r="CA21" s="262">
        <f>IFERROR(VLOOKUP(CA$5,Tech_Specs_Infra!$A$226:$D$231,COLUMN(Tech_Specs_Infra!$C$225)-COLUMN(Tech_Specs_Infra!$A$225)+1,FALSE),0)</f>
        <v>30</v>
      </c>
      <c r="CB21" s="262">
        <f>IFERROR(VLOOKUP(CB$5,Tech_Specs_Infra!$A$226:$D$231,COLUMN(Tech_Specs_Infra!$C$225)-COLUMN(Tech_Specs_Infra!$A$225)+1,FALSE),0)</f>
        <v>30</v>
      </c>
      <c r="CC21" s="262">
        <f>IFERROR(VLOOKUP(CC$5,Tech_Specs_Infra!$A$226:$D$231,COLUMN(Tech_Specs_Infra!$C$225)-COLUMN(Tech_Specs_Infra!$A$225)+1,FALSE),0)</f>
        <v>30</v>
      </c>
      <c r="CD21" s="262">
        <f>IFERROR(VLOOKUP(CD$5,Tech_Specs_Infra!$A$226:$D$231,COLUMN(Tech_Specs_Infra!$C$225)-COLUMN(Tech_Specs_Infra!$A$225)+1,FALSE),0)</f>
        <v>30</v>
      </c>
      <c r="CE21" s="262">
        <f>IFERROR(VLOOKUP(CE$5,Tech_Specs_Infra!$A$226:$D$231,COLUMN(Tech_Specs_Infra!$C$225)-COLUMN(Tech_Specs_Infra!$A$225)+1,FALSE),0)</f>
        <v>30</v>
      </c>
      <c r="CF21" s="262">
        <f>IFERROR(VLOOKUP(CF$5,Tech_Specs_Infra!$A$226:$D$231,COLUMN(Tech_Specs_Infra!$C$225)-COLUMN(Tech_Specs_Infra!$A$225)+1,FALSE),0)</f>
        <v>30</v>
      </c>
      <c r="CG21" s="262">
        <f>IFERROR(VLOOKUP(CG$5,Tech_Specs_Infra!$A$226:$D$231,COLUMN(Tech_Specs_Infra!$C$225)-COLUMN(Tech_Specs_Infra!$A$225)+1,FALSE),0)</f>
        <v>30</v>
      </c>
      <c r="CH21" s="262">
        <f>IFERROR(VLOOKUP(CH$5,Tech_Specs_Infra!$A$226:$D$231,COLUMN(Tech_Specs_Infra!$C$225)-COLUMN(Tech_Specs_Infra!$A$225)+1,FALSE),0)</f>
        <v>30</v>
      </c>
      <c r="CI21" s="262">
        <f>IFERROR(VLOOKUP(CI$5,Tech_Specs_Infra!$A$226:$D$231,COLUMN(Tech_Specs_Infra!$C$225)-COLUMN(Tech_Specs_Infra!$A$225)+1,FALSE),0)</f>
        <v>30</v>
      </c>
      <c r="CJ21" s="262">
        <f>IFERROR(VLOOKUP(CJ$5,Tech_Specs_Infra!$A$226:$D$231,COLUMN(Tech_Specs_Infra!$C$225)-COLUMN(Tech_Specs_Infra!$A$225)+1,FALSE),0)</f>
        <v>30</v>
      </c>
      <c r="CK21" s="262">
        <f>IFERROR(VLOOKUP(CK$5,Tech_Specs_Infra!$A$226:$D$231,COLUMN(Tech_Specs_Infra!$C$225)-COLUMN(Tech_Specs_Infra!$A$225)+1,FALSE),0)</f>
        <v>30</v>
      </c>
      <c r="CL21" s="262">
        <f>IFERROR(VLOOKUP(CL$5,Tech_Specs_Infra!$A$226:$D$231,COLUMN(Tech_Specs_Infra!$C$225)-COLUMN(Tech_Specs_Infra!$A$225)+1,FALSE),0)</f>
        <v>30</v>
      </c>
      <c r="CM21" s="262">
        <f>IFERROR(VLOOKUP(CM$5,Tech_Specs_Infra!$A$226:$D$231,COLUMN(Tech_Specs_Infra!$C$225)-COLUMN(Tech_Specs_Infra!$A$225)+1,FALSE),0)</f>
        <v>30</v>
      </c>
      <c r="CN21" s="262">
        <f>IFERROR(VLOOKUP(CN$5,Tech_Specs_Infra!$A$226:$D$231,COLUMN(Tech_Specs_Infra!$C$225)-COLUMN(Tech_Specs_Infra!$A$225)+1,FALSE),0)</f>
        <v>30</v>
      </c>
      <c r="CO21" s="262">
        <f>IFERROR(VLOOKUP(CO$5,Tech_Specs_Infra!$A$226:$D$231,COLUMN(Tech_Specs_Infra!$C$225)-COLUMN(Tech_Specs_Infra!$A$225)+1,FALSE),0)</f>
        <v>30</v>
      </c>
      <c r="CP21" s="262">
        <f>IFERROR(VLOOKUP(CP$5,Tech_Specs_Infra!$A$226:$D$231,COLUMN(Tech_Specs_Infra!$C$225)-COLUMN(Tech_Specs_Infra!$A$225)+1,FALSE),0)</f>
        <v>30</v>
      </c>
      <c r="CQ21" s="262">
        <f>IFERROR(VLOOKUP(CQ$5,Tech_Specs_Infra!$A$226:$D$231,COLUMN(Tech_Specs_Infra!$C$225)-COLUMN(Tech_Specs_Infra!$A$225)+1,FALSE),0)</f>
        <v>30</v>
      </c>
      <c r="CR21" s="262">
        <f>IFERROR(VLOOKUP(CR$5,Tech_Specs_Infra!$A$226:$D$231,COLUMN(Tech_Specs_Infra!$C$225)-COLUMN(Tech_Specs_Infra!$A$225)+1,FALSE),0)</f>
        <v>30</v>
      </c>
      <c r="CS21" s="262">
        <f>IFERROR(VLOOKUP(CS$5,Tech_Specs_Infra!$A$226:$D$231,COLUMN(Tech_Specs_Infra!$C$225)-COLUMN(Tech_Specs_Infra!$A$225)+1,FALSE),0)</f>
        <v>30</v>
      </c>
      <c r="CT21" s="262">
        <f>IFERROR(VLOOKUP(CT$5,Tech_Specs_Infra!$A$226:$D$231,COLUMN(Tech_Specs_Infra!$C$225)-COLUMN(Tech_Specs_Infra!$A$225)+1,FALSE),0)</f>
        <v>30</v>
      </c>
      <c r="CU21" s="262">
        <f>IFERROR(VLOOKUP(CU$5,Tech_Specs_Infra!$A$226:$D$231,COLUMN(Tech_Specs_Infra!$C$225)-COLUMN(Tech_Specs_Infra!$A$225)+1,FALSE),0)</f>
        <v>30</v>
      </c>
      <c r="CV21" s="262">
        <f>IFERROR(VLOOKUP(CV$5,Tech_Specs_Infra!$A$226:$D$231,COLUMN(Tech_Specs_Infra!$C$225)-COLUMN(Tech_Specs_Infra!$A$225)+1,FALSE),0)</f>
        <v>30</v>
      </c>
      <c r="CW21" s="262">
        <f>IFERROR(VLOOKUP(CW$5,Tech_Specs_Infra!$A$226:$D$231,COLUMN(Tech_Specs_Infra!$C$225)-COLUMN(Tech_Specs_Infra!$A$225)+1,FALSE),0)</f>
        <v>30</v>
      </c>
      <c r="CX21" s="262">
        <f>IFERROR(VLOOKUP(CX$5,Tech_Specs_Infra!$A$226:$D$231,COLUMN(Tech_Specs_Infra!$C$225)-COLUMN(Tech_Specs_Infra!$A$225)+1,FALSE),0)</f>
        <v>30</v>
      </c>
      <c r="CY21" s="262">
        <f>IFERROR(VLOOKUP(CY$5,Tech_Specs_Infra!$A$226:$D$231,COLUMN(Tech_Specs_Infra!$C$225)-COLUMN(Tech_Specs_Infra!$A$225)+1,FALSE),0)</f>
        <v>30</v>
      </c>
      <c r="CZ21" s="262">
        <f>IFERROR(VLOOKUP(CZ$5,Tech_Specs_Infra!$A$226:$D$231,COLUMN(Tech_Specs_Infra!$C$225)-COLUMN(Tech_Specs_Infra!$A$225)+1,FALSE),0)</f>
        <v>30</v>
      </c>
      <c r="DA21" s="262">
        <f>IFERROR(VLOOKUP(DA$5,Tech_Specs_Infra!$A$226:$D$231,COLUMN(Tech_Specs_Infra!$C$225)-COLUMN(Tech_Specs_Infra!$A$225)+1,FALSE),0)</f>
        <v>30</v>
      </c>
      <c r="DB21" s="262">
        <f>IFERROR(VLOOKUP(DB$5,Tech_Specs_Infra!$A$226:$D$231,COLUMN(Tech_Specs_Infra!$C$225)-COLUMN(Tech_Specs_Infra!$A$225)+1,FALSE),0)</f>
        <v>30</v>
      </c>
      <c r="DC21" s="262">
        <f>IFERROR(VLOOKUP(DC$5,Tech_Specs_Infra!$A$226:$D$231,COLUMN(Tech_Specs_Infra!$C$225)-COLUMN(Tech_Specs_Infra!$A$225)+1,FALSE),0)</f>
        <v>30</v>
      </c>
      <c r="DD21" s="262">
        <f>IFERROR(VLOOKUP(DD$5,Tech_Specs_Infra!$A$226:$D$231,COLUMN(Tech_Specs_Infra!$C$225)-COLUMN(Tech_Specs_Infra!$A$225)+1,FALSE),0)</f>
        <v>30</v>
      </c>
      <c r="DE21" s="262">
        <f>IFERROR(VLOOKUP(DE$5,Tech_Specs_Infra!$A$226:$D$231,COLUMN(Tech_Specs_Infra!$C$225)-COLUMN(Tech_Specs_Infra!$A$225)+1,FALSE),0)</f>
        <v>30</v>
      </c>
      <c r="DF21" s="262">
        <f>IFERROR(VLOOKUP(DF$5,Tech_Specs_Infra!$A$226:$D$231,COLUMN(Tech_Specs_Infra!$C$225)-COLUMN(Tech_Specs_Infra!$A$225)+1,FALSE),0)</f>
        <v>30</v>
      </c>
      <c r="DG21" s="262"/>
      <c r="DH21" s="262">
        <f>IFERROR(VLOOKUP(DH$5,Tech_Specs_Infra!$A$226:$D$231,COLUMN(Tech_Specs_Infra!$C$225)-COLUMN(Tech_Specs_Infra!$A$225)+1,FALSE),0)</f>
        <v>30</v>
      </c>
      <c r="DI21" s="262">
        <f>IFERROR(VLOOKUP(DI$5,Tech_Specs_Infra!$A$226:$D$231,COLUMN(Tech_Specs_Infra!$C$225)-COLUMN(Tech_Specs_Infra!$A$225)+1,FALSE),0)</f>
        <v>30</v>
      </c>
      <c r="DJ21" s="262">
        <f>IFERROR(VLOOKUP(DJ$5,Tech_Specs_Infra!$A$226:$D$231,COLUMN(Tech_Specs_Infra!$C$225)-COLUMN(Tech_Specs_Infra!$A$225)+1,FALSE),0)</f>
        <v>30</v>
      </c>
      <c r="DK21" s="262">
        <f>IFERROR(VLOOKUP(DK$5,Tech_Specs_Infra!$A$226:$D$231,COLUMN(Tech_Specs_Infra!$C$225)-COLUMN(Tech_Specs_Infra!$A$225)+1,FALSE),0)</f>
        <v>30</v>
      </c>
      <c r="DL21" s="262">
        <f>IFERROR(VLOOKUP(DL$5,Tech_Specs_Infra!$A$226:$D$231,COLUMN(Tech_Specs_Infra!$C$225)-COLUMN(Tech_Specs_Infra!$A$225)+1,FALSE),0)</f>
        <v>30</v>
      </c>
      <c r="DM21" s="262">
        <f>IFERROR(VLOOKUP(DM$5,Tech_Specs_Infra!$A$226:$D$231,COLUMN(Tech_Specs_Infra!$C$225)-COLUMN(Tech_Specs_Infra!$A$225)+1,FALSE),0)</f>
        <v>30</v>
      </c>
      <c r="DN21" s="262">
        <f>IFERROR(VLOOKUP(DN$5,Tech_Specs_Infra!$A$226:$D$231,COLUMN(Tech_Specs_Infra!$C$225)-COLUMN(Tech_Specs_Infra!$A$225)+1,FALSE),0)</f>
        <v>30</v>
      </c>
      <c r="DO21" s="262">
        <f>IFERROR(VLOOKUP(DO$5,Tech_Specs_Infra!$A$226:$D$231,COLUMN(Tech_Specs_Infra!$C$225)-COLUMN(Tech_Specs_Infra!$A$225)+1,FALSE),0)</f>
        <v>30</v>
      </c>
      <c r="DP21" s="262">
        <f>IFERROR(VLOOKUP(DP$5,Tech_Specs_Infra!$A$226:$D$231,COLUMN(Tech_Specs_Infra!$C$225)-COLUMN(Tech_Specs_Infra!$A$225)+1,FALSE),0)</f>
        <v>30</v>
      </c>
      <c r="DQ21" s="262">
        <f>IFERROR(VLOOKUP(DQ$5,Tech_Specs_Infra!$A$226:$D$231,COLUMN(Tech_Specs_Infra!$C$225)-COLUMN(Tech_Specs_Infra!$A$225)+1,FALSE),0)</f>
        <v>30</v>
      </c>
      <c r="DR21" s="262">
        <f>IFERROR(VLOOKUP(DR$5,Tech_Specs_Infra!$A$226:$D$231,COLUMN(Tech_Specs_Infra!$C$225)-COLUMN(Tech_Specs_Infra!$A$225)+1,FALSE),0)</f>
        <v>30</v>
      </c>
      <c r="DS21" s="262">
        <f>IFERROR(VLOOKUP(DS$5,Tech_Specs_Infra!$A$226:$D$231,COLUMN(Tech_Specs_Infra!$C$225)-COLUMN(Tech_Specs_Infra!$A$225)+1,FALSE),0)</f>
        <v>30</v>
      </c>
      <c r="DT21" s="262">
        <f>IFERROR(VLOOKUP(DT$5,Tech_Specs_Infra!$A$226:$D$231,COLUMN(Tech_Specs_Infra!$C$225)-COLUMN(Tech_Specs_Infra!$A$225)+1,FALSE),0)</f>
        <v>30</v>
      </c>
      <c r="DU21" s="262">
        <f>IFERROR(VLOOKUP(DU$5,Tech_Specs_Infra!$A$226:$D$231,COLUMN(Tech_Specs_Infra!$C$225)-COLUMN(Tech_Specs_Infra!$A$225)+1,FALSE),0)</f>
        <v>30</v>
      </c>
      <c r="DV21" s="262">
        <f>IFERROR(VLOOKUP(DV$5,Tech_Specs_Infra!$A$226:$D$231,COLUMN(Tech_Specs_Infra!$C$225)-COLUMN(Tech_Specs_Infra!$A$225)+1,FALSE),0)</f>
        <v>30</v>
      </c>
      <c r="DW21" s="262">
        <f>IFERROR(VLOOKUP(DW$5,Tech_Specs_Infra!$A$226:$D$231,COLUMN(Tech_Specs_Infra!$C$225)-COLUMN(Tech_Specs_Infra!$A$225)+1,FALSE),0)</f>
        <v>30</v>
      </c>
      <c r="DX21" s="297">
        <f>ED21*1.25</f>
        <v>62.5</v>
      </c>
      <c r="DY21" s="297">
        <f>ED21*0.75</f>
        <v>37.5</v>
      </c>
      <c r="DZ21" s="262">
        <f>IFERROR(VLOOKUP(DZ$5,Tech_Specs_Infra!$A$226:$D$231,COLUMN(Tech_Specs_Infra!$C$225)-COLUMN(Tech_Specs_Infra!$A$225)+1,FALSE),0)</f>
        <v>50</v>
      </c>
      <c r="EA21" s="262">
        <f>IFERROR(VLOOKUP(EA$5,Tech_Specs_Infra!$A$226:$D$231,COLUMN(Tech_Specs_Infra!$C$225)-COLUMN(Tech_Specs_Infra!$A$225)+1,FALSE),0)</f>
        <v>50</v>
      </c>
      <c r="EB21" s="262">
        <f>IFERROR(VLOOKUP(EB$5,Tech_Specs_Infra!$A$226:$D$231,COLUMN(Tech_Specs_Infra!$C$225)-COLUMN(Tech_Specs_Infra!$A$225)+1,FALSE),0)</f>
        <v>50</v>
      </c>
      <c r="EC21" s="262">
        <f>IFERROR(VLOOKUP(EC$5,Tech_Specs_Infra!$A$226:$D$231,COLUMN(Tech_Specs_Infra!$C$225)-COLUMN(Tech_Specs_Infra!$A$225)+1,FALSE),0)</f>
        <v>50</v>
      </c>
      <c r="ED21" s="262">
        <f>IFERROR(VLOOKUP(ED$5,Tech_Specs_Infra!$A$226:$D$231,COLUMN(Tech_Specs_Infra!$C$225)-COLUMN(Tech_Specs_Infra!$A$225)+1,FALSE),0)</f>
        <v>50</v>
      </c>
    </row>
    <row r="22" spans="1:134" x14ac:dyDescent="0.3">
      <c r="A22" s="115" t="s">
        <v>807</v>
      </c>
      <c r="D22" s="262">
        <f>IFERROR(VLOOKUP(D$5,Tech_Specs_Infra!$A$226:$D$231,COLUMN(Tech_Specs_Infra!$C$225)-COLUMN(Tech_Specs_Infra!$A$225)+1,FALSE),0)</f>
        <v>30</v>
      </c>
      <c r="E22" s="262">
        <f>IFERROR(VLOOKUP(E$5,Tech_Specs_Infra!$A$226:$D$231,COLUMN(Tech_Specs_Infra!$C$225)-COLUMN(Tech_Specs_Infra!$A$225)+1,FALSE),0)</f>
        <v>30</v>
      </c>
      <c r="F22" s="262">
        <f>IFERROR(VLOOKUP(F$5,Tech_Specs_Infra!$A$226:$D$231,COLUMN(Tech_Specs_Infra!$C$225)-COLUMN(Tech_Specs_Infra!$A$225)+1,FALSE),0)</f>
        <v>30</v>
      </c>
      <c r="G22" s="262">
        <f>IFERROR(VLOOKUP(G$5,Tech_Specs_Infra!$A$226:$D$231,COLUMN(Tech_Specs_Infra!$C$225)-COLUMN(Tech_Specs_Infra!$A$225)+1,FALSE),0)</f>
        <v>30</v>
      </c>
      <c r="H22" s="262">
        <f>IFERROR(VLOOKUP(H$5,Tech_Specs_Infra!$A$226:$D$231,COLUMN(Tech_Specs_Infra!$C$225)-COLUMN(Tech_Specs_Infra!$A$225)+1,FALSE),0)</f>
        <v>30</v>
      </c>
      <c r="I22" s="262">
        <f>IFERROR(VLOOKUP(I$5,Tech_Specs_Infra!$A$226:$D$231,COLUMN(Tech_Specs_Infra!$C$225)-COLUMN(Tech_Specs_Infra!$A$225)+1,FALSE),0)</f>
        <v>30</v>
      </c>
      <c r="J22" s="262">
        <f>IFERROR(VLOOKUP(J$5,Tech_Specs_Infra!$A$226:$D$231,COLUMN(Tech_Specs_Infra!$C$225)-COLUMN(Tech_Specs_Infra!$A$225)+1,FALSE),0)</f>
        <v>30</v>
      </c>
      <c r="K22" s="262">
        <f>IFERROR(VLOOKUP(K$5,Tech_Specs_Infra!$A$226:$D$231,COLUMN(Tech_Specs_Infra!$C$225)-COLUMN(Tech_Specs_Infra!$A$225)+1,FALSE),0)</f>
        <v>30</v>
      </c>
      <c r="L22" s="262">
        <f>IFERROR(VLOOKUP(L$5,Tech_Specs_Infra!$A$226:$D$231,COLUMN(Tech_Specs_Infra!$C$225)-COLUMN(Tech_Specs_Infra!$A$225)+1,FALSE),0)</f>
        <v>30</v>
      </c>
      <c r="M22" s="262">
        <f>IFERROR(VLOOKUP(M$5,Tech_Specs_Infra!$A$226:$D$231,COLUMN(Tech_Specs_Infra!$C$225)-COLUMN(Tech_Specs_Infra!$A$225)+1,FALSE),0)</f>
        <v>30</v>
      </c>
      <c r="N22" s="262">
        <f>IFERROR(VLOOKUP(N$5,Tech_Specs_Infra!$A$226:$D$231,COLUMN(Tech_Specs_Infra!$C$225)-COLUMN(Tech_Specs_Infra!$A$225)+1,FALSE),0)</f>
        <v>30</v>
      </c>
      <c r="O22" s="262">
        <f>IFERROR(VLOOKUP(O$5,Tech_Specs_Infra!$A$226:$D$231,COLUMN(Tech_Specs_Infra!$C$225)-COLUMN(Tech_Specs_Infra!$A$225)+1,FALSE),0)</f>
        <v>30</v>
      </c>
      <c r="P22" s="262">
        <f>IFERROR(VLOOKUP(P$5,Tech_Specs_Infra!$A$226:$D$231,COLUMN(Tech_Specs_Infra!$C$225)-COLUMN(Tech_Specs_Infra!$A$225)+1,FALSE),0)</f>
        <v>30</v>
      </c>
      <c r="Q22" s="262">
        <f>IFERROR(VLOOKUP(Q$5,Tech_Specs_Infra!$A$226:$D$231,COLUMN(Tech_Specs_Infra!$C$225)-COLUMN(Tech_Specs_Infra!$A$225)+1,FALSE),0)</f>
        <v>30</v>
      </c>
      <c r="R22" s="262">
        <f>IFERROR(VLOOKUP(R$5,Tech_Specs_Infra!$A$226:$D$231,COLUMN(Tech_Specs_Infra!$C$225)-COLUMN(Tech_Specs_Infra!$A$225)+1,FALSE),0)</f>
        <v>30</v>
      </c>
      <c r="S22" s="262">
        <f>IFERROR(VLOOKUP(S$5,Tech_Specs_Infra!$A$226:$D$231,COLUMN(Tech_Specs_Infra!$C$225)-COLUMN(Tech_Specs_Infra!$A$225)+1,FALSE),0)</f>
        <v>30</v>
      </c>
      <c r="T22" s="262">
        <f>IFERROR(VLOOKUP(T$5,Tech_Specs_Infra!$A$226:$D$231,COLUMN(Tech_Specs_Infra!$C$225)-COLUMN(Tech_Specs_Infra!$A$225)+1,FALSE),0)</f>
        <v>30</v>
      </c>
      <c r="U22" s="262">
        <f>IFERROR(VLOOKUP(U$5,Tech_Specs_Infra!$A$226:$D$231,COLUMN(Tech_Specs_Infra!$C$225)-COLUMN(Tech_Specs_Infra!$A$225)+1,FALSE),0)</f>
        <v>30</v>
      </c>
      <c r="V22" s="262">
        <f>IFERROR(VLOOKUP(V$5,Tech_Specs_Infra!$A$226:$D$231,COLUMN(Tech_Specs_Infra!$C$225)-COLUMN(Tech_Specs_Infra!$A$225)+1,FALSE),0)</f>
        <v>30</v>
      </c>
      <c r="W22" s="262">
        <f>IFERROR(VLOOKUP(W$5,Tech_Specs_Infra!$A$226:$D$231,COLUMN(Tech_Specs_Infra!$C$225)-COLUMN(Tech_Specs_Infra!$A$225)+1,FALSE),0)</f>
        <v>30</v>
      </c>
      <c r="X22" s="262">
        <f>IFERROR(VLOOKUP(X$5,Tech_Specs_Infra!$A$226:$D$231,COLUMN(Tech_Specs_Infra!$C$225)-COLUMN(Tech_Specs_Infra!$A$225)+1,FALSE),0)</f>
        <v>30</v>
      </c>
      <c r="Y22" s="262">
        <f>IFERROR(VLOOKUP(Y$5,Tech_Specs_Infra!$A$226:$D$231,COLUMN(Tech_Specs_Infra!$C$225)-COLUMN(Tech_Specs_Infra!$A$225)+1,FALSE),0)</f>
        <v>30</v>
      </c>
      <c r="Z22" s="262">
        <f>IFERROR(VLOOKUP(Z$5,Tech_Specs_Infra!$A$226:$D$231,COLUMN(Tech_Specs_Infra!$C$225)-COLUMN(Tech_Specs_Infra!$A$225)+1,FALSE),0)</f>
        <v>30</v>
      </c>
      <c r="AA22" s="262">
        <f>IFERROR(VLOOKUP(AA$5,Tech_Specs_Infra!$A$226:$D$231,COLUMN(Tech_Specs_Infra!$C$225)-COLUMN(Tech_Specs_Infra!$A$225)+1,FALSE),0)</f>
        <v>30</v>
      </c>
      <c r="AB22" s="262">
        <f>IFERROR(VLOOKUP(AB$5,Tech_Specs_Infra!$A$226:$D$231,COLUMN(Tech_Specs_Infra!$C$225)-COLUMN(Tech_Specs_Infra!$A$225)+1,FALSE),0)</f>
        <v>30</v>
      </c>
      <c r="AC22" s="262">
        <f>IFERROR(VLOOKUP(AC$5,Tech_Specs_Infra!$A$226:$D$231,COLUMN(Tech_Specs_Infra!$C$225)-COLUMN(Tech_Specs_Infra!$A$225)+1,FALSE),0)</f>
        <v>30</v>
      </c>
      <c r="AD22" s="262">
        <f>IFERROR(VLOOKUP(AD$5,Tech_Specs_Infra!$A$226:$D$231,COLUMN(Tech_Specs_Infra!$C$225)-COLUMN(Tech_Specs_Infra!$A$225)+1,FALSE),0)</f>
        <v>30</v>
      </c>
      <c r="AE22" s="262">
        <f>IFERROR(VLOOKUP(AE$5,Tech_Specs_Infra!$A$226:$D$231,COLUMN(Tech_Specs_Infra!$C$225)-COLUMN(Tech_Specs_Infra!$A$225)+1,FALSE),0)</f>
        <v>30</v>
      </c>
      <c r="AF22" s="262">
        <f>IFERROR(VLOOKUP(AF$5,Tech_Specs_Infra!$A$226:$D$231,COLUMN(Tech_Specs_Infra!$C$225)-COLUMN(Tech_Specs_Infra!$A$225)+1,FALSE),0)</f>
        <v>30</v>
      </c>
      <c r="AG22" s="262">
        <f>IFERROR(VLOOKUP(AG$5,Tech_Specs_Infra!$A$226:$D$231,COLUMN(Tech_Specs_Infra!$C$225)-COLUMN(Tech_Specs_Infra!$A$225)+1,FALSE),0)</f>
        <v>30</v>
      </c>
      <c r="AH22" s="262">
        <f>IFERROR(VLOOKUP(AH$5,Tech_Specs_Infra!$A$226:$D$231,COLUMN(Tech_Specs_Infra!$C$225)-COLUMN(Tech_Specs_Infra!$A$225)+1,FALSE),0)</f>
        <v>30</v>
      </c>
      <c r="AI22" s="262">
        <f>IFERROR(VLOOKUP(AI$5,Tech_Specs_Infra!$A$226:$D$231,COLUMN(Tech_Specs_Infra!$C$225)-COLUMN(Tech_Specs_Infra!$A$225)+1,FALSE),0)</f>
        <v>30</v>
      </c>
      <c r="AJ22" s="262">
        <f>IFERROR(VLOOKUP(AJ$5,Tech_Specs_Infra!$A$226:$D$231,COLUMN(Tech_Specs_Infra!$C$225)-COLUMN(Tech_Specs_Infra!$A$225)+1,FALSE),0)</f>
        <v>30</v>
      </c>
      <c r="AK22" s="262">
        <f>IFERROR(VLOOKUP(AK$5,Tech_Specs_Infra!$A$226:$D$231,COLUMN(Tech_Specs_Infra!$C$225)-COLUMN(Tech_Specs_Infra!$A$225)+1,FALSE),0)</f>
        <v>30</v>
      </c>
      <c r="AL22" s="262">
        <f>IFERROR(VLOOKUP(AL$5,Tech_Specs_Infra!$A$226:$D$231,COLUMN(Tech_Specs_Infra!$C$225)-COLUMN(Tech_Specs_Infra!$A$225)+1,FALSE),0)</f>
        <v>30</v>
      </c>
      <c r="AM22" s="262">
        <f>IFERROR(VLOOKUP(AM$5,Tech_Specs_Infra!$A$226:$D$231,COLUMN(Tech_Specs_Infra!$C$225)-COLUMN(Tech_Specs_Infra!$A$225)+1,FALSE),0)</f>
        <v>30</v>
      </c>
      <c r="AN22" s="262">
        <f>IFERROR(VLOOKUP(AN$5,Tech_Specs_Infra!$A$226:$D$231,COLUMN(Tech_Specs_Infra!$C$225)-COLUMN(Tech_Specs_Infra!$A$225)+1,FALSE),0)</f>
        <v>30</v>
      </c>
      <c r="AO22" s="262">
        <f>IFERROR(VLOOKUP(AO$5,Tech_Specs_Infra!$A$226:$D$231,COLUMN(Tech_Specs_Infra!$C$225)-COLUMN(Tech_Specs_Infra!$A$225)+1,FALSE),0)</f>
        <v>30</v>
      </c>
      <c r="AP22" s="262">
        <f>IFERROR(VLOOKUP(AP$5,Tech_Specs_Infra!$A$226:$D$231,COLUMN(Tech_Specs_Infra!$C$225)-COLUMN(Tech_Specs_Infra!$A$225)+1,FALSE),0)</f>
        <v>30</v>
      </c>
      <c r="AQ22" s="262">
        <f>IFERROR(VLOOKUP(AQ$5,Tech_Specs_Infra!$A$226:$D$231,COLUMN(Tech_Specs_Infra!$C$225)-COLUMN(Tech_Specs_Infra!$A$225)+1,FALSE),0)</f>
        <v>30</v>
      </c>
      <c r="AR22" s="262">
        <f>IFERROR(VLOOKUP(AR$5,Tech_Specs_Infra!$A$226:$D$231,COLUMN(Tech_Specs_Infra!$C$225)-COLUMN(Tech_Specs_Infra!$A$225)+1,FALSE),0)</f>
        <v>30</v>
      </c>
      <c r="AS22" s="262">
        <f>IFERROR(VLOOKUP(AS$5,Tech_Specs_Infra!$A$226:$D$231,COLUMN(Tech_Specs_Infra!$C$225)-COLUMN(Tech_Specs_Infra!$A$225)+1,FALSE),0)</f>
        <v>30</v>
      </c>
      <c r="AT22" s="262">
        <f>IFERROR(VLOOKUP(AT$5,Tech_Specs_Infra!$A$226:$D$231,COLUMN(Tech_Specs_Infra!$C$225)-COLUMN(Tech_Specs_Infra!$A$225)+1,FALSE),0)</f>
        <v>30</v>
      </c>
      <c r="AU22" s="262">
        <f>IFERROR(VLOOKUP(AU$5,Tech_Specs_Infra!$A$226:$D$231,COLUMN(Tech_Specs_Infra!$C$225)-COLUMN(Tech_Specs_Infra!$A$225)+1,FALSE),0)</f>
        <v>30</v>
      </c>
      <c r="AV22" s="262">
        <f>IFERROR(VLOOKUP(AV$5,Tech_Specs_Infra!$A$226:$D$231,COLUMN(Tech_Specs_Infra!$C$225)-COLUMN(Tech_Specs_Infra!$A$225)+1,FALSE),0)</f>
        <v>30</v>
      </c>
      <c r="AW22" s="262">
        <f>IFERROR(VLOOKUP(AW$5,Tech_Specs_Infra!$A$226:$D$231,COLUMN(Tech_Specs_Infra!$C$225)-COLUMN(Tech_Specs_Infra!$A$225)+1,FALSE),0)</f>
        <v>30</v>
      </c>
      <c r="AX22" s="262">
        <f>IFERROR(VLOOKUP(AX$5,Tech_Specs_Infra!$A$226:$D$231,COLUMN(Tech_Specs_Infra!$C$225)-COLUMN(Tech_Specs_Infra!$A$225)+1,FALSE),0)</f>
        <v>30</v>
      </c>
      <c r="AY22" s="262">
        <f>IFERROR(VLOOKUP(AY$5,Tech_Specs_Infra!$A$226:$D$231,COLUMN(Tech_Specs_Infra!$C$225)-COLUMN(Tech_Specs_Infra!$A$225)+1,FALSE),0)</f>
        <v>30</v>
      </c>
      <c r="AZ22" s="262">
        <f>IFERROR(VLOOKUP(AZ$5,Tech_Specs_Infra!$A$226:$D$231,COLUMN(Tech_Specs_Infra!$C$225)-COLUMN(Tech_Specs_Infra!$A$225)+1,FALSE),0)</f>
        <v>30</v>
      </c>
      <c r="BA22" s="262">
        <f>IFERROR(VLOOKUP(BA$5,Tech_Specs_Infra!$A$226:$D$231,COLUMN(Tech_Specs_Infra!$C$225)-COLUMN(Tech_Specs_Infra!$A$225)+1,FALSE),0)</f>
        <v>30</v>
      </c>
      <c r="BB22" s="262">
        <f>IFERROR(VLOOKUP(BB$5,Tech_Specs_Infra!$A$226:$D$231,COLUMN(Tech_Specs_Infra!$C$225)-COLUMN(Tech_Specs_Infra!$A$225)+1,FALSE),0)</f>
        <v>30</v>
      </c>
      <c r="BC22" s="262">
        <f>IFERROR(VLOOKUP(BC$5,Tech_Specs_Infra!$A$226:$D$231,COLUMN(Tech_Specs_Infra!$C$225)-COLUMN(Tech_Specs_Infra!$A$225)+1,FALSE),0)</f>
        <v>30</v>
      </c>
      <c r="BD22" s="262">
        <f>IFERROR(VLOOKUP(BD$5,Tech_Specs_Infra!$A$226:$D$231,COLUMN(Tech_Specs_Infra!$C$225)-COLUMN(Tech_Specs_Infra!$A$225)+1,FALSE),0)</f>
        <v>30</v>
      </c>
      <c r="BE22" s="262">
        <f>IFERROR(VLOOKUP(BE$5,Tech_Specs_Infra!$A$226:$D$231,COLUMN(Tech_Specs_Infra!$C$225)-COLUMN(Tech_Specs_Infra!$A$225)+1,FALSE),0)</f>
        <v>30</v>
      </c>
      <c r="BF22" s="262">
        <f>IFERROR(VLOOKUP(BF$5,Tech_Specs_Infra!$A$226:$D$231,COLUMN(Tech_Specs_Infra!$C$225)-COLUMN(Tech_Specs_Infra!$A$225)+1,FALSE),0)</f>
        <v>30</v>
      </c>
      <c r="BG22" s="262">
        <f>IFERROR(VLOOKUP(BG$5,Tech_Specs_Infra!$A$226:$D$231,COLUMN(Tech_Specs_Infra!$C$225)-COLUMN(Tech_Specs_Infra!$A$225)+1,FALSE),0)</f>
        <v>30</v>
      </c>
      <c r="BH22" s="262">
        <f>IFERROR(VLOOKUP(BH$5,Tech_Specs_Infra!$A$226:$D$231,COLUMN(Tech_Specs_Infra!$C$225)-COLUMN(Tech_Specs_Infra!$A$225)+1,FALSE),0)</f>
        <v>30</v>
      </c>
      <c r="BI22" s="262">
        <f>IFERROR(VLOOKUP(BI$5,Tech_Specs_Infra!$A$226:$D$231,COLUMN(Tech_Specs_Infra!$C$225)-COLUMN(Tech_Specs_Infra!$A$225)+1,FALSE),0)</f>
        <v>30</v>
      </c>
      <c r="BJ22" s="262">
        <f>IFERROR(VLOOKUP(BJ$5,Tech_Specs_Infra!$A$226:$D$231,COLUMN(Tech_Specs_Infra!$C$225)-COLUMN(Tech_Specs_Infra!$A$225)+1,FALSE),0)</f>
        <v>30</v>
      </c>
      <c r="BK22" s="262">
        <f>IFERROR(VLOOKUP(BK$5,Tech_Specs_Infra!$A$226:$D$231,COLUMN(Tech_Specs_Infra!$C$225)-COLUMN(Tech_Specs_Infra!$A$225)+1,FALSE),0)</f>
        <v>30</v>
      </c>
      <c r="BL22" s="262">
        <f>IFERROR(VLOOKUP(BL$5,Tech_Specs_Infra!$A$226:$D$231,COLUMN(Tech_Specs_Infra!$C$225)-COLUMN(Tech_Specs_Infra!$A$225)+1,FALSE),0)</f>
        <v>30</v>
      </c>
      <c r="BM22" s="262">
        <f>IFERROR(VLOOKUP(BM$5,Tech_Specs_Infra!$A$226:$D$231,COLUMN(Tech_Specs_Infra!$C$225)-COLUMN(Tech_Specs_Infra!$A$225)+1,FALSE),0)</f>
        <v>30</v>
      </c>
      <c r="BN22" s="262">
        <f>IFERROR(VLOOKUP(BN$5,Tech_Specs_Infra!$A$226:$D$231,COLUMN(Tech_Specs_Infra!$C$225)-COLUMN(Tech_Specs_Infra!$A$225)+1,FALSE),0)</f>
        <v>30</v>
      </c>
      <c r="BO22" s="262">
        <f>IFERROR(VLOOKUP(BO$5,Tech_Specs_Infra!$A$226:$D$231,COLUMN(Tech_Specs_Infra!$C$225)-COLUMN(Tech_Specs_Infra!$A$225)+1,FALSE),0)</f>
        <v>30</v>
      </c>
      <c r="BP22" s="262">
        <f>IFERROR(VLOOKUP(BP$5,Tech_Specs_Infra!$A$226:$D$231,COLUMN(Tech_Specs_Infra!$C$225)-COLUMN(Tech_Specs_Infra!$A$225)+1,FALSE),0)</f>
        <v>30</v>
      </c>
      <c r="BQ22" s="262">
        <f>IFERROR(VLOOKUP(BQ$5,Tech_Specs_Infra!$A$226:$D$231,COLUMN(Tech_Specs_Infra!$C$225)-COLUMN(Tech_Specs_Infra!$A$225)+1,FALSE),0)</f>
        <v>30</v>
      </c>
      <c r="BR22" s="262">
        <f>IFERROR(VLOOKUP(BR$5,Tech_Specs_Infra!$A$226:$D$231,COLUMN(Tech_Specs_Infra!$C$225)-COLUMN(Tech_Specs_Infra!$A$225)+1,FALSE),0)</f>
        <v>30</v>
      </c>
      <c r="BS22" s="262">
        <f>IFERROR(VLOOKUP(BS$5,Tech_Specs_Infra!$A$226:$D$231,COLUMN(Tech_Specs_Infra!$C$225)-COLUMN(Tech_Specs_Infra!$A$225)+1,FALSE),0)</f>
        <v>30</v>
      </c>
      <c r="BT22" s="262">
        <f>IFERROR(VLOOKUP(BT$5,Tech_Specs_Infra!$A$226:$D$231,COLUMN(Tech_Specs_Infra!$C$225)-COLUMN(Tech_Specs_Infra!$A$225)+1,FALSE),0)</f>
        <v>30</v>
      </c>
      <c r="BU22" s="262">
        <f>IFERROR(VLOOKUP(BU$5,Tech_Specs_Infra!$A$226:$D$231,COLUMN(Tech_Specs_Infra!$C$225)-COLUMN(Tech_Specs_Infra!$A$225)+1,FALSE),0)</f>
        <v>30</v>
      </c>
      <c r="BV22" s="262">
        <f>IFERROR(VLOOKUP(BV$5,Tech_Specs_Infra!$A$226:$D$231,COLUMN(Tech_Specs_Infra!$C$225)-COLUMN(Tech_Specs_Infra!$A$225)+1,FALSE),0)</f>
        <v>30</v>
      </c>
      <c r="BW22" s="262">
        <f>IFERROR(VLOOKUP(BW$5,Tech_Specs_Infra!$A$226:$D$231,COLUMN(Tech_Specs_Infra!$C$225)-COLUMN(Tech_Specs_Infra!$A$225)+1,FALSE),0)</f>
        <v>30</v>
      </c>
      <c r="BX22" s="262">
        <f>IFERROR(VLOOKUP(BX$5,Tech_Specs_Infra!$A$226:$D$231,COLUMN(Tech_Specs_Infra!$C$225)-COLUMN(Tech_Specs_Infra!$A$225)+1,FALSE),0)</f>
        <v>30</v>
      </c>
      <c r="BY22" s="262">
        <f>IFERROR(VLOOKUP(BY$5,Tech_Specs_Infra!$A$226:$D$231,COLUMN(Tech_Specs_Infra!$C$225)-COLUMN(Tech_Specs_Infra!$A$225)+1,FALSE),0)</f>
        <v>30</v>
      </c>
      <c r="BZ22" s="262">
        <f>IFERROR(VLOOKUP(BZ$5,Tech_Specs_Infra!$A$226:$D$231,COLUMN(Tech_Specs_Infra!$C$225)-COLUMN(Tech_Specs_Infra!$A$225)+1,FALSE),0)</f>
        <v>30</v>
      </c>
      <c r="CA22" s="262">
        <f>IFERROR(VLOOKUP(CA$5,Tech_Specs_Infra!$A$226:$D$231,COLUMN(Tech_Specs_Infra!$C$225)-COLUMN(Tech_Specs_Infra!$A$225)+1,FALSE),0)</f>
        <v>30</v>
      </c>
      <c r="CB22" s="262">
        <f>IFERROR(VLOOKUP(CB$5,Tech_Specs_Infra!$A$226:$D$231,COLUMN(Tech_Specs_Infra!$C$225)-COLUMN(Tech_Specs_Infra!$A$225)+1,FALSE),0)</f>
        <v>30</v>
      </c>
      <c r="CC22" s="262">
        <f>IFERROR(VLOOKUP(CC$5,Tech_Specs_Infra!$A$226:$D$231,COLUMN(Tech_Specs_Infra!$C$225)-COLUMN(Tech_Specs_Infra!$A$225)+1,FALSE),0)</f>
        <v>30</v>
      </c>
      <c r="CD22" s="262">
        <f>IFERROR(VLOOKUP(CD$5,Tech_Specs_Infra!$A$226:$D$231,COLUMN(Tech_Specs_Infra!$C$225)-COLUMN(Tech_Specs_Infra!$A$225)+1,FALSE),0)</f>
        <v>30</v>
      </c>
      <c r="CE22" s="262">
        <f>IFERROR(VLOOKUP(CE$5,Tech_Specs_Infra!$A$226:$D$231,COLUMN(Tech_Specs_Infra!$C$225)-COLUMN(Tech_Specs_Infra!$A$225)+1,FALSE),0)</f>
        <v>30</v>
      </c>
      <c r="CF22" s="262">
        <f>IFERROR(VLOOKUP(CF$5,Tech_Specs_Infra!$A$226:$D$231,COLUMN(Tech_Specs_Infra!$C$225)-COLUMN(Tech_Specs_Infra!$A$225)+1,FALSE),0)</f>
        <v>30</v>
      </c>
      <c r="CG22" s="262">
        <f>IFERROR(VLOOKUP(CG$5,Tech_Specs_Infra!$A$226:$D$231,COLUMN(Tech_Specs_Infra!$C$225)-COLUMN(Tech_Specs_Infra!$A$225)+1,FALSE),0)</f>
        <v>30</v>
      </c>
      <c r="CH22" s="262">
        <f>IFERROR(VLOOKUP(CH$5,Tech_Specs_Infra!$A$226:$D$231,COLUMN(Tech_Specs_Infra!$C$225)-COLUMN(Tech_Specs_Infra!$A$225)+1,FALSE),0)</f>
        <v>30</v>
      </c>
      <c r="CI22" s="262">
        <f>IFERROR(VLOOKUP(CI$5,Tech_Specs_Infra!$A$226:$D$231,COLUMN(Tech_Specs_Infra!$C$225)-COLUMN(Tech_Specs_Infra!$A$225)+1,FALSE),0)</f>
        <v>30</v>
      </c>
      <c r="CJ22" s="262">
        <f>IFERROR(VLOOKUP(CJ$5,Tech_Specs_Infra!$A$226:$D$231,COLUMN(Tech_Specs_Infra!$C$225)-COLUMN(Tech_Specs_Infra!$A$225)+1,FALSE),0)</f>
        <v>30</v>
      </c>
      <c r="CK22" s="262">
        <f>IFERROR(VLOOKUP(CK$5,Tech_Specs_Infra!$A$226:$D$231,COLUMN(Tech_Specs_Infra!$C$225)-COLUMN(Tech_Specs_Infra!$A$225)+1,FALSE),0)</f>
        <v>30</v>
      </c>
      <c r="CL22" s="262">
        <f>IFERROR(VLOOKUP(CL$5,Tech_Specs_Infra!$A$226:$D$231,COLUMN(Tech_Specs_Infra!$C$225)-COLUMN(Tech_Specs_Infra!$A$225)+1,FALSE),0)</f>
        <v>30</v>
      </c>
      <c r="CM22" s="262">
        <f>IFERROR(VLOOKUP(CM$5,Tech_Specs_Infra!$A$226:$D$231,COLUMN(Tech_Specs_Infra!$C$225)-COLUMN(Tech_Specs_Infra!$A$225)+1,FALSE),0)</f>
        <v>30</v>
      </c>
      <c r="CN22" s="262">
        <f>IFERROR(VLOOKUP(CN$5,Tech_Specs_Infra!$A$226:$D$231,COLUMN(Tech_Specs_Infra!$C$225)-COLUMN(Tech_Specs_Infra!$A$225)+1,FALSE),0)</f>
        <v>30</v>
      </c>
      <c r="CO22" s="262">
        <f>IFERROR(VLOOKUP(CO$5,Tech_Specs_Infra!$A$226:$D$231,COLUMN(Tech_Specs_Infra!$C$225)-COLUMN(Tech_Specs_Infra!$A$225)+1,FALSE),0)</f>
        <v>30</v>
      </c>
      <c r="CP22" s="262">
        <f>IFERROR(VLOOKUP(CP$5,Tech_Specs_Infra!$A$226:$D$231,COLUMN(Tech_Specs_Infra!$C$225)-COLUMN(Tech_Specs_Infra!$A$225)+1,FALSE),0)</f>
        <v>30</v>
      </c>
      <c r="CQ22" s="262">
        <f>IFERROR(VLOOKUP(CQ$5,Tech_Specs_Infra!$A$226:$D$231,COLUMN(Tech_Specs_Infra!$C$225)-COLUMN(Tech_Specs_Infra!$A$225)+1,FALSE),0)</f>
        <v>30</v>
      </c>
      <c r="CR22" s="262">
        <f>IFERROR(VLOOKUP(CR$5,Tech_Specs_Infra!$A$226:$D$231,COLUMN(Tech_Specs_Infra!$C$225)-COLUMN(Tech_Specs_Infra!$A$225)+1,FALSE),0)</f>
        <v>30</v>
      </c>
      <c r="CS22" s="262">
        <f>IFERROR(VLOOKUP(CS$5,Tech_Specs_Infra!$A$226:$D$231,COLUMN(Tech_Specs_Infra!$C$225)-COLUMN(Tech_Specs_Infra!$A$225)+1,FALSE),0)</f>
        <v>30</v>
      </c>
      <c r="CT22" s="262">
        <f>IFERROR(VLOOKUP(CT$5,Tech_Specs_Infra!$A$226:$D$231,COLUMN(Tech_Specs_Infra!$C$225)-COLUMN(Tech_Specs_Infra!$A$225)+1,FALSE),0)</f>
        <v>30</v>
      </c>
      <c r="CU22" s="262">
        <f>IFERROR(VLOOKUP(CU$5,Tech_Specs_Infra!$A$226:$D$231,COLUMN(Tech_Specs_Infra!$C$225)-COLUMN(Tech_Specs_Infra!$A$225)+1,FALSE),0)</f>
        <v>30</v>
      </c>
      <c r="CV22" s="262">
        <f>IFERROR(VLOOKUP(CV$5,Tech_Specs_Infra!$A$226:$D$231,COLUMN(Tech_Specs_Infra!$C$225)-COLUMN(Tech_Specs_Infra!$A$225)+1,FALSE),0)</f>
        <v>30</v>
      </c>
      <c r="CW22" s="262">
        <f>IFERROR(VLOOKUP(CW$5,Tech_Specs_Infra!$A$226:$D$231,COLUMN(Tech_Specs_Infra!$C$225)-COLUMN(Tech_Specs_Infra!$A$225)+1,FALSE),0)</f>
        <v>30</v>
      </c>
      <c r="CX22" s="262">
        <f>IFERROR(VLOOKUP(CX$5,Tech_Specs_Infra!$A$226:$D$231,COLUMN(Tech_Specs_Infra!$C$225)-COLUMN(Tech_Specs_Infra!$A$225)+1,FALSE),0)</f>
        <v>30</v>
      </c>
      <c r="CY22" s="262">
        <f>IFERROR(VLOOKUP(CY$5,Tech_Specs_Infra!$A$226:$D$231,COLUMN(Tech_Specs_Infra!$C$225)-COLUMN(Tech_Specs_Infra!$A$225)+1,FALSE),0)</f>
        <v>30</v>
      </c>
      <c r="CZ22" s="262">
        <f>IFERROR(VLOOKUP(CZ$5,Tech_Specs_Infra!$A$226:$D$231,COLUMN(Tech_Specs_Infra!$C$225)-COLUMN(Tech_Specs_Infra!$A$225)+1,FALSE),0)</f>
        <v>30</v>
      </c>
      <c r="DA22" s="262">
        <f>IFERROR(VLOOKUP(DA$5,Tech_Specs_Infra!$A$226:$D$231,COLUMN(Tech_Specs_Infra!$C$225)-COLUMN(Tech_Specs_Infra!$A$225)+1,FALSE),0)</f>
        <v>30</v>
      </c>
      <c r="DB22" s="262">
        <f>IFERROR(VLOOKUP(DB$5,Tech_Specs_Infra!$A$226:$D$231,COLUMN(Tech_Specs_Infra!$C$225)-COLUMN(Tech_Specs_Infra!$A$225)+1,FALSE),0)</f>
        <v>30</v>
      </c>
      <c r="DC22" s="262">
        <f>IFERROR(VLOOKUP(DC$5,Tech_Specs_Infra!$A$226:$D$231,COLUMN(Tech_Specs_Infra!$C$225)-COLUMN(Tech_Specs_Infra!$A$225)+1,FALSE),0)</f>
        <v>30</v>
      </c>
      <c r="DD22" s="262">
        <f>IFERROR(VLOOKUP(DD$5,Tech_Specs_Infra!$A$226:$D$231,COLUMN(Tech_Specs_Infra!$C$225)-COLUMN(Tech_Specs_Infra!$A$225)+1,FALSE),0)</f>
        <v>30</v>
      </c>
      <c r="DE22" s="262">
        <f>IFERROR(VLOOKUP(DE$5,Tech_Specs_Infra!$A$226:$D$231,COLUMN(Tech_Specs_Infra!$C$225)-COLUMN(Tech_Specs_Infra!$A$225)+1,FALSE),0)</f>
        <v>30</v>
      </c>
      <c r="DF22" s="262">
        <f>IFERROR(VLOOKUP(DF$5,Tech_Specs_Infra!$A$226:$D$231,COLUMN(Tech_Specs_Infra!$C$225)-COLUMN(Tech_Specs_Infra!$A$225)+1,FALSE),0)</f>
        <v>30</v>
      </c>
      <c r="DG22" s="262"/>
      <c r="DH22" s="262">
        <f>IFERROR(VLOOKUP(DH$5,Tech_Specs_Infra!$A$226:$D$231,COLUMN(Tech_Specs_Infra!$C$225)-COLUMN(Tech_Specs_Infra!$A$225)+1,FALSE),0)</f>
        <v>30</v>
      </c>
      <c r="DI22" s="262">
        <f>IFERROR(VLOOKUP(DI$5,Tech_Specs_Infra!$A$226:$D$231,COLUMN(Tech_Specs_Infra!$C$225)-COLUMN(Tech_Specs_Infra!$A$225)+1,FALSE),0)</f>
        <v>30</v>
      </c>
      <c r="DJ22" s="262">
        <f>IFERROR(VLOOKUP(DJ$5,Tech_Specs_Infra!$A$226:$D$231,COLUMN(Tech_Specs_Infra!$C$225)-COLUMN(Tech_Specs_Infra!$A$225)+1,FALSE),0)</f>
        <v>30</v>
      </c>
      <c r="DK22" s="262">
        <f>IFERROR(VLOOKUP(DK$5,Tech_Specs_Infra!$A$226:$D$231,COLUMN(Tech_Specs_Infra!$C$225)-COLUMN(Tech_Specs_Infra!$A$225)+1,FALSE),0)</f>
        <v>30</v>
      </c>
      <c r="DL22" s="262">
        <f>IFERROR(VLOOKUP(DL$5,Tech_Specs_Infra!$A$226:$D$231,COLUMN(Tech_Specs_Infra!$C$225)-COLUMN(Tech_Specs_Infra!$A$225)+1,FALSE),0)</f>
        <v>30</v>
      </c>
      <c r="DM22" s="262">
        <f>IFERROR(VLOOKUP(DM$5,Tech_Specs_Infra!$A$226:$D$231,COLUMN(Tech_Specs_Infra!$C$225)-COLUMN(Tech_Specs_Infra!$A$225)+1,FALSE),0)</f>
        <v>30</v>
      </c>
      <c r="DN22" s="262">
        <f>IFERROR(VLOOKUP(DN$5,Tech_Specs_Infra!$A$226:$D$231,COLUMN(Tech_Specs_Infra!$C$225)-COLUMN(Tech_Specs_Infra!$A$225)+1,FALSE),0)</f>
        <v>30</v>
      </c>
      <c r="DO22" s="262">
        <f>IFERROR(VLOOKUP(DO$5,Tech_Specs_Infra!$A$226:$D$231,COLUMN(Tech_Specs_Infra!$C$225)-COLUMN(Tech_Specs_Infra!$A$225)+1,FALSE),0)</f>
        <v>30</v>
      </c>
      <c r="DP22" s="262">
        <f>IFERROR(VLOOKUP(DP$5,Tech_Specs_Infra!$A$226:$D$231,COLUMN(Tech_Specs_Infra!$C$225)-COLUMN(Tech_Specs_Infra!$A$225)+1,FALSE),0)</f>
        <v>30</v>
      </c>
      <c r="DQ22" s="262">
        <f>IFERROR(VLOOKUP(DQ$5,Tech_Specs_Infra!$A$226:$D$231,COLUMN(Tech_Specs_Infra!$C$225)-COLUMN(Tech_Specs_Infra!$A$225)+1,FALSE),0)</f>
        <v>30</v>
      </c>
      <c r="DR22" s="262">
        <f>IFERROR(VLOOKUP(DR$5,Tech_Specs_Infra!$A$226:$D$231,COLUMN(Tech_Specs_Infra!$C$225)-COLUMN(Tech_Specs_Infra!$A$225)+1,FALSE),0)</f>
        <v>30</v>
      </c>
      <c r="DS22" s="262">
        <f>IFERROR(VLOOKUP(DS$5,Tech_Specs_Infra!$A$226:$D$231,COLUMN(Tech_Specs_Infra!$C$225)-COLUMN(Tech_Specs_Infra!$A$225)+1,FALSE),0)</f>
        <v>30</v>
      </c>
      <c r="DT22" s="262">
        <f>IFERROR(VLOOKUP(DT$5,Tech_Specs_Infra!$A$226:$D$231,COLUMN(Tech_Specs_Infra!$C$225)-COLUMN(Tech_Specs_Infra!$A$225)+1,FALSE),0)</f>
        <v>30</v>
      </c>
      <c r="DU22" s="262">
        <f>IFERROR(VLOOKUP(DU$5,Tech_Specs_Infra!$A$226:$D$231,COLUMN(Tech_Specs_Infra!$C$225)-COLUMN(Tech_Specs_Infra!$A$225)+1,FALSE),0)</f>
        <v>30</v>
      </c>
      <c r="DV22" s="262">
        <f>IFERROR(VLOOKUP(DV$5,Tech_Specs_Infra!$A$226:$D$231,COLUMN(Tech_Specs_Infra!$C$225)-COLUMN(Tech_Specs_Infra!$A$225)+1,FALSE),0)</f>
        <v>30</v>
      </c>
      <c r="DW22" s="262">
        <f>IFERROR(VLOOKUP(DW$5,Tech_Specs_Infra!$A$226:$D$231,COLUMN(Tech_Specs_Infra!$C$225)-COLUMN(Tech_Specs_Infra!$A$225)+1,FALSE),0)</f>
        <v>30</v>
      </c>
      <c r="DX22" s="262">
        <f>IFERROR(VLOOKUP(DX$5,Tech_Specs_Infra!$A$226:$D$231,COLUMN(Tech_Specs_Infra!$C$225)-COLUMN(Tech_Specs_Infra!$A$225)+1,FALSE),0)</f>
        <v>50</v>
      </c>
      <c r="DY22" s="262">
        <f>IFERROR(VLOOKUP(DY$5,Tech_Specs_Infra!$A$226:$D$231,COLUMN(Tech_Specs_Infra!$C$225)-COLUMN(Tech_Specs_Infra!$A$225)+1,FALSE),0)</f>
        <v>50</v>
      </c>
      <c r="DZ22" s="262">
        <f>IFERROR(VLOOKUP(DZ$5,Tech_Specs_Infra!$A$226:$D$231,COLUMN(Tech_Specs_Infra!$C$225)-COLUMN(Tech_Specs_Infra!$A$225)+1,FALSE),0)</f>
        <v>50</v>
      </c>
      <c r="EA22" s="262">
        <f>IFERROR(VLOOKUP(EA$5,Tech_Specs_Infra!$A$226:$D$231,COLUMN(Tech_Specs_Infra!$C$225)-COLUMN(Tech_Specs_Infra!$A$225)+1,FALSE),0)</f>
        <v>50</v>
      </c>
      <c r="EB22" s="262">
        <f>IFERROR(VLOOKUP(EB$5,Tech_Specs_Infra!$A$226:$D$231,COLUMN(Tech_Specs_Infra!$C$225)-COLUMN(Tech_Specs_Infra!$A$225)+1,FALSE),0)</f>
        <v>50</v>
      </c>
      <c r="EC22" s="262">
        <f>IFERROR(VLOOKUP(EC$5,Tech_Specs_Infra!$A$226:$D$231,COLUMN(Tech_Specs_Infra!$C$225)-COLUMN(Tech_Specs_Infra!$A$225)+1,FALSE),0)</f>
        <v>50</v>
      </c>
      <c r="ED22" s="262">
        <f>IFERROR(VLOOKUP(ED$5,Tech_Specs_Infra!$A$226:$D$231,COLUMN(Tech_Specs_Infra!$C$225)-COLUMN(Tech_Specs_Infra!$A$225)+1,FALSE),0)</f>
        <v>50</v>
      </c>
    </row>
    <row r="23" spans="1:134" x14ac:dyDescent="0.3">
      <c r="A23" s="115"/>
    </row>
    <row r="24" spans="1:134" x14ac:dyDescent="0.3">
      <c r="A24" s="21" t="s">
        <v>823</v>
      </c>
      <c r="B24" s="115" t="str">
        <f>"["&amp;Tech_Specs_Infra!B225&amp;"]"</f>
        <v>[Thousand vkm/year/one-way lane of track km]</v>
      </c>
    </row>
    <row r="25" spans="1:134" x14ac:dyDescent="0.3">
      <c r="A25" s="115" t="s">
        <v>806</v>
      </c>
      <c r="D25" s="275">
        <f>IFERROR(VLOOKUP(D$5,Tech_Specs_Infra!$A$226:$D$231,COLUMN(Tech_Specs_Infra!$B$225)-COLUMN(Tech_Specs_Infra!$A$225)+1,FALSE),0)</f>
        <v>459.81142857142868</v>
      </c>
      <c r="E25" s="275">
        <f>IFERROR(VLOOKUP(E$5,Tech_Specs_Infra!$A$226:$D$231,COLUMN(Tech_Specs_Infra!$B$225)-COLUMN(Tech_Specs_Infra!$A$225)+1,FALSE),0)</f>
        <v>459.81142857142868</v>
      </c>
      <c r="F25" s="275">
        <f>IFERROR(VLOOKUP(F$5,Tech_Specs_Infra!$A$226:$D$231,COLUMN(Tech_Specs_Infra!$B$225)-COLUMN(Tech_Specs_Infra!$A$225)+1,FALSE),0)</f>
        <v>459.81142857142868</v>
      </c>
      <c r="G25" s="275">
        <f>IFERROR(VLOOKUP(G$5,Tech_Specs_Infra!$A$226:$D$231,COLUMN(Tech_Specs_Infra!$B$225)-COLUMN(Tech_Specs_Infra!$A$225)+1,FALSE),0)</f>
        <v>459.81142857142868</v>
      </c>
      <c r="H25" s="275">
        <f>IFERROR(VLOOKUP(H$5,Tech_Specs_Infra!$A$226:$D$231,COLUMN(Tech_Specs_Infra!$B$225)-COLUMN(Tech_Specs_Infra!$A$225)+1,FALSE),0)</f>
        <v>459.81142857142868</v>
      </c>
      <c r="I25" s="275">
        <f>IFERROR(VLOOKUP(I$5,Tech_Specs_Infra!$A$226:$D$231,COLUMN(Tech_Specs_Infra!$B$225)-COLUMN(Tech_Specs_Infra!$A$225)+1,FALSE),0)</f>
        <v>459.81142857142868</v>
      </c>
      <c r="J25" s="275">
        <f>IFERROR(VLOOKUP(J$5,Tech_Specs_Infra!$A$226:$D$231,COLUMN(Tech_Specs_Infra!$B$225)-COLUMN(Tech_Specs_Infra!$A$225)+1,FALSE),0)</f>
        <v>459.81142857142868</v>
      </c>
      <c r="K25" s="275">
        <f>IFERROR(VLOOKUP(K$5,Tech_Specs_Infra!$A$226:$D$231,COLUMN(Tech_Specs_Infra!$B$225)-COLUMN(Tech_Specs_Infra!$A$225)+1,FALSE),0)</f>
        <v>459.81142857142868</v>
      </c>
      <c r="L25" s="275">
        <f>IFERROR(VLOOKUP(L$5,Tech_Specs_Infra!$A$226:$D$231,COLUMN(Tech_Specs_Infra!$B$225)-COLUMN(Tech_Specs_Infra!$A$225)+1,FALSE),0)</f>
        <v>459.81142857142868</v>
      </c>
      <c r="M25" s="275">
        <f>IFERROR(VLOOKUP(M$5,Tech_Specs_Infra!$A$226:$D$231,COLUMN(Tech_Specs_Infra!$B$225)-COLUMN(Tech_Specs_Infra!$A$225)+1,FALSE),0)</f>
        <v>459.81142857142868</v>
      </c>
      <c r="N25" s="275">
        <f>IFERROR(VLOOKUP(N$5,Tech_Specs_Infra!$A$226:$D$231,COLUMN(Tech_Specs_Infra!$B$225)-COLUMN(Tech_Specs_Infra!$A$225)+1,FALSE),0)</f>
        <v>459.81142857142868</v>
      </c>
      <c r="O25" s="275">
        <f>IFERROR(VLOOKUP(O$5,Tech_Specs_Infra!$A$226:$D$231,COLUMN(Tech_Specs_Infra!$B$225)-COLUMN(Tech_Specs_Infra!$A$225)+1,FALSE),0)</f>
        <v>459.81142857142868</v>
      </c>
      <c r="P25" s="275">
        <f>IFERROR(VLOOKUP(P$5,Tech_Specs_Infra!$A$226:$D$231,COLUMN(Tech_Specs_Infra!$B$225)-COLUMN(Tech_Specs_Infra!$A$225)+1,FALSE),0)</f>
        <v>459.81142857142868</v>
      </c>
      <c r="Q25" s="275">
        <f>IFERROR(VLOOKUP(Q$5,Tech_Specs_Infra!$A$226:$D$231,COLUMN(Tech_Specs_Infra!$B$225)-COLUMN(Tech_Specs_Infra!$A$225)+1,FALSE),0)</f>
        <v>459.81142857142868</v>
      </c>
      <c r="R25" s="275">
        <f>IFERROR(VLOOKUP(R$5,Tech_Specs_Infra!$A$226:$D$231,COLUMN(Tech_Specs_Infra!$B$225)-COLUMN(Tech_Specs_Infra!$A$225)+1,FALSE),0)</f>
        <v>459.81142857142868</v>
      </c>
      <c r="S25" s="275">
        <f>IFERROR(VLOOKUP(S$5,Tech_Specs_Infra!$A$226:$D$231,COLUMN(Tech_Specs_Infra!$B$225)-COLUMN(Tech_Specs_Infra!$A$225)+1,FALSE),0)</f>
        <v>459.81142857142868</v>
      </c>
      <c r="T25" s="275">
        <f>IFERROR(VLOOKUP(T$5,Tech_Specs_Infra!$A$226:$D$231,COLUMN(Tech_Specs_Infra!$B$225)-COLUMN(Tech_Specs_Infra!$A$225)+1,FALSE),0)</f>
        <v>459.81142857142868</v>
      </c>
      <c r="U25" s="275">
        <f>IFERROR(VLOOKUP(U$5,Tech_Specs_Infra!$A$226:$D$231,COLUMN(Tech_Specs_Infra!$B$225)-COLUMN(Tech_Specs_Infra!$A$225)+1,FALSE),0)</f>
        <v>459.81142857142868</v>
      </c>
      <c r="V25" s="275">
        <f>IFERROR(VLOOKUP(V$5,Tech_Specs_Infra!$A$226:$D$231,COLUMN(Tech_Specs_Infra!$B$225)-COLUMN(Tech_Specs_Infra!$A$225)+1,FALSE),0)</f>
        <v>459.81142857142868</v>
      </c>
      <c r="W25" s="275">
        <f>IFERROR(VLOOKUP(W$5,Tech_Specs_Infra!$A$226:$D$231,COLUMN(Tech_Specs_Infra!$B$225)-COLUMN(Tech_Specs_Infra!$A$225)+1,FALSE),0)</f>
        <v>459.81142857142868</v>
      </c>
      <c r="X25" s="275">
        <f>IFERROR(VLOOKUP(X$5,Tech_Specs_Infra!$A$226:$D$231,COLUMN(Tech_Specs_Infra!$B$225)-COLUMN(Tech_Specs_Infra!$A$225)+1,FALSE),0)</f>
        <v>459.81142857142868</v>
      </c>
      <c r="Y25" s="275">
        <f>IFERROR(VLOOKUP(Y$5,Tech_Specs_Infra!$A$226:$D$231,COLUMN(Tech_Specs_Infra!$B$225)-COLUMN(Tech_Specs_Infra!$A$225)+1,FALSE),0)</f>
        <v>459.81142857142868</v>
      </c>
      <c r="Z25" s="275">
        <f>IFERROR(VLOOKUP(Z$5,Tech_Specs_Infra!$A$226:$D$231,COLUMN(Tech_Specs_Infra!$B$225)-COLUMN(Tech_Specs_Infra!$A$225)+1,FALSE),0)</f>
        <v>459.81142857142868</v>
      </c>
      <c r="AA25" s="275">
        <f>IFERROR(VLOOKUP(AA$5,Tech_Specs_Infra!$A$226:$D$231,COLUMN(Tech_Specs_Infra!$B$225)-COLUMN(Tech_Specs_Infra!$A$225)+1,FALSE),0)</f>
        <v>459.81142857142868</v>
      </c>
      <c r="AB25" s="275">
        <f>IFERROR(VLOOKUP(AB$5,Tech_Specs_Infra!$A$226:$D$231,COLUMN(Tech_Specs_Infra!$B$225)-COLUMN(Tech_Specs_Infra!$A$225)+1,FALSE),0)</f>
        <v>459.81142857142868</v>
      </c>
      <c r="AC25" s="275">
        <f>IFERROR(VLOOKUP(AC$5,Tech_Specs_Infra!$A$226:$D$231,COLUMN(Tech_Specs_Infra!$B$225)-COLUMN(Tech_Specs_Infra!$A$225)+1,FALSE),0)</f>
        <v>459.81142857142868</v>
      </c>
      <c r="AD25" s="275">
        <f>IFERROR(VLOOKUP(AD$5,Tech_Specs_Infra!$A$226:$D$231,COLUMN(Tech_Specs_Infra!$B$225)-COLUMN(Tech_Specs_Infra!$A$225)+1,FALSE),0)</f>
        <v>459.81142857142868</v>
      </c>
      <c r="AE25" s="275">
        <f>IFERROR(VLOOKUP(AE$5,Tech_Specs_Infra!$A$226:$D$231,COLUMN(Tech_Specs_Infra!$B$225)-COLUMN(Tech_Specs_Infra!$A$225)+1,FALSE),0)</f>
        <v>459.81142857142868</v>
      </c>
      <c r="AF25" s="275">
        <f>IFERROR(VLOOKUP(AF$5,Tech_Specs_Infra!$A$226:$D$231,COLUMN(Tech_Specs_Infra!$B$225)-COLUMN(Tech_Specs_Infra!$A$225)+1,FALSE),0)</f>
        <v>459.81142857142868</v>
      </c>
      <c r="AG25" s="275">
        <f>IFERROR(VLOOKUP(AG$5,Tech_Specs_Infra!$A$226:$D$231,COLUMN(Tech_Specs_Infra!$B$225)-COLUMN(Tech_Specs_Infra!$A$225)+1,FALSE),0)</f>
        <v>459.81142857142868</v>
      </c>
      <c r="AH25" s="275">
        <f>IFERROR(VLOOKUP(AH$5,Tech_Specs_Infra!$A$226:$D$231,COLUMN(Tech_Specs_Infra!$B$225)-COLUMN(Tech_Specs_Infra!$A$225)+1,FALSE),0)</f>
        <v>459.81142857142868</v>
      </c>
      <c r="AI25" s="275">
        <f>IFERROR(VLOOKUP(AI$5,Tech_Specs_Infra!$A$226:$D$231,COLUMN(Tech_Specs_Infra!$B$225)-COLUMN(Tech_Specs_Infra!$A$225)+1,FALSE),0)</f>
        <v>459.81142857142868</v>
      </c>
      <c r="AJ25" s="275">
        <f>IFERROR(VLOOKUP(AJ$5,Tech_Specs_Infra!$A$226:$D$231,COLUMN(Tech_Specs_Infra!$B$225)-COLUMN(Tech_Specs_Infra!$A$225)+1,FALSE),0)</f>
        <v>459.81142857142868</v>
      </c>
      <c r="AK25" s="275">
        <f>IFERROR(VLOOKUP(AK$5,Tech_Specs_Infra!$A$226:$D$231,COLUMN(Tech_Specs_Infra!$B$225)-COLUMN(Tech_Specs_Infra!$A$225)+1,FALSE),0)</f>
        <v>1110.649165528301</v>
      </c>
      <c r="AL25" s="275">
        <f>IFERROR(VLOOKUP(AL$5,Tech_Specs_Infra!$A$226:$D$231,COLUMN(Tech_Specs_Infra!$B$225)-COLUMN(Tech_Specs_Infra!$A$225)+1,FALSE),0)</f>
        <v>1110.649165528301</v>
      </c>
      <c r="AM25" s="275">
        <f>IFERROR(VLOOKUP(AM$5,Tech_Specs_Infra!$A$226:$D$231,COLUMN(Tech_Specs_Infra!$B$225)-COLUMN(Tech_Specs_Infra!$A$225)+1,FALSE),0)</f>
        <v>1110.649165528301</v>
      </c>
      <c r="AN25" s="275">
        <f>IFERROR(VLOOKUP(AN$5,Tech_Specs_Infra!$A$226:$D$231,COLUMN(Tech_Specs_Infra!$B$225)-COLUMN(Tech_Specs_Infra!$A$225)+1,FALSE),0)</f>
        <v>1110.649165528301</v>
      </c>
      <c r="AO25" s="275">
        <f>IFERROR(VLOOKUP(AO$5,Tech_Specs_Infra!$A$226:$D$231,COLUMN(Tech_Specs_Infra!$B$225)-COLUMN(Tech_Specs_Infra!$A$225)+1,FALSE),0)</f>
        <v>1110.649165528301</v>
      </c>
      <c r="AP25" s="275">
        <f>IFERROR(VLOOKUP(AP$5,Tech_Specs_Infra!$A$226:$D$231,COLUMN(Tech_Specs_Infra!$B$225)-COLUMN(Tech_Specs_Infra!$A$225)+1,FALSE),0)</f>
        <v>1110.649165528301</v>
      </c>
      <c r="AQ25" s="275">
        <f>IFERROR(VLOOKUP(AQ$5,Tech_Specs_Infra!$A$226:$D$231,COLUMN(Tech_Specs_Infra!$B$225)-COLUMN(Tech_Specs_Infra!$A$225)+1,FALSE),0)</f>
        <v>1110.649165528301</v>
      </c>
      <c r="AR25" s="275">
        <f>IFERROR(VLOOKUP(AR$5,Tech_Specs_Infra!$A$226:$D$231,COLUMN(Tech_Specs_Infra!$B$225)-COLUMN(Tech_Specs_Infra!$A$225)+1,FALSE),0)</f>
        <v>1110.649165528301</v>
      </c>
      <c r="AS25" s="275">
        <f>IFERROR(VLOOKUP(AS$5,Tech_Specs_Infra!$A$226:$D$231,COLUMN(Tech_Specs_Infra!$B$225)-COLUMN(Tech_Specs_Infra!$A$225)+1,FALSE),0)</f>
        <v>1110.649165528301</v>
      </c>
      <c r="AT25" s="275">
        <f>IFERROR(VLOOKUP(AT$5,Tech_Specs_Infra!$A$226:$D$231,COLUMN(Tech_Specs_Infra!$B$225)-COLUMN(Tech_Specs_Infra!$A$225)+1,FALSE),0)</f>
        <v>1110.649165528301</v>
      </c>
      <c r="AU25" s="275">
        <f>IFERROR(VLOOKUP(AU$5,Tech_Specs_Infra!$A$226:$D$231,COLUMN(Tech_Specs_Infra!$B$225)-COLUMN(Tech_Specs_Infra!$A$225)+1,FALSE),0)</f>
        <v>1110.649165528301</v>
      </c>
      <c r="AV25" s="275">
        <f>IFERROR(VLOOKUP(AV$5,Tech_Specs_Infra!$A$226:$D$231,COLUMN(Tech_Specs_Infra!$B$225)-COLUMN(Tech_Specs_Infra!$A$225)+1,FALSE),0)</f>
        <v>1110.649165528301</v>
      </c>
      <c r="AW25" s="275">
        <f>IFERROR(VLOOKUP(AW$5,Tech_Specs_Infra!$A$226:$D$231,COLUMN(Tech_Specs_Infra!$B$225)-COLUMN(Tech_Specs_Infra!$A$225)+1,FALSE),0)</f>
        <v>1110.649165528301</v>
      </c>
      <c r="AX25" s="275">
        <f>IFERROR(VLOOKUP(AX$5,Tech_Specs_Infra!$A$226:$D$231,COLUMN(Tech_Specs_Infra!$B$225)-COLUMN(Tech_Specs_Infra!$A$225)+1,FALSE),0)</f>
        <v>1110.649165528301</v>
      </c>
      <c r="AY25" s="275">
        <f>IFERROR(VLOOKUP(AY$5,Tech_Specs_Infra!$A$226:$D$231,COLUMN(Tech_Specs_Infra!$B$225)-COLUMN(Tech_Specs_Infra!$A$225)+1,FALSE),0)</f>
        <v>1110.649165528301</v>
      </c>
      <c r="AZ25" s="275">
        <f>IFERROR(VLOOKUP(AZ$5,Tech_Specs_Infra!$A$226:$D$231,COLUMN(Tech_Specs_Infra!$B$225)-COLUMN(Tech_Specs_Infra!$A$225)+1,FALSE),0)</f>
        <v>1110.649165528301</v>
      </c>
      <c r="BA25" s="275">
        <f>IFERROR(VLOOKUP(BA$5,Tech_Specs_Infra!$A$226:$D$231,COLUMN(Tech_Specs_Infra!$B$225)-COLUMN(Tech_Specs_Infra!$A$225)+1,FALSE),0)</f>
        <v>1110.649165528301</v>
      </c>
      <c r="BB25" s="275">
        <f>IFERROR(VLOOKUP(BB$5,Tech_Specs_Infra!$A$226:$D$231,COLUMN(Tech_Specs_Infra!$B$225)-COLUMN(Tech_Specs_Infra!$A$225)+1,FALSE),0)</f>
        <v>1110.649165528301</v>
      </c>
      <c r="BC25" s="275">
        <f>IFERROR(VLOOKUP(BC$5,Tech_Specs_Infra!$A$226:$D$231,COLUMN(Tech_Specs_Infra!$B$225)-COLUMN(Tech_Specs_Infra!$A$225)+1,FALSE),0)</f>
        <v>1110.649165528301</v>
      </c>
      <c r="BD25" s="275">
        <f>IFERROR(VLOOKUP(BD$5,Tech_Specs_Infra!$A$226:$D$231,COLUMN(Tech_Specs_Infra!$B$225)-COLUMN(Tech_Specs_Infra!$A$225)+1,FALSE),0)</f>
        <v>1110.649165528301</v>
      </c>
      <c r="BE25" s="275">
        <f>IFERROR(VLOOKUP(BE$5,Tech_Specs_Infra!$A$226:$D$231,COLUMN(Tech_Specs_Infra!$B$225)-COLUMN(Tech_Specs_Infra!$A$225)+1,FALSE),0)</f>
        <v>1110.649165528301</v>
      </c>
      <c r="BF25" s="275">
        <f>IFERROR(VLOOKUP(BF$5,Tech_Specs_Infra!$A$226:$D$231,COLUMN(Tech_Specs_Infra!$B$225)-COLUMN(Tech_Specs_Infra!$A$225)+1,FALSE),0)</f>
        <v>1110.649165528301</v>
      </c>
      <c r="BG25" s="275">
        <f>IFERROR(VLOOKUP(BG$5,Tech_Specs_Infra!$A$226:$D$231,COLUMN(Tech_Specs_Infra!$B$225)-COLUMN(Tech_Specs_Infra!$A$225)+1,FALSE),0)</f>
        <v>1110.649165528301</v>
      </c>
      <c r="BH25" s="275">
        <f>IFERROR(VLOOKUP(BH$5,Tech_Specs_Infra!$A$226:$D$231,COLUMN(Tech_Specs_Infra!$B$225)-COLUMN(Tech_Specs_Infra!$A$225)+1,FALSE),0)</f>
        <v>1110.649165528301</v>
      </c>
      <c r="BI25" s="275">
        <f>IFERROR(VLOOKUP(BI$5,Tech_Specs_Infra!$A$226:$D$231,COLUMN(Tech_Specs_Infra!$B$225)-COLUMN(Tech_Specs_Infra!$A$225)+1,FALSE),0)</f>
        <v>1110.649165528301</v>
      </c>
      <c r="BJ25" s="275">
        <f>IFERROR(VLOOKUP(BJ$5,Tech_Specs_Infra!$A$226:$D$231,COLUMN(Tech_Specs_Infra!$B$225)-COLUMN(Tech_Specs_Infra!$A$225)+1,FALSE),0)</f>
        <v>1110.649165528301</v>
      </c>
      <c r="BK25" s="275">
        <f>IFERROR(VLOOKUP(BK$5,Tech_Specs_Infra!$A$226:$D$231,COLUMN(Tech_Specs_Infra!$B$225)-COLUMN(Tech_Specs_Infra!$A$225)+1,FALSE),0)</f>
        <v>1110.649165528301</v>
      </c>
      <c r="BL25" s="275">
        <f>IFERROR(VLOOKUP(BL$5,Tech_Specs_Infra!$A$226:$D$231,COLUMN(Tech_Specs_Infra!$B$225)-COLUMN(Tech_Specs_Infra!$A$225)+1,FALSE),0)</f>
        <v>1110.649165528301</v>
      </c>
      <c r="BM25" s="275">
        <f>IFERROR(VLOOKUP(BM$5,Tech_Specs_Infra!$A$226:$D$231,COLUMN(Tech_Specs_Infra!$B$225)-COLUMN(Tech_Specs_Infra!$A$225)+1,FALSE),0)</f>
        <v>1110.649165528301</v>
      </c>
      <c r="BN25" s="275">
        <f>IFERROR(VLOOKUP(BN$5,Tech_Specs_Infra!$A$226:$D$231,COLUMN(Tech_Specs_Infra!$B$225)-COLUMN(Tech_Specs_Infra!$A$225)+1,FALSE),0)</f>
        <v>1110.649165528301</v>
      </c>
      <c r="BO25" s="275">
        <f>IFERROR(VLOOKUP(BO$5,Tech_Specs_Infra!$A$226:$D$231,COLUMN(Tech_Specs_Infra!$B$225)-COLUMN(Tech_Specs_Infra!$A$225)+1,FALSE),0)</f>
        <v>1110.649165528301</v>
      </c>
      <c r="BP25" s="275">
        <f>IFERROR(VLOOKUP(BP$5,Tech_Specs_Infra!$A$226:$D$231,COLUMN(Tech_Specs_Infra!$B$225)-COLUMN(Tech_Specs_Infra!$A$225)+1,FALSE),0)</f>
        <v>1110.649165528301</v>
      </c>
      <c r="BQ25" s="275">
        <f>IFERROR(VLOOKUP(BQ$5,Tech_Specs_Infra!$A$226:$D$231,COLUMN(Tech_Specs_Infra!$B$225)-COLUMN(Tech_Specs_Infra!$A$225)+1,FALSE),0)</f>
        <v>1110.649165528301</v>
      </c>
      <c r="BR25" s="275">
        <f>IFERROR(VLOOKUP(BR$5,Tech_Specs_Infra!$A$226:$D$231,COLUMN(Tech_Specs_Infra!$B$225)-COLUMN(Tech_Specs_Infra!$A$225)+1,FALSE),0)</f>
        <v>1110.649165528301</v>
      </c>
      <c r="BS25" s="275">
        <f>IFERROR(VLOOKUP(BS$5,Tech_Specs_Infra!$A$226:$D$231,COLUMN(Tech_Specs_Infra!$B$225)-COLUMN(Tech_Specs_Infra!$A$225)+1,FALSE),0)</f>
        <v>1110.649165528301</v>
      </c>
      <c r="BT25" s="275">
        <f>IFERROR(VLOOKUP(BT$5,Tech_Specs_Infra!$A$226:$D$231,COLUMN(Tech_Specs_Infra!$B$225)-COLUMN(Tech_Specs_Infra!$A$225)+1,FALSE),0)</f>
        <v>1110.649165528301</v>
      </c>
      <c r="BU25" s="275">
        <f>IFERROR(VLOOKUP(BU$5,Tech_Specs_Infra!$A$226:$D$231,COLUMN(Tech_Specs_Infra!$B$225)-COLUMN(Tech_Specs_Infra!$A$225)+1,FALSE),0)</f>
        <v>1110.649165528301</v>
      </c>
      <c r="BV25" s="275">
        <f>IFERROR(VLOOKUP(BV$5,Tech_Specs_Infra!$A$226:$D$231,COLUMN(Tech_Specs_Infra!$B$225)-COLUMN(Tech_Specs_Infra!$A$225)+1,FALSE),0)</f>
        <v>1110.649165528301</v>
      </c>
      <c r="BW25" s="275">
        <f>IFERROR(VLOOKUP(BW$5,Tech_Specs_Infra!$A$226:$D$231,COLUMN(Tech_Specs_Infra!$B$225)-COLUMN(Tech_Specs_Infra!$A$225)+1,FALSE),0)</f>
        <v>1110.649165528301</v>
      </c>
      <c r="BX25" s="275">
        <f>IFERROR(VLOOKUP(BX$5,Tech_Specs_Infra!$A$226:$D$231,COLUMN(Tech_Specs_Infra!$B$225)-COLUMN(Tech_Specs_Infra!$A$225)+1,FALSE),0)</f>
        <v>1110.649165528301</v>
      </c>
      <c r="BY25" s="275">
        <f>IFERROR(VLOOKUP(BY$5,Tech_Specs_Infra!$A$226:$D$231,COLUMN(Tech_Specs_Infra!$B$225)-COLUMN(Tech_Specs_Infra!$A$225)+1,FALSE),0)</f>
        <v>1110.649165528301</v>
      </c>
      <c r="BZ25" s="275">
        <f>IFERROR(VLOOKUP(BZ$5,Tech_Specs_Infra!$A$226:$D$231,COLUMN(Tech_Specs_Infra!$B$225)-COLUMN(Tech_Specs_Infra!$A$225)+1,FALSE),0)</f>
        <v>1110.649165528301</v>
      </c>
      <c r="CA25" s="275">
        <f>IFERROR(VLOOKUP(CA$5,Tech_Specs_Infra!$A$226:$D$231,COLUMN(Tech_Specs_Infra!$B$225)-COLUMN(Tech_Specs_Infra!$A$225)+1,FALSE),0)</f>
        <v>1110.649165528301</v>
      </c>
      <c r="CB25" s="275">
        <f>IFERROR(VLOOKUP(CB$5,Tech_Specs_Infra!$A$226:$D$231,COLUMN(Tech_Specs_Infra!$B$225)-COLUMN(Tech_Specs_Infra!$A$225)+1,FALSE),0)</f>
        <v>1110.649165528301</v>
      </c>
      <c r="CC25" s="275">
        <f>IFERROR(VLOOKUP(CC$5,Tech_Specs_Infra!$A$226:$D$231,COLUMN(Tech_Specs_Infra!$B$225)-COLUMN(Tech_Specs_Infra!$A$225)+1,FALSE),0)</f>
        <v>1110.649165528301</v>
      </c>
      <c r="CD25" s="275">
        <f>IFERROR(VLOOKUP(CD$5,Tech_Specs_Infra!$A$226:$D$231,COLUMN(Tech_Specs_Infra!$B$225)-COLUMN(Tech_Specs_Infra!$A$225)+1,FALSE),0)</f>
        <v>1110.649165528301</v>
      </c>
      <c r="CE25" s="275">
        <f>IFERROR(VLOOKUP(CE$5,Tech_Specs_Infra!$A$226:$D$231,COLUMN(Tech_Specs_Infra!$B$225)-COLUMN(Tech_Specs_Infra!$A$225)+1,FALSE),0)</f>
        <v>1110.649165528301</v>
      </c>
      <c r="CF25" s="275">
        <f>IFERROR(VLOOKUP(CF$5,Tech_Specs_Infra!$A$226:$D$231,COLUMN(Tech_Specs_Infra!$B$225)-COLUMN(Tech_Specs_Infra!$A$225)+1,FALSE),0)</f>
        <v>1110.649165528301</v>
      </c>
      <c r="CG25" s="275">
        <f>IFERROR(VLOOKUP(CG$5,Tech_Specs_Infra!$A$226:$D$231,COLUMN(Tech_Specs_Infra!$B$225)-COLUMN(Tech_Specs_Infra!$A$225)+1,FALSE),0)</f>
        <v>1110.649165528301</v>
      </c>
      <c r="CH25" s="275">
        <f>IFERROR(VLOOKUP(CH$5,Tech_Specs_Infra!$A$226:$D$231,COLUMN(Tech_Specs_Infra!$B$225)-COLUMN(Tech_Specs_Infra!$A$225)+1,FALSE),0)</f>
        <v>1110.649165528301</v>
      </c>
      <c r="CI25" s="275">
        <f>IFERROR(VLOOKUP(CI$5,Tech_Specs_Infra!$A$226:$D$231,COLUMN(Tech_Specs_Infra!$B$225)-COLUMN(Tech_Specs_Infra!$A$225)+1,FALSE),0)</f>
        <v>1110.649165528301</v>
      </c>
      <c r="CJ25" s="275">
        <f>IFERROR(VLOOKUP(CJ$5,Tech_Specs_Infra!$A$226:$D$231,COLUMN(Tech_Specs_Infra!$B$225)-COLUMN(Tech_Specs_Infra!$A$225)+1,FALSE),0)</f>
        <v>1110.649165528301</v>
      </c>
      <c r="CK25" s="275">
        <f>IFERROR(VLOOKUP(CK$5,Tech_Specs_Infra!$A$226:$D$231,COLUMN(Tech_Specs_Infra!$B$225)-COLUMN(Tech_Specs_Infra!$A$225)+1,FALSE),0)</f>
        <v>1110.649165528301</v>
      </c>
      <c r="CL25" s="275">
        <f>IFERROR(VLOOKUP(CL$5,Tech_Specs_Infra!$A$226:$D$231,COLUMN(Tech_Specs_Infra!$B$225)-COLUMN(Tech_Specs_Infra!$A$225)+1,FALSE),0)</f>
        <v>1110.649165528301</v>
      </c>
      <c r="CM25" s="275">
        <f>IFERROR(VLOOKUP(CM$5,Tech_Specs_Infra!$A$226:$D$231,COLUMN(Tech_Specs_Infra!$B$225)-COLUMN(Tech_Specs_Infra!$A$225)+1,FALSE),0)</f>
        <v>1110.649165528301</v>
      </c>
      <c r="CN25" s="275">
        <f>IFERROR(VLOOKUP(CN$5,Tech_Specs_Infra!$A$226:$D$231,COLUMN(Tech_Specs_Infra!$B$225)-COLUMN(Tech_Specs_Infra!$A$225)+1,FALSE),0)</f>
        <v>1110.649165528301</v>
      </c>
      <c r="CO25" s="275">
        <f>IFERROR(VLOOKUP(CO$5,Tech_Specs_Infra!$A$226:$D$231,COLUMN(Tech_Specs_Infra!$B$225)-COLUMN(Tech_Specs_Infra!$A$225)+1,FALSE),0)</f>
        <v>1110.649165528301</v>
      </c>
      <c r="CP25" s="275">
        <f>IFERROR(VLOOKUP(CP$5,Tech_Specs_Infra!$A$226:$D$231,COLUMN(Tech_Specs_Infra!$B$225)-COLUMN(Tech_Specs_Infra!$A$225)+1,FALSE),0)</f>
        <v>1110.649165528301</v>
      </c>
      <c r="CQ25" s="275">
        <f>IFERROR(VLOOKUP(CQ$5,Tech_Specs_Infra!$A$226:$D$231,COLUMN(Tech_Specs_Infra!$B$225)-COLUMN(Tech_Specs_Infra!$A$225)+1,FALSE),0)</f>
        <v>1110.649165528301</v>
      </c>
      <c r="CR25" s="275">
        <f>IFERROR(VLOOKUP(CR$5,Tech_Specs_Infra!$A$226:$D$231,COLUMN(Tech_Specs_Infra!$B$225)-COLUMN(Tech_Specs_Infra!$A$225)+1,FALSE),0)</f>
        <v>1110.649165528301</v>
      </c>
      <c r="CS25" s="275">
        <f>IFERROR(VLOOKUP(CS$5,Tech_Specs_Infra!$A$226:$D$231,COLUMN(Tech_Specs_Infra!$B$225)-COLUMN(Tech_Specs_Infra!$A$225)+1,FALSE),0)</f>
        <v>1110.649165528301</v>
      </c>
      <c r="CT25" s="275">
        <f>IFERROR(VLOOKUP(CT$5,Tech_Specs_Infra!$A$226:$D$231,COLUMN(Tech_Specs_Infra!$B$225)-COLUMN(Tech_Specs_Infra!$A$225)+1,FALSE),0)</f>
        <v>1110.649165528301</v>
      </c>
      <c r="CU25" s="275">
        <f>IFERROR(VLOOKUP(CU$5,Tech_Specs_Infra!$A$226:$D$231,COLUMN(Tech_Specs_Infra!$B$225)-COLUMN(Tech_Specs_Infra!$A$225)+1,FALSE),0)</f>
        <v>1110.649165528301</v>
      </c>
      <c r="CV25" s="275">
        <f>IFERROR(VLOOKUP(CV$5,Tech_Specs_Infra!$A$226:$D$231,COLUMN(Tech_Specs_Infra!$B$225)-COLUMN(Tech_Specs_Infra!$A$225)+1,FALSE),0)</f>
        <v>1110.649165528301</v>
      </c>
      <c r="CW25" s="275">
        <f>IFERROR(VLOOKUP(CW$5,Tech_Specs_Infra!$A$226:$D$231,COLUMN(Tech_Specs_Infra!$B$225)-COLUMN(Tech_Specs_Infra!$A$225)+1,FALSE),0)</f>
        <v>1110.649165528301</v>
      </c>
      <c r="CX25" s="275">
        <f>IFERROR(VLOOKUP(CX$5,Tech_Specs_Infra!$A$226:$D$231,COLUMN(Tech_Specs_Infra!$B$225)-COLUMN(Tech_Specs_Infra!$A$225)+1,FALSE),0)</f>
        <v>1110.649165528301</v>
      </c>
      <c r="CY25" s="275">
        <f>IFERROR(VLOOKUP(CY$5,Tech_Specs_Infra!$A$226:$D$231,COLUMN(Tech_Specs_Infra!$B$225)-COLUMN(Tech_Specs_Infra!$A$225)+1,FALSE),0)</f>
        <v>1110.649165528301</v>
      </c>
      <c r="CZ25" s="275">
        <f>IFERROR(VLOOKUP(CZ$5,Tech_Specs_Infra!$A$226:$D$231,COLUMN(Tech_Specs_Infra!$B$225)-COLUMN(Tech_Specs_Infra!$A$225)+1,FALSE),0)</f>
        <v>1110.649165528301</v>
      </c>
      <c r="DA25" s="275">
        <f>IFERROR(VLOOKUP(DA$5,Tech_Specs_Infra!$A$226:$D$231,COLUMN(Tech_Specs_Infra!$B$225)-COLUMN(Tech_Specs_Infra!$A$225)+1,FALSE),0)</f>
        <v>1110.649165528301</v>
      </c>
      <c r="DB25" s="275">
        <f>IFERROR(VLOOKUP(DB$5,Tech_Specs_Infra!$A$226:$D$231,COLUMN(Tech_Specs_Infra!$B$225)-COLUMN(Tech_Specs_Infra!$A$225)+1,FALSE),0)</f>
        <v>1110.649165528301</v>
      </c>
      <c r="DC25" s="275">
        <f>IFERROR(VLOOKUP(DC$5,Tech_Specs_Infra!$A$226:$D$231,COLUMN(Tech_Specs_Infra!$B$225)-COLUMN(Tech_Specs_Infra!$A$225)+1,FALSE),0)</f>
        <v>1110.649165528301</v>
      </c>
      <c r="DD25" s="275">
        <f>IFERROR(VLOOKUP(DD$5,Tech_Specs_Infra!$A$226:$D$231,COLUMN(Tech_Specs_Infra!$B$225)-COLUMN(Tech_Specs_Infra!$A$225)+1,FALSE),0)</f>
        <v>1110.649165528301</v>
      </c>
      <c r="DE25" s="275">
        <f>IFERROR(VLOOKUP(DE$5,Tech_Specs_Infra!$A$226:$D$231,COLUMN(Tech_Specs_Infra!$B$225)-COLUMN(Tech_Specs_Infra!$A$225)+1,FALSE),0)</f>
        <v>1110.649165528301</v>
      </c>
      <c r="DF25" s="275">
        <f>IFERROR(VLOOKUP(DF$5,Tech_Specs_Infra!$A$226:$D$231,COLUMN(Tech_Specs_Infra!$B$225)-COLUMN(Tech_Specs_Infra!$A$225)+1,FALSE),0)</f>
        <v>1110.649165528301</v>
      </c>
      <c r="DG25" s="275"/>
      <c r="DH25" s="275">
        <f>IFERROR(VLOOKUP(DH$5,Tech_Specs_Infra!$A$226:$D$231,COLUMN(Tech_Specs_Infra!$B$225)-COLUMN(Tech_Specs_Infra!$A$225)+1,FALSE),0)</f>
        <v>1110.649165528301</v>
      </c>
      <c r="DI25" s="275">
        <f>IFERROR(VLOOKUP(DI$5,Tech_Specs_Infra!$A$226:$D$231,COLUMN(Tech_Specs_Infra!$B$225)-COLUMN(Tech_Specs_Infra!$A$225)+1,FALSE),0)</f>
        <v>1110.649165528301</v>
      </c>
      <c r="DJ25" s="275">
        <f>IFERROR(VLOOKUP(DJ$5,Tech_Specs_Infra!$A$226:$D$231,COLUMN(Tech_Specs_Infra!$B$225)-COLUMN(Tech_Specs_Infra!$A$225)+1,FALSE),0)</f>
        <v>1110.649165528301</v>
      </c>
      <c r="DK25" s="275">
        <f>IFERROR(VLOOKUP(DK$5,Tech_Specs_Infra!$A$226:$D$231,COLUMN(Tech_Specs_Infra!$B$225)-COLUMN(Tech_Specs_Infra!$A$225)+1,FALSE),0)</f>
        <v>230.64687168610814</v>
      </c>
      <c r="DL25" s="275">
        <f>IFERROR(VLOOKUP(DL$5,Tech_Specs_Infra!$A$226:$D$231,COLUMN(Tech_Specs_Infra!$B$225)-COLUMN(Tech_Specs_Infra!$A$225)+1,FALSE),0)</f>
        <v>230.64687168610814</v>
      </c>
      <c r="DM25" s="275">
        <f>IFERROR(VLOOKUP(DM$5,Tech_Specs_Infra!$A$226:$D$231,COLUMN(Tech_Specs_Infra!$B$225)-COLUMN(Tech_Specs_Infra!$A$225)+1,FALSE),0)</f>
        <v>230.64687168610814</v>
      </c>
      <c r="DN25" s="275">
        <f>IFERROR(VLOOKUP(DN$5,Tech_Specs_Infra!$A$226:$D$231,COLUMN(Tech_Specs_Infra!$B$225)-COLUMN(Tech_Specs_Infra!$A$225)+1,FALSE),0)</f>
        <v>230.64687168610814</v>
      </c>
      <c r="DO25" s="275">
        <f>IFERROR(VLOOKUP(DO$5,Tech_Specs_Infra!$A$226:$D$231,COLUMN(Tech_Specs_Infra!$B$225)-COLUMN(Tech_Specs_Infra!$A$225)+1,FALSE),0)</f>
        <v>230.64687168610814</v>
      </c>
      <c r="DP25" s="275">
        <f>IFERROR(VLOOKUP(DP$5,Tech_Specs_Infra!$A$226:$D$231,COLUMN(Tech_Specs_Infra!$B$225)-COLUMN(Tech_Specs_Infra!$A$225)+1,FALSE),0)</f>
        <v>230.64687168610814</v>
      </c>
      <c r="DQ25" s="275">
        <f>IFERROR(VLOOKUP(DQ$5,Tech_Specs_Infra!$A$226:$D$231,COLUMN(Tech_Specs_Infra!$B$225)-COLUMN(Tech_Specs_Infra!$A$225)+1,FALSE),0)</f>
        <v>230.64687168610814</v>
      </c>
      <c r="DR25" s="275">
        <f>IFERROR(VLOOKUP(DR$5,Tech_Specs_Infra!$A$226:$D$231,COLUMN(Tech_Specs_Infra!$B$225)-COLUMN(Tech_Specs_Infra!$A$225)+1,FALSE),0)</f>
        <v>230.64687168610814</v>
      </c>
      <c r="DS25" s="275">
        <f>IFERROR(VLOOKUP(DS$5,Tech_Specs_Infra!$A$226:$D$231,COLUMN(Tech_Specs_Infra!$B$225)-COLUMN(Tech_Specs_Infra!$A$225)+1,FALSE),0)</f>
        <v>230.64687168610814</v>
      </c>
      <c r="DT25" s="275">
        <f>IFERROR(VLOOKUP(DT$5,Tech_Specs_Infra!$A$226:$D$231,COLUMN(Tech_Specs_Infra!$B$225)-COLUMN(Tech_Specs_Infra!$A$225)+1,FALSE),0)</f>
        <v>230.64687168610814</v>
      </c>
      <c r="DU25" s="275">
        <f>IFERROR(VLOOKUP(DU$5,Tech_Specs_Infra!$A$226:$D$231,COLUMN(Tech_Specs_Infra!$B$225)-COLUMN(Tech_Specs_Infra!$A$225)+1,FALSE),0)</f>
        <v>230.64687168610814</v>
      </c>
      <c r="DV25" s="275">
        <f>IFERROR(VLOOKUP(DV$5,Tech_Specs_Infra!$A$226:$D$231,COLUMN(Tech_Specs_Infra!$B$225)-COLUMN(Tech_Specs_Infra!$A$225)+1,FALSE),0)</f>
        <v>230.64687168610814</v>
      </c>
      <c r="DW25" s="275">
        <f>IFERROR(VLOOKUP(DW$5,Tech_Specs_Infra!$A$226:$D$231,COLUMN(Tech_Specs_Infra!$B$225)-COLUMN(Tech_Specs_Infra!$A$225)+1,FALSE),0)</f>
        <v>230.64687168610814</v>
      </c>
      <c r="DX25" s="275">
        <f>IFERROR(VLOOKUP(DX$5,Tech_Specs_Infra!$A$226:$D$231,COLUMN(Tech_Specs_Infra!$B$225)-COLUMN(Tech_Specs_Infra!$A$225)+1,FALSE),0)</f>
        <v>103.98009950248756</v>
      </c>
      <c r="DY25" s="275">
        <f>IFERROR(VLOOKUP(DY$5,Tech_Specs_Infra!$A$226:$D$231,COLUMN(Tech_Specs_Infra!$B$225)-COLUMN(Tech_Specs_Infra!$A$225)+1,FALSE),0)</f>
        <v>103.98009950248756</v>
      </c>
      <c r="DZ25" s="311">
        <f>ED25*0.75</f>
        <v>77.985074626865668</v>
      </c>
      <c r="EA25" s="311">
        <f>ED25*1.25</f>
        <v>129.97512437810946</v>
      </c>
      <c r="EB25" s="275">
        <f>IFERROR(VLOOKUP(EB$5,Tech_Specs_Infra!$A$226:$D$231,COLUMN(Tech_Specs_Infra!$B$225)-COLUMN(Tech_Specs_Infra!$A$225)+1,FALSE),0)</f>
        <v>103.98009950248756</v>
      </c>
      <c r="EC25" s="275">
        <f>IFERROR(VLOOKUP(EC$5,Tech_Specs_Infra!$A$226:$D$231,COLUMN(Tech_Specs_Infra!$B$225)-COLUMN(Tech_Specs_Infra!$A$225)+1,FALSE),0)</f>
        <v>103.98009950248756</v>
      </c>
      <c r="ED25" s="275">
        <f>IFERROR(VLOOKUP(ED$5,Tech_Specs_Infra!$A$226:$D$231,COLUMN(Tech_Specs_Infra!$B$225)-COLUMN(Tech_Specs_Infra!$A$225)+1,FALSE),0)</f>
        <v>103.98009950248756</v>
      </c>
    </row>
    <row r="26" spans="1:134" x14ac:dyDescent="0.3">
      <c r="A26" s="115" t="s">
        <v>807</v>
      </c>
      <c r="D26" s="275">
        <f>IFERROR(VLOOKUP(D$6,Tech_Specs_Infra!$A$226:$D$231,COLUMN(Tech_Specs_Infra!$B$225)-COLUMN(Tech_Specs_Infra!$A$225)+1,FALSE),0)</f>
        <v>1110.649165528301</v>
      </c>
      <c r="E26" s="275">
        <f>IFERROR(VLOOKUP(E$6,Tech_Specs_Infra!$A$226:$D$231,COLUMN(Tech_Specs_Infra!$B$225)-COLUMN(Tech_Specs_Infra!$A$225)+1,FALSE),0)</f>
        <v>1110.649165528301</v>
      </c>
      <c r="F26" s="275">
        <f>IFERROR(VLOOKUP(F$6,Tech_Specs_Infra!$A$226:$D$231,COLUMN(Tech_Specs_Infra!$B$225)-COLUMN(Tech_Specs_Infra!$A$225)+1,FALSE),0)</f>
        <v>1110.649165528301</v>
      </c>
      <c r="G26" s="275">
        <f>IFERROR(VLOOKUP(G$6,Tech_Specs_Infra!$A$226:$D$231,COLUMN(Tech_Specs_Infra!$B$225)-COLUMN(Tech_Specs_Infra!$A$225)+1,FALSE),0)</f>
        <v>1110.649165528301</v>
      </c>
      <c r="H26" s="275">
        <f>IFERROR(VLOOKUP(H$6,Tech_Specs_Infra!$A$226:$D$231,COLUMN(Tech_Specs_Infra!$B$225)-COLUMN(Tech_Specs_Infra!$A$225)+1,FALSE),0)</f>
        <v>1110.649165528301</v>
      </c>
      <c r="I26" s="275">
        <f>IFERROR(VLOOKUP(I$6,Tech_Specs_Infra!$A$226:$D$231,COLUMN(Tech_Specs_Infra!$B$225)-COLUMN(Tech_Specs_Infra!$A$225)+1,FALSE),0)</f>
        <v>1110.649165528301</v>
      </c>
      <c r="J26" s="275">
        <f>IFERROR(VLOOKUP(J$6,Tech_Specs_Infra!$A$226:$D$231,COLUMN(Tech_Specs_Infra!$B$225)-COLUMN(Tech_Specs_Infra!$A$225)+1,FALSE),0)</f>
        <v>1110.649165528301</v>
      </c>
      <c r="K26" s="275">
        <f>IFERROR(VLOOKUP(K$6,Tech_Specs_Infra!$A$226:$D$231,COLUMN(Tech_Specs_Infra!$B$225)-COLUMN(Tech_Specs_Infra!$A$225)+1,FALSE),0)</f>
        <v>1110.649165528301</v>
      </c>
      <c r="L26" s="275">
        <f>IFERROR(VLOOKUP(L$6,Tech_Specs_Infra!$A$226:$D$231,COLUMN(Tech_Specs_Infra!$B$225)-COLUMN(Tech_Specs_Infra!$A$225)+1,FALSE),0)</f>
        <v>1110.649165528301</v>
      </c>
      <c r="M26" s="275">
        <f>IFERROR(VLOOKUP(M$6,Tech_Specs_Infra!$A$226:$D$231,COLUMN(Tech_Specs_Infra!$B$225)-COLUMN(Tech_Specs_Infra!$A$225)+1,FALSE),0)</f>
        <v>1110.649165528301</v>
      </c>
      <c r="N26" s="275">
        <f>IFERROR(VLOOKUP(N$6,Tech_Specs_Infra!$A$226:$D$231,COLUMN(Tech_Specs_Infra!$B$225)-COLUMN(Tech_Specs_Infra!$A$225)+1,FALSE),0)</f>
        <v>1110.649165528301</v>
      </c>
      <c r="O26" s="275">
        <f>IFERROR(VLOOKUP(O$6,Tech_Specs_Infra!$A$226:$D$231,COLUMN(Tech_Specs_Infra!$B$225)-COLUMN(Tech_Specs_Infra!$A$225)+1,FALSE),0)</f>
        <v>1110.649165528301</v>
      </c>
      <c r="P26" s="275">
        <f>IFERROR(VLOOKUP(P$6,Tech_Specs_Infra!$A$226:$D$231,COLUMN(Tech_Specs_Infra!$B$225)-COLUMN(Tech_Specs_Infra!$A$225)+1,FALSE),0)</f>
        <v>1110.649165528301</v>
      </c>
      <c r="Q26" s="275">
        <f>IFERROR(VLOOKUP(Q$6,Tech_Specs_Infra!$A$226:$D$231,COLUMN(Tech_Specs_Infra!$B$225)-COLUMN(Tech_Specs_Infra!$A$225)+1,FALSE),0)</f>
        <v>1110.649165528301</v>
      </c>
      <c r="R26" s="275">
        <f>IFERROR(VLOOKUP(R$6,Tech_Specs_Infra!$A$226:$D$231,COLUMN(Tech_Specs_Infra!$B$225)-COLUMN(Tech_Specs_Infra!$A$225)+1,FALSE),0)</f>
        <v>1110.649165528301</v>
      </c>
      <c r="S26" s="275">
        <f>IFERROR(VLOOKUP(S$6,Tech_Specs_Infra!$A$226:$D$231,COLUMN(Tech_Specs_Infra!$B$225)-COLUMN(Tech_Specs_Infra!$A$225)+1,FALSE),0)</f>
        <v>1110.649165528301</v>
      </c>
      <c r="T26" s="275">
        <f>IFERROR(VLOOKUP(T$6,Tech_Specs_Infra!$A$226:$D$231,COLUMN(Tech_Specs_Infra!$B$225)-COLUMN(Tech_Specs_Infra!$A$225)+1,FALSE),0)</f>
        <v>1110.649165528301</v>
      </c>
      <c r="U26" s="275">
        <f>IFERROR(VLOOKUP(U$6,Tech_Specs_Infra!$A$226:$D$231,COLUMN(Tech_Specs_Infra!$B$225)-COLUMN(Tech_Specs_Infra!$A$225)+1,FALSE),0)</f>
        <v>1110.649165528301</v>
      </c>
      <c r="V26" s="275">
        <f>IFERROR(VLOOKUP(V$6,Tech_Specs_Infra!$A$226:$D$231,COLUMN(Tech_Specs_Infra!$B$225)-COLUMN(Tech_Specs_Infra!$A$225)+1,FALSE),0)</f>
        <v>1110.649165528301</v>
      </c>
      <c r="W26" s="275">
        <f>IFERROR(VLOOKUP(W$6,Tech_Specs_Infra!$A$226:$D$231,COLUMN(Tech_Specs_Infra!$B$225)-COLUMN(Tech_Specs_Infra!$A$225)+1,FALSE),0)</f>
        <v>1110.649165528301</v>
      </c>
      <c r="X26" s="275">
        <f>IFERROR(VLOOKUP(X$6,Tech_Specs_Infra!$A$226:$D$231,COLUMN(Tech_Specs_Infra!$B$225)-COLUMN(Tech_Specs_Infra!$A$225)+1,FALSE),0)</f>
        <v>1110.649165528301</v>
      </c>
      <c r="Y26" s="275">
        <f>IFERROR(VLOOKUP(Y$6,Tech_Specs_Infra!$A$226:$D$231,COLUMN(Tech_Specs_Infra!$B$225)-COLUMN(Tech_Specs_Infra!$A$225)+1,FALSE),0)</f>
        <v>1110.649165528301</v>
      </c>
      <c r="Z26" s="275">
        <f>IFERROR(VLOOKUP(Z$6,Tech_Specs_Infra!$A$226:$D$231,COLUMN(Tech_Specs_Infra!$B$225)-COLUMN(Tech_Specs_Infra!$A$225)+1,FALSE),0)</f>
        <v>1110.649165528301</v>
      </c>
      <c r="AA26" s="275">
        <f>IFERROR(VLOOKUP(AA$6,Tech_Specs_Infra!$A$226:$D$231,COLUMN(Tech_Specs_Infra!$B$225)-COLUMN(Tech_Specs_Infra!$A$225)+1,FALSE),0)</f>
        <v>1110.649165528301</v>
      </c>
      <c r="AB26" s="275">
        <f>IFERROR(VLOOKUP(AB$6,Tech_Specs_Infra!$A$226:$D$231,COLUMN(Tech_Specs_Infra!$B$225)-COLUMN(Tech_Specs_Infra!$A$225)+1,FALSE),0)</f>
        <v>1110.649165528301</v>
      </c>
      <c r="AC26" s="275">
        <f>IFERROR(VLOOKUP(AC$6,Tech_Specs_Infra!$A$226:$D$231,COLUMN(Tech_Specs_Infra!$B$225)-COLUMN(Tech_Specs_Infra!$A$225)+1,FALSE),0)</f>
        <v>1110.649165528301</v>
      </c>
      <c r="AD26" s="275">
        <f>IFERROR(VLOOKUP(AD$6,Tech_Specs_Infra!$A$226:$D$231,COLUMN(Tech_Specs_Infra!$B$225)-COLUMN(Tech_Specs_Infra!$A$225)+1,FALSE),0)</f>
        <v>1110.649165528301</v>
      </c>
      <c r="AE26" s="275">
        <f>IFERROR(VLOOKUP(AE$6,Tech_Specs_Infra!$A$226:$D$231,COLUMN(Tech_Specs_Infra!$B$225)-COLUMN(Tech_Specs_Infra!$A$225)+1,FALSE),0)</f>
        <v>1110.649165528301</v>
      </c>
      <c r="AF26" s="275">
        <f>IFERROR(VLOOKUP(AF$6,Tech_Specs_Infra!$A$226:$D$231,COLUMN(Tech_Specs_Infra!$B$225)-COLUMN(Tech_Specs_Infra!$A$225)+1,FALSE),0)</f>
        <v>1110.649165528301</v>
      </c>
      <c r="AG26" s="275">
        <f>IFERROR(VLOOKUP(AG$6,Tech_Specs_Infra!$A$226:$D$231,COLUMN(Tech_Specs_Infra!$B$225)-COLUMN(Tech_Specs_Infra!$A$225)+1,FALSE),0)</f>
        <v>1110.649165528301</v>
      </c>
      <c r="AH26" s="275">
        <f>IFERROR(VLOOKUP(AH$6,Tech_Specs_Infra!$A$226:$D$231,COLUMN(Tech_Specs_Infra!$B$225)-COLUMN(Tech_Specs_Infra!$A$225)+1,FALSE),0)</f>
        <v>1110.649165528301</v>
      </c>
      <c r="AI26" s="275">
        <f>IFERROR(VLOOKUP(AI$6,Tech_Specs_Infra!$A$226:$D$231,COLUMN(Tech_Specs_Infra!$B$225)-COLUMN(Tech_Specs_Infra!$A$225)+1,FALSE),0)</f>
        <v>1110.649165528301</v>
      </c>
      <c r="AJ26" s="275">
        <f>IFERROR(VLOOKUP(AJ$6,Tech_Specs_Infra!$A$226:$D$231,COLUMN(Tech_Specs_Infra!$B$225)-COLUMN(Tech_Specs_Infra!$A$225)+1,FALSE),0)</f>
        <v>1110.649165528301</v>
      </c>
      <c r="AK26" s="275">
        <f>IFERROR(VLOOKUP(AK$6,Tech_Specs_Infra!$A$226:$D$231,COLUMN(Tech_Specs_Infra!$B$225)-COLUMN(Tech_Specs_Infra!$A$225)+1,FALSE),0)</f>
        <v>0</v>
      </c>
      <c r="AL26" s="275">
        <f>IFERROR(VLOOKUP(AL$6,Tech_Specs_Infra!$A$226:$D$231,COLUMN(Tech_Specs_Infra!$B$225)-COLUMN(Tech_Specs_Infra!$A$225)+1,FALSE),0)</f>
        <v>0</v>
      </c>
      <c r="AM26" s="275">
        <f>IFERROR(VLOOKUP(AM$6,Tech_Specs_Infra!$A$226:$D$231,COLUMN(Tech_Specs_Infra!$B$225)-COLUMN(Tech_Specs_Infra!$A$225)+1,FALSE),0)</f>
        <v>0</v>
      </c>
      <c r="AN26" s="275">
        <f>IFERROR(VLOOKUP(AN$6,Tech_Specs_Infra!$A$226:$D$231,COLUMN(Tech_Specs_Infra!$B$225)-COLUMN(Tech_Specs_Infra!$A$225)+1,FALSE),0)</f>
        <v>0</v>
      </c>
      <c r="AO26" s="275">
        <f>IFERROR(VLOOKUP(AO$6,Tech_Specs_Infra!$A$226:$D$231,COLUMN(Tech_Specs_Infra!$B$225)-COLUMN(Tech_Specs_Infra!$A$225)+1,FALSE),0)</f>
        <v>0</v>
      </c>
      <c r="AP26" s="275">
        <f>IFERROR(VLOOKUP(AP$6,Tech_Specs_Infra!$A$226:$D$231,COLUMN(Tech_Specs_Infra!$B$225)-COLUMN(Tech_Specs_Infra!$A$225)+1,FALSE),0)</f>
        <v>0</v>
      </c>
      <c r="AQ26" s="275">
        <f>IFERROR(VLOOKUP(AQ$6,Tech_Specs_Infra!$A$226:$D$231,COLUMN(Tech_Specs_Infra!$B$225)-COLUMN(Tech_Specs_Infra!$A$225)+1,FALSE),0)</f>
        <v>0</v>
      </c>
      <c r="AR26" s="275">
        <f>IFERROR(VLOOKUP(AR$6,Tech_Specs_Infra!$A$226:$D$231,COLUMN(Tech_Specs_Infra!$B$225)-COLUMN(Tech_Specs_Infra!$A$225)+1,FALSE),0)</f>
        <v>0</v>
      </c>
      <c r="AS26" s="275">
        <f>IFERROR(VLOOKUP(AS$6,Tech_Specs_Infra!$A$226:$D$231,COLUMN(Tech_Specs_Infra!$B$225)-COLUMN(Tech_Specs_Infra!$A$225)+1,FALSE),0)</f>
        <v>0</v>
      </c>
      <c r="AT26" s="275">
        <f>IFERROR(VLOOKUP(AT$6,Tech_Specs_Infra!$A$226:$D$231,COLUMN(Tech_Specs_Infra!$B$225)-COLUMN(Tech_Specs_Infra!$A$225)+1,FALSE),0)</f>
        <v>0</v>
      </c>
      <c r="AU26" s="275">
        <f>IFERROR(VLOOKUP(AU$6,Tech_Specs_Infra!$A$226:$D$231,COLUMN(Tech_Specs_Infra!$B$225)-COLUMN(Tech_Specs_Infra!$A$225)+1,FALSE),0)</f>
        <v>0</v>
      </c>
      <c r="AV26" s="275">
        <f>IFERROR(VLOOKUP(AV$6,Tech_Specs_Infra!$A$226:$D$231,COLUMN(Tech_Specs_Infra!$B$225)-COLUMN(Tech_Specs_Infra!$A$225)+1,FALSE),0)</f>
        <v>0</v>
      </c>
      <c r="AW26" s="275">
        <f>IFERROR(VLOOKUP(AW$6,Tech_Specs_Infra!$A$226:$D$231,COLUMN(Tech_Specs_Infra!$B$225)-COLUMN(Tech_Specs_Infra!$A$225)+1,FALSE),0)</f>
        <v>0</v>
      </c>
      <c r="AX26" s="275">
        <f>IFERROR(VLOOKUP(AX$6,Tech_Specs_Infra!$A$226:$D$231,COLUMN(Tech_Specs_Infra!$B$225)-COLUMN(Tech_Specs_Infra!$A$225)+1,FALSE),0)</f>
        <v>0</v>
      </c>
      <c r="AY26" s="275">
        <f>IFERROR(VLOOKUP(AY$6,Tech_Specs_Infra!$A$226:$D$231,COLUMN(Tech_Specs_Infra!$B$225)-COLUMN(Tech_Specs_Infra!$A$225)+1,FALSE),0)</f>
        <v>0</v>
      </c>
      <c r="AZ26" s="275">
        <f>IFERROR(VLOOKUP(AZ$6,Tech_Specs_Infra!$A$226:$D$231,COLUMN(Tech_Specs_Infra!$B$225)-COLUMN(Tech_Specs_Infra!$A$225)+1,FALSE),0)</f>
        <v>0</v>
      </c>
      <c r="BA26" s="275">
        <f>IFERROR(VLOOKUP(BA$6,Tech_Specs_Infra!$A$226:$D$231,COLUMN(Tech_Specs_Infra!$B$225)-COLUMN(Tech_Specs_Infra!$A$225)+1,FALSE),0)</f>
        <v>0</v>
      </c>
      <c r="BB26" s="275">
        <f>IFERROR(VLOOKUP(BB$6,Tech_Specs_Infra!$A$226:$D$231,COLUMN(Tech_Specs_Infra!$B$225)-COLUMN(Tech_Specs_Infra!$A$225)+1,FALSE),0)</f>
        <v>0</v>
      </c>
      <c r="BC26" s="275">
        <f>IFERROR(VLOOKUP(BC$6,Tech_Specs_Infra!$A$226:$D$231,COLUMN(Tech_Specs_Infra!$B$225)-COLUMN(Tech_Specs_Infra!$A$225)+1,FALSE),0)</f>
        <v>0</v>
      </c>
      <c r="BD26" s="275">
        <f>IFERROR(VLOOKUP(BD$6,Tech_Specs_Infra!$A$226:$D$231,COLUMN(Tech_Specs_Infra!$B$225)-COLUMN(Tech_Specs_Infra!$A$225)+1,FALSE),0)</f>
        <v>0</v>
      </c>
      <c r="BE26" s="275">
        <f>IFERROR(VLOOKUP(BE$6,Tech_Specs_Infra!$A$226:$D$231,COLUMN(Tech_Specs_Infra!$B$225)-COLUMN(Tech_Specs_Infra!$A$225)+1,FALSE),0)</f>
        <v>0</v>
      </c>
      <c r="BF26" s="275">
        <f>IFERROR(VLOOKUP(BF$6,Tech_Specs_Infra!$A$226:$D$231,COLUMN(Tech_Specs_Infra!$B$225)-COLUMN(Tech_Specs_Infra!$A$225)+1,FALSE),0)</f>
        <v>0</v>
      </c>
      <c r="BG26" s="275">
        <f>IFERROR(VLOOKUP(BG$6,Tech_Specs_Infra!$A$226:$D$231,COLUMN(Tech_Specs_Infra!$B$225)-COLUMN(Tech_Specs_Infra!$A$225)+1,FALSE),0)</f>
        <v>0</v>
      </c>
      <c r="BH26" s="275">
        <f>IFERROR(VLOOKUP(BH$6,Tech_Specs_Infra!$A$226:$D$231,COLUMN(Tech_Specs_Infra!$B$225)-COLUMN(Tech_Specs_Infra!$A$225)+1,FALSE),0)</f>
        <v>0</v>
      </c>
      <c r="BI26" s="275">
        <f>IFERROR(VLOOKUP(BI$6,Tech_Specs_Infra!$A$226:$D$231,COLUMN(Tech_Specs_Infra!$B$225)-COLUMN(Tech_Specs_Infra!$A$225)+1,FALSE),0)</f>
        <v>0</v>
      </c>
      <c r="BJ26" s="275">
        <f>IFERROR(VLOOKUP(BJ$6,Tech_Specs_Infra!$A$226:$D$231,COLUMN(Tech_Specs_Infra!$B$225)-COLUMN(Tech_Specs_Infra!$A$225)+1,FALSE),0)</f>
        <v>0</v>
      </c>
      <c r="BK26" s="275">
        <f>IFERROR(VLOOKUP(BK$6,Tech_Specs_Infra!$A$226:$D$231,COLUMN(Tech_Specs_Infra!$B$225)-COLUMN(Tech_Specs_Infra!$A$225)+1,FALSE),0)</f>
        <v>0</v>
      </c>
      <c r="BL26" s="275">
        <f>IFERROR(VLOOKUP(BL$6,Tech_Specs_Infra!$A$226:$D$231,COLUMN(Tech_Specs_Infra!$B$225)-COLUMN(Tech_Specs_Infra!$A$225)+1,FALSE),0)</f>
        <v>0</v>
      </c>
      <c r="BM26" s="275">
        <f>IFERROR(VLOOKUP(BM$6,Tech_Specs_Infra!$A$226:$D$231,COLUMN(Tech_Specs_Infra!$B$225)-COLUMN(Tech_Specs_Infra!$A$225)+1,FALSE),0)</f>
        <v>0</v>
      </c>
      <c r="BN26" s="275">
        <f>IFERROR(VLOOKUP(BN$6,Tech_Specs_Infra!$A$226:$D$231,COLUMN(Tech_Specs_Infra!$B$225)-COLUMN(Tech_Specs_Infra!$A$225)+1,FALSE),0)</f>
        <v>0</v>
      </c>
      <c r="BO26" s="275">
        <f>IFERROR(VLOOKUP(BO$6,Tech_Specs_Infra!$A$226:$D$231,COLUMN(Tech_Specs_Infra!$B$225)-COLUMN(Tech_Specs_Infra!$A$225)+1,FALSE),0)</f>
        <v>0</v>
      </c>
      <c r="BP26" s="275">
        <f>IFERROR(VLOOKUP(BP$6,Tech_Specs_Infra!$A$226:$D$231,COLUMN(Tech_Specs_Infra!$B$225)-COLUMN(Tech_Specs_Infra!$A$225)+1,FALSE),0)</f>
        <v>0</v>
      </c>
      <c r="BQ26" s="275">
        <f>IFERROR(VLOOKUP(BQ$6,Tech_Specs_Infra!$A$226:$D$231,COLUMN(Tech_Specs_Infra!$B$225)-COLUMN(Tech_Specs_Infra!$A$225)+1,FALSE),0)</f>
        <v>0</v>
      </c>
      <c r="BR26" s="275">
        <f>IFERROR(VLOOKUP(BR$6,Tech_Specs_Infra!$A$226:$D$231,COLUMN(Tech_Specs_Infra!$B$225)-COLUMN(Tech_Specs_Infra!$A$225)+1,FALSE),0)</f>
        <v>0</v>
      </c>
      <c r="BS26" s="275">
        <f>IFERROR(VLOOKUP(BS$6,Tech_Specs_Infra!$A$226:$D$231,COLUMN(Tech_Specs_Infra!$B$225)-COLUMN(Tech_Specs_Infra!$A$225)+1,FALSE),0)</f>
        <v>0</v>
      </c>
      <c r="BT26" s="275">
        <f>IFERROR(VLOOKUP(BT$6,Tech_Specs_Infra!$A$226:$D$231,COLUMN(Tech_Specs_Infra!$B$225)-COLUMN(Tech_Specs_Infra!$A$225)+1,FALSE),0)</f>
        <v>0</v>
      </c>
      <c r="BU26" s="275">
        <f>IFERROR(VLOOKUP(BU$6,Tech_Specs_Infra!$A$226:$D$231,COLUMN(Tech_Specs_Infra!$B$225)-COLUMN(Tech_Specs_Infra!$A$225)+1,FALSE),0)</f>
        <v>0</v>
      </c>
      <c r="BV26" s="275">
        <f>IFERROR(VLOOKUP(BV$6,Tech_Specs_Infra!$A$226:$D$231,COLUMN(Tech_Specs_Infra!$B$225)-COLUMN(Tech_Specs_Infra!$A$225)+1,FALSE),0)</f>
        <v>0</v>
      </c>
      <c r="BW26" s="275">
        <f>IFERROR(VLOOKUP(BW$6,Tech_Specs_Infra!$A$226:$D$231,COLUMN(Tech_Specs_Infra!$B$225)-COLUMN(Tech_Specs_Infra!$A$225)+1,FALSE),0)</f>
        <v>0</v>
      </c>
      <c r="BX26" s="275">
        <f>IFERROR(VLOOKUP(BX$6,Tech_Specs_Infra!$A$226:$D$231,COLUMN(Tech_Specs_Infra!$B$225)-COLUMN(Tech_Specs_Infra!$A$225)+1,FALSE),0)</f>
        <v>0</v>
      </c>
      <c r="BY26" s="275">
        <f>IFERROR(VLOOKUP(BY$6,Tech_Specs_Infra!$A$226:$D$231,COLUMN(Tech_Specs_Infra!$B$225)-COLUMN(Tech_Specs_Infra!$A$225)+1,FALSE),0)</f>
        <v>0</v>
      </c>
      <c r="BZ26" s="275">
        <f>IFERROR(VLOOKUP(BZ$6,Tech_Specs_Infra!$A$226:$D$231,COLUMN(Tech_Specs_Infra!$B$225)-COLUMN(Tech_Specs_Infra!$A$225)+1,FALSE),0)</f>
        <v>0</v>
      </c>
      <c r="CA26" s="275">
        <f>IFERROR(VLOOKUP(CA$6,Tech_Specs_Infra!$A$226:$D$231,COLUMN(Tech_Specs_Infra!$B$225)-COLUMN(Tech_Specs_Infra!$A$225)+1,FALSE),0)</f>
        <v>0</v>
      </c>
      <c r="CB26" s="275">
        <f>IFERROR(VLOOKUP(CB$6,Tech_Specs_Infra!$A$226:$D$231,COLUMN(Tech_Specs_Infra!$B$225)-COLUMN(Tech_Specs_Infra!$A$225)+1,FALSE),0)</f>
        <v>0</v>
      </c>
      <c r="CC26" s="275">
        <f>IFERROR(VLOOKUP(CC$6,Tech_Specs_Infra!$A$226:$D$231,COLUMN(Tech_Specs_Infra!$B$225)-COLUMN(Tech_Specs_Infra!$A$225)+1,FALSE),0)</f>
        <v>0</v>
      </c>
      <c r="CD26" s="275">
        <f>IFERROR(VLOOKUP(CD$6,Tech_Specs_Infra!$A$226:$D$231,COLUMN(Tech_Specs_Infra!$B$225)-COLUMN(Tech_Specs_Infra!$A$225)+1,FALSE),0)</f>
        <v>0</v>
      </c>
      <c r="CE26" s="275">
        <f>IFERROR(VLOOKUP(CE$6,Tech_Specs_Infra!$A$226:$D$231,COLUMN(Tech_Specs_Infra!$B$225)-COLUMN(Tech_Specs_Infra!$A$225)+1,FALSE),0)</f>
        <v>0</v>
      </c>
      <c r="CF26" s="275">
        <f>IFERROR(VLOOKUP(CF$6,Tech_Specs_Infra!$A$226:$D$231,COLUMN(Tech_Specs_Infra!$B$225)-COLUMN(Tech_Specs_Infra!$A$225)+1,FALSE),0)</f>
        <v>0</v>
      </c>
      <c r="CG26" s="275">
        <f>IFERROR(VLOOKUP(CG$6,Tech_Specs_Infra!$A$226:$D$231,COLUMN(Tech_Specs_Infra!$B$225)-COLUMN(Tech_Specs_Infra!$A$225)+1,FALSE),0)</f>
        <v>0</v>
      </c>
      <c r="CH26" s="275">
        <f>IFERROR(VLOOKUP(CH$6,Tech_Specs_Infra!$A$226:$D$231,COLUMN(Tech_Specs_Infra!$B$225)-COLUMN(Tech_Specs_Infra!$A$225)+1,FALSE),0)</f>
        <v>0</v>
      </c>
      <c r="CI26" s="275">
        <f>IFERROR(VLOOKUP(CI$6,Tech_Specs_Infra!$A$226:$D$231,COLUMN(Tech_Specs_Infra!$B$225)-COLUMN(Tech_Specs_Infra!$A$225)+1,FALSE),0)</f>
        <v>0</v>
      </c>
      <c r="CJ26" s="275">
        <f>IFERROR(VLOOKUP(CJ$6,Tech_Specs_Infra!$A$226:$D$231,COLUMN(Tech_Specs_Infra!$B$225)-COLUMN(Tech_Specs_Infra!$A$225)+1,FALSE),0)</f>
        <v>0</v>
      </c>
      <c r="CK26" s="275">
        <f>IFERROR(VLOOKUP(CK$6,Tech_Specs_Infra!$A$226:$D$231,COLUMN(Tech_Specs_Infra!$B$225)-COLUMN(Tech_Specs_Infra!$A$225)+1,FALSE),0)</f>
        <v>0</v>
      </c>
      <c r="CL26" s="275">
        <f>IFERROR(VLOOKUP(CL$6,Tech_Specs_Infra!$A$226:$D$231,COLUMN(Tech_Specs_Infra!$B$225)-COLUMN(Tech_Specs_Infra!$A$225)+1,FALSE),0)</f>
        <v>0</v>
      </c>
      <c r="CM26" s="275">
        <f>IFERROR(VLOOKUP(CM$6,Tech_Specs_Infra!$A$226:$D$231,COLUMN(Tech_Specs_Infra!$B$225)-COLUMN(Tech_Specs_Infra!$A$225)+1,FALSE),0)</f>
        <v>0</v>
      </c>
      <c r="CN26" s="275">
        <f>IFERROR(VLOOKUP(CN$6,Tech_Specs_Infra!$A$226:$D$231,COLUMN(Tech_Specs_Infra!$B$225)-COLUMN(Tech_Specs_Infra!$A$225)+1,FALSE),0)</f>
        <v>0</v>
      </c>
      <c r="CO26" s="275">
        <f>IFERROR(VLOOKUP(CO$6,Tech_Specs_Infra!$A$226:$D$231,COLUMN(Tech_Specs_Infra!$B$225)-COLUMN(Tech_Specs_Infra!$A$225)+1,FALSE),0)</f>
        <v>0</v>
      </c>
      <c r="CP26" s="275">
        <f>IFERROR(VLOOKUP(CP$6,Tech_Specs_Infra!$A$226:$D$231,COLUMN(Tech_Specs_Infra!$B$225)-COLUMN(Tech_Specs_Infra!$A$225)+1,FALSE),0)</f>
        <v>0</v>
      </c>
      <c r="CQ26" s="275">
        <f>IFERROR(VLOOKUP(CQ$6,Tech_Specs_Infra!$A$226:$D$231,COLUMN(Tech_Specs_Infra!$B$225)-COLUMN(Tech_Specs_Infra!$A$225)+1,FALSE),0)</f>
        <v>0</v>
      </c>
      <c r="CR26" s="275">
        <f>IFERROR(VLOOKUP(CR$6,Tech_Specs_Infra!$A$226:$D$231,COLUMN(Tech_Specs_Infra!$B$225)-COLUMN(Tech_Specs_Infra!$A$225)+1,FALSE),0)</f>
        <v>0</v>
      </c>
      <c r="CS26" s="275">
        <f>IFERROR(VLOOKUP(CS$6,Tech_Specs_Infra!$A$226:$D$231,COLUMN(Tech_Specs_Infra!$B$225)-COLUMN(Tech_Specs_Infra!$A$225)+1,FALSE),0)</f>
        <v>0</v>
      </c>
      <c r="CT26" s="275">
        <f>IFERROR(VLOOKUP(CT$6,Tech_Specs_Infra!$A$226:$D$231,COLUMN(Tech_Specs_Infra!$B$225)-COLUMN(Tech_Specs_Infra!$A$225)+1,FALSE),0)</f>
        <v>0</v>
      </c>
      <c r="CU26" s="275">
        <f>IFERROR(VLOOKUP(CU$6,Tech_Specs_Infra!$A$226:$D$231,COLUMN(Tech_Specs_Infra!$B$225)-COLUMN(Tech_Specs_Infra!$A$225)+1,FALSE),0)</f>
        <v>0</v>
      </c>
      <c r="CV26" s="275">
        <f>IFERROR(VLOOKUP(CV$6,Tech_Specs_Infra!$A$226:$D$231,COLUMN(Tech_Specs_Infra!$B$225)-COLUMN(Tech_Specs_Infra!$A$225)+1,FALSE),0)</f>
        <v>0</v>
      </c>
      <c r="CW26" s="275">
        <f>IFERROR(VLOOKUP(CW$6,Tech_Specs_Infra!$A$226:$D$231,COLUMN(Tech_Specs_Infra!$B$225)-COLUMN(Tech_Specs_Infra!$A$225)+1,FALSE),0)</f>
        <v>0</v>
      </c>
      <c r="CX26" s="275">
        <f>IFERROR(VLOOKUP(CX$6,Tech_Specs_Infra!$A$226:$D$231,COLUMN(Tech_Specs_Infra!$B$225)-COLUMN(Tech_Specs_Infra!$A$225)+1,FALSE),0)</f>
        <v>0</v>
      </c>
      <c r="CY26" s="275">
        <f>IFERROR(VLOOKUP(CY$6,Tech_Specs_Infra!$A$226:$D$231,COLUMN(Tech_Specs_Infra!$B$225)-COLUMN(Tech_Specs_Infra!$A$225)+1,FALSE),0)</f>
        <v>0</v>
      </c>
      <c r="CZ26" s="275">
        <f>IFERROR(VLOOKUP(CZ$6,Tech_Specs_Infra!$A$226:$D$231,COLUMN(Tech_Specs_Infra!$B$225)-COLUMN(Tech_Specs_Infra!$A$225)+1,FALSE),0)</f>
        <v>0</v>
      </c>
      <c r="DA26" s="275">
        <f>IFERROR(VLOOKUP(DA$6,Tech_Specs_Infra!$A$226:$D$231,COLUMN(Tech_Specs_Infra!$B$225)-COLUMN(Tech_Specs_Infra!$A$225)+1,FALSE),0)</f>
        <v>0</v>
      </c>
      <c r="DB26" s="275">
        <f>IFERROR(VLOOKUP(DB$6,Tech_Specs_Infra!$A$226:$D$231,COLUMN(Tech_Specs_Infra!$B$225)-COLUMN(Tech_Specs_Infra!$A$225)+1,FALSE),0)</f>
        <v>0</v>
      </c>
      <c r="DC26" s="275">
        <f>IFERROR(VLOOKUP(DC$6,Tech_Specs_Infra!$A$226:$D$231,COLUMN(Tech_Specs_Infra!$B$225)-COLUMN(Tech_Specs_Infra!$A$225)+1,FALSE),0)</f>
        <v>0</v>
      </c>
      <c r="DD26" s="275">
        <f>IFERROR(VLOOKUP(DD$6,Tech_Specs_Infra!$A$226:$D$231,COLUMN(Tech_Specs_Infra!$B$225)-COLUMN(Tech_Specs_Infra!$A$225)+1,FALSE),0)</f>
        <v>0</v>
      </c>
      <c r="DE26" s="275">
        <f>IFERROR(VLOOKUP(DE$6,Tech_Specs_Infra!$A$226:$D$231,COLUMN(Tech_Specs_Infra!$B$225)-COLUMN(Tech_Specs_Infra!$A$225)+1,FALSE),0)</f>
        <v>0</v>
      </c>
      <c r="DF26" s="275">
        <f>IFERROR(VLOOKUP(DF$6,Tech_Specs_Infra!$A$226:$D$231,COLUMN(Tech_Specs_Infra!$B$225)-COLUMN(Tech_Specs_Infra!$A$225)+1,FALSE),0)</f>
        <v>0</v>
      </c>
      <c r="DG26" s="275"/>
      <c r="DH26" s="275">
        <f>IFERROR(VLOOKUP(DH$6,Tech_Specs_Infra!$A$226:$D$231,COLUMN(Tech_Specs_Infra!$B$225)-COLUMN(Tech_Specs_Infra!$A$225)+1,FALSE),0)</f>
        <v>0</v>
      </c>
      <c r="DI26" s="275">
        <f>IFERROR(VLOOKUP(DI$6,Tech_Specs_Infra!$A$226:$D$231,COLUMN(Tech_Specs_Infra!$B$225)-COLUMN(Tech_Specs_Infra!$A$225)+1,FALSE),0)</f>
        <v>0</v>
      </c>
      <c r="DJ26" s="275">
        <f>IFERROR(VLOOKUP(DJ$6,Tech_Specs_Infra!$A$226:$D$231,COLUMN(Tech_Specs_Infra!$B$225)-COLUMN(Tech_Specs_Infra!$A$225)+1,FALSE),0)</f>
        <v>0</v>
      </c>
      <c r="DK26" s="275">
        <f>IFERROR(VLOOKUP(DK$6,Tech_Specs_Infra!$A$226:$D$231,COLUMN(Tech_Specs_Infra!$B$225)-COLUMN(Tech_Specs_Infra!$A$225)+1,FALSE),0)</f>
        <v>1110.649165528301</v>
      </c>
      <c r="DL26" s="275">
        <f>IFERROR(VLOOKUP(DL$6,Tech_Specs_Infra!$A$226:$D$231,COLUMN(Tech_Specs_Infra!$B$225)-COLUMN(Tech_Specs_Infra!$A$225)+1,FALSE),0)</f>
        <v>1110.649165528301</v>
      </c>
      <c r="DM26" s="275">
        <f>IFERROR(VLOOKUP(DM$6,Tech_Specs_Infra!$A$226:$D$231,COLUMN(Tech_Specs_Infra!$B$225)-COLUMN(Tech_Specs_Infra!$A$225)+1,FALSE),0)</f>
        <v>1110.649165528301</v>
      </c>
      <c r="DN26" s="275">
        <f>IFERROR(VLOOKUP(DN$6,Tech_Specs_Infra!$A$226:$D$231,COLUMN(Tech_Specs_Infra!$B$225)-COLUMN(Tech_Specs_Infra!$A$225)+1,FALSE),0)</f>
        <v>1110.649165528301</v>
      </c>
      <c r="DO26" s="275">
        <f>IFERROR(VLOOKUP(DO$6,Tech_Specs_Infra!$A$226:$D$231,COLUMN(Tech_Specs_Infra!$B$225)-COLUMN(Tech_Specs_Infra!$A$225)+1,FALSE),0)</f>
        <v>1110.649165528301</v>
      </c>
      <c r="DP26" s="275">
        <f>IFERROR(VLOOKUP(DP$6,Tech_Specs_Infra!$A$226:$D$231,COLUMN(Tech_Specs_Infra!$B$225)-COLUMN(Tech_Specs_Infra!$A$225)+1,FALSE),0)</f>
        <v>1110.649165528301</v>
      </c>
      <c r="DQ26" s="275">
        <f>IFERROR(VLOOKUP(DQ$6,Tech_Specs_Infra!$A$226:$D$231,COLUMN(Tech_Specs_Infra!$B$225)-COLUMN(Tech_Specs_Infra!$A$225)+1,FALSE),0)</f>
        <v>1110.649165528301</v>
      </c>
      <c r="DR26" s="275">
        <f>IFERROR(VLOOKUP(DR$6,Tech_Specs_Infra!$A$226:$D$231,COLUMN(Tech_Specs_Infra!$B$225)-COLUMN(Tech_Specs_Infra!$A$225)+1,FALSE),0)</f>
        <v>1110.649165528301</v>
      </c>
      <c r="DS26" s="275">
        <f>IFERROR(VLOOKUP(DS$6,Tech_Specs_Infra!$A$226:$D$231,COLUMN(Tech_Specs_Infra!$B$225)-COLUMN(Tech_Specs_Infra!$A$225)+1,FALSE),0)</f>
        <v>1110.649165528301</v>
      </c>
      <c r="DT26" s="275">
        <f>IFERROR(VLOOKUP(DT$6,Tech_Specs_Infra!$A$226:$D$231,COLUMN(Tech_Specs_Infra!$B$225)-COLUMN(Tech_Specs_Infra!$A$225)+1,FALSE),0)</f>
        <v>1110.649165528301</v>
      </c>
      <c r="DU26" s="275">
        <f>IFERROR(VLOOKUP(DU$6,Tech_Specs_Infra!$A$226:$D$231,COLUMN(Tech_Specs_Infra!$B$225)-COLUMN(Tech_Specs_Infra!$A$225)+1,FALSE),0)</f>
        <v>1110.649165528301</v>
      </c>
      <c r="DV26" s="275">
        <f>IFERROR(VLOOKUP(DV$6,Tech_Specs_Infra!$A$226:$D$231,COLUMN(Tech_Specs_Infra!$B$225)-COLUMN(Tech_Specs_Infra!$A$225)+1,FALSE),0)</f>
        <v>1110.649165528301</v>
      </c>
      <c r="DW26" s="275">
        <f>IFERROR(VLOOKUP(DW$6,Tech_Specs_Infra!$A$226:$D$231,COLUMN(Tech_Specs_Infra!$B$225)-COLUMN(Tech_Specs_Infra!$A$225)+1,FALSE),0)</f>
        <v>1110.649165528301</v>
      </c>
      <c r="DX26" s="275">
        <f>IFERROR(VLOOKUP(DX$6,Tech_Specs_Infra!$A$226:$D$231,COLUMN(Tech_Specs_Infra!$B$225)-COLUMN(Tech_Specs_Infra!$A$225)+1,FALSE),0)</f>
        <v>0</v>
      </c>
      <c r="DY26" s="275">
        <f>IFERROR(VLOOKUP(DY$6,Tech_Specs_Infra!$A$226:$D$231,COLUMN(Tech_Specs_Infra!$B$225)-COLUMN(Tech_Specs_Infra!$A$225)+1,FALSE),0)</f>
        <v>0</v>
      </c>
      <c r="DZ26" s="275">
        <f>IFERROR(VLOOKUP(DZ$6,Tech_Specs_Infra!$A$226:$D$231,COLUMN(Tech_Specs_Infra!$B$225)-COLUMN(Tech_Specs_Infra!$A$225)+1,FALSE),0)</f>
        <v>0</v>
      </c>
      <c r="EA26" s="275">
        <f>IFERROR(VLOOKUP(EA$6,Tech_Specs_Infra!$A$226:$D$231,COLUMN(Tech_Specs_Infra!$B$225)-COLUMN(Tech_Specs_Infra!$A$225)+1,FALSE),0)</f>
        <v>0</v>
      </c>
      <c r="EB26" s="275">
        <f>IFERROR(VLOOKUP(EB$6,Tech_Specs_Infra!$A$226:$D$231,COLUMN(Tech_Specs_Infra!$B$225)-COLUMN(Tech_Specs_Infra!$A$225)+1,FALSE),0)</f>
        <v>0</v>
      </c>
      <c r="EC26" s="275">
        <f>IFERROR(VLOOKUP(EC$6,Tech_Specs_Infra!$A$226:$D$231,COLUMN(Tech_Specs_Infra!$B$225)-COLUMN(Tech_Specs_Infra!$A$225)+1,FALSE),0)</f>
        <v>0</v>
      </c>
      <c r="ED26" s="275">
        <f>IFERROR(VLOOKUP(ED$6,Tech_Specs_Infra!$A$226:$D$231,COLUMN(Tech_Specs_Infra!$B$225)-COLUMN(Tech_Specs_Infra!$A$225)+1,FALSE),0)</f>
        <v>0</v>
      </c>
    </row>
    <row r="27" spans="1:134" x14ac:dyDescent="0.3">
      <c r="A27" s="115"/>
    </row>
    <row r="28" spans="1:134" x14ac:dyDescent="0.3">
      <c r="A28" s="21" t="s">
        <v>824</v>
      </c>
      <c r="B28" s="115" t="str">
        <f>"["&amp;Tech_Specs_Infra!D225&amp;"]"</f>
        <v>[Million vkm/one-way lane of track km]</v>
      </c>
    </row>
    <row r="29" spans="1:134" x14ac:dyDescent="0.3">
      <c r="A29" s="115" t="s">
        <v>806</v>
      </c>
      <c r="D29" s="23">
        <f t="shared" ref="D29:F30" si="18">D21*D25/10^3</f>
        <v>13.79434285714286</v>
      </c>
      <c r="E29" s="23">
        <f t="shared" si="18"/>
        <v>13.79434285714286</v>
      </c>
      <c r="F29" s="23">
        <f t="shared" si="18"/>
        <v>13.79434285714286</v>
      </c>
      <c r="G29" s="23">
        <f t="shared" ref="G29:T30" si="19">G21*G25/10^3</f>
        <v>13.79434285714286</v>
      </c>
      <c r="H29" s="23">
        <f t="shared" si="19"/>
        <v>13.79434285714286</v>
      </c>
      <c r="I29" s="23">
        <f t="shared" ref="I29" si="20">I21*I25/10^3</f>
        <v>13.79434285714286</v>
      </c>
      <c r="J29" s="23">
        <f t="shared" si="19"/>
        <v>13.79434285714286</v>
      </c>
      <c r="K29" s="23">
        <f t="shared" si="19"/>
        <v>13.79434285714286</v>
      </c>
      <c r="L29" s="23">
        <f t="shared" si="19"/>
        <v>13.79434285714286</v>
      </c>
      <c r="M29" s="23">
        <f t="shared" si="19"/>
        <v>13.79434285714286</v>
      </c>
      <c r="N29" s="23">
        <f t="shared" si="19"/>
        <v>13.79434285714286</v>
      </c>
      <c r="O29" s="23">
        <f t="shared" si="19"/>
        <v>13.79434285714286</v>
      </c>
      <c r="P29" s="23">
        <f t="shared" si="19"/>
        <v>13.79434285714286</v>
      </c>
      <c r="Q29" s="23">
        <f>Q21*Q25/10^3</f>
        <v>13.79434285714286</v>
      </c>
      <c r="R29" s="23">
        <f>R21*R25/10^3</f>
        <v>13.79434285714286</v>
      </c>
      <c r="S29" s="23">
        <f t="shared" si="19"/>
        <v>13.79434285714286</v>
      </c>
      <c r="T29" s="23">
        <f t="shared" si="19"/>
        <v>13.79434285714286</v>
      </c>
      <c r="U29" s="23">
        <f t="shared" ref="U29:AX29" si="21">U21*U25/10^3</f>
        <v>13.79434285714286</v>
      </c>
      <c r="V29" s="23">
        <f t="shared" si="21"/>
        <v>13.79434285714286</v>
      </c>
      <c r="W29" s="23">
        <f t="shared" si="21"/>
        <v>13.79434285714286</v>
      </c>
      <c r="X29" s="23">
        <f t="shared" ref="X29:Y29" si="22">X21*X25/10^3</f>
        <v>13.79434285714286</v>
      </c>
      <c r="Y29" s="23">
        <f t="shared" si="22"/>
        <v>13.79434285714286</v>
      </c>
      <c r="Z29" s="23">
        <f t="shared" si="21"/>
        <v>13.79434285714286</v>
      </c>
      <c r="AA29" s="23">
        <f t="shared" ref="AA29" si="23">AA21*AA25/10^3</f>
        <v>13.79434285714286</v>
      </c>
      <c r="AB29" s="23">
        <f t="shared" ref="AB29:AC29" si="24">AB21*AB25/10^3</f>
        <v>13.79434285714286</v>
      </c>
      <c r="AC29" s="23">
        <f t="shared" si="24"/>
        <v>13.79434285714286</v>
      </c>
      <c r="AD29" s="23">
        <f t="shared" ref="AD29" si="25">AD21*AD25/10^3</f>
        <v>13.79434285714286</v>
      </c>
      <c r="AE29" s="23">
        <f t="shared" ref="AE29" si="26">AE21*AE25/10^3</f>
        <v>13.79434285714286</v>
      </c>
      <c r="AF29" s="23">
        <f t="shared" si="21"/>
        <v>13.79434285714286</v>
      </c>
      <c r="AG29" s="23">
        <f t="shared" si="21"/>
        <v>13.79434285714286</v>
      </c>
      <c r="AH29" s="23">
        <f t="shared" si="21"/>
        <v>13.79434285714286</v>
      </c>
      <c r="AI29" s="23">
        <f t="shared" si="21"/>
        <v>13.79434285714286</v>
      </c>
      <c r="AJ29" s="23">
        <f t="shared" si="21"/>
        <v>13.79434285714286</v>
      </c>
      <c r="AK29" s="23">
        <f t="shared" si="21"/>
        <v>33.319474965849025</v>
      </c>
      <c r="AL29" s="23">
        <f t="shared" si="21"/>
        <v>33.319474965849025</v>
      </c>
      <c r="AM29" s="23">
        <f t="shared" si="21"/>
        <v>33.319474965849025</v>
      </c>
      <c r="AN29" s="23">
        <f t="shared" si="21"/>
        <v>33.319474965849025</v>
      </c>
      <c r="AO29" s="23">
        <f t="shared" si="21"/>
        <v>33.319474965849025</v>
      </c>
      <c r="AP29" s="23">
        <f t="shared" si="21"/>
        <v>33.319474965849025</v>
      </c>
      <c r="AQ29" s="23">
        <f t="shared" si="21"/>
        <v>33.319474965849025</v>
      </c>
      <c r="AR29" s="23">
        <f t="shared" si="21"/>
        <v>33.319474965849025</v>
      </c>
      <c r="AS29" s="23">
        <f t="shared" si="21"/>
        <v>33.319474965849025</v>
      </c>
      <c r="AT29" s="23">
        <f t="shared" si="21"/>
        <v>33.319474965849025</v>
      </c>
      <c r="AU29" s="23">
        <f t="shared" si="21"/>
        <v>33.319474965849025</v>
      </c>
      <c r="AV29" s="23">
        <f t="shared" si="21"/>
        <v>33.319474965849025</v>
      </c>
      <c r="AW29" s="23">
        <f t="shared" si="21"/>
        <v>33.319474965849025</v>
      </c>
      <c r="AX29" s="23">
        <f t="shared" si="21"/>
        <v>33.319474965849025</v>
      </c>
      <c r="AY29" s="23">
        <f t="shared" ref="AY29:BB30" si="27">AY21*AY25/10^3</f>
        <v>33.319474965849025</v>
      </c>
      <c r="AZ29" s="23">
        <f t="shared" si="27"/>
        <v>33.319474965849025</v>
      </c>
      <c r="BA29" s="23">
        <f t="shared" si="27"/>
        <v>33.319474965849025</v>
      </c>
      <c r="BB29" s="23">
        <f t="shared" si="27"/>
        <v>33.319474965849025</v>
      </c>
      <c r="BC29" s="23">
        <f t="shared" ref="BC29:BE30" si="28">BC21*BC25/10^3</f>
        <v>33.319474965849025</v>
      </c>
      <c r="BD29" s="23">
        <f t="shared" si="28"/>
        <v>33.319474965849025</v>
      </c>
      <c r="BE29" s="23">
        <f t="shared" si="28"/>
        <v>33.319474965849025</v>
      </c>
      <c r="BF29" s="23">
        <f t="shared" ref="BF29:BH30" si="29">BF21*BF25/10^3</f>
        <v>33.319474965849025</v>
      </c>
      <c r="BG29" s="23">
        <f t="shared" si="29"/>
        <v>33.319474965849025</v>
      </c>
      <c r="BH29" s="23">
        <f t="shared" si="29"/>
        <v>33.319474965849025</v>
      </c>
      <c r="BI29" s="23">
        <f t="shared" ref="BI29:BU29" si="30">BI21*BI25/10^3</f>
        <v>33.319474965849025</v>
      </c>
      <c r="BJ29" s="23">
        <f t="shared" si="30"/>
        <v>33.319474965849025</v>
      </c>
      <c r="BK29" s="23">
        <f t="shared" si="30"/>
        <v>33.319474965849025</v>
      </c>
      <c r="BL29" s="23">
        <f t="shared" si="30"/>
        <v>33.319474965849025</v>
      </c>
      <c r="BM29" s="23">
        <f t="shared" si="30"/>
        <v>33.319474965849025</v>
      </c>
      <c r="BN29" s="23">
        <f t="shared" si="30"/>
        <v>33.319474965849025</v>
      </c>
      <c r="BO29" s="23">
        <f t="shared" si="30"/>
        <v>33.319474965849025</v>
      </c>
      <c r="BP29" s="23">
        <f t="shared" si="30"/>
        <v>33.319474965849025</v>
      </c>
      <c r="BQ29" s="23">
        <f t="shared" si="30"/>
        <v>33.319474965849025</v>
      </c>
      <c r="BR29" s="23">
        <f t="shared" si="30"/>
        <v>33.319474965849025</v>
      </c>
      <c r="BS29" s="23">
        <f t="shared" si="30"/>
        <v>33.319474965849025</v>
      </c>
      <c r="BT29" s="23">
        <f t="shared" si="30"/>
        <v>33.319474965849025</v>
      </c>
      <c r="BU29" s="23">
        <f t="shared" si="30"/>
        <v>33.319474965849025</v>
      </c>
      <c r="BV29" s="23">
        <f t="shared" ref="BV29:CC30" si="31">BV21*BV25/10^3</f>
        <v>33.319474965849025</v>
      </c>
      <c r="BW29" s="23">
        <f t="shared" si="31"/>
        <v>33.319474965849025</v>
      </c>
      <c r="BX29" s="23">
        <f t="shared" si="31"/>
        <v>33.319474965849025</v>
      </c>
      <c r="BY29" s="23">
        <f t="shared" si="31"/>
        <v>33.319474965849025</v>
      </c>
      <c r="BZ29" s="23">
        <f t="shared" si="31"/>
        <v>33.319474965849025</v>
      </c>
      <c r="CA29" s="23">
        <f t="shared" si="31"/>
        <v>33.319474965849025</v>
      </c>
      <c r="CB29" s="23">
        <f t="shared" si="31"/>
        <v>33.319474965849025</v>
      </c>
      <c r="CC29" s="23">
        <f t="shared" si="31"/>
        <v>33.319474965849025</v>
      </c>
      <c r="CD29" s="23">
        <f t="shared" ref="CD29:CG30" si="32">CD21*CD25/10^3</f>
        <v>33.319474965849025</v>
      </c>
      <c r="CE29" s="23">
        <f t="shared" si="32"/>
        <v>33.319474965849025</v>
      </c>
      <c r="CF29" s="23">
        <f t="shared" si="32"/>
        <v>33.319474965849025</v>
      </c>
      <c r="CG29" s="23">
        <f t="shared" si="32"/>
        <v>33.319474965849025</v>
      </c>
      <c r="CH29" s="23">
        <f t="shared" ref="CH29:CL30" si="33">CH21*CH25/10^3</f>
        <v>33.319474965849025</v>
      </c>
      <c r="CI29" s="23">
        <f t="shared" si="33"/>
        <v>33.319474965849025</v>
      </c>
      <c r="CJ29" s="23">
        <f t="shared" si="33"/>
        <v>33.319474965849025</v>
      </c>
      <c r="CK29" s="23">
        <f t="shared" si="33"/>
        <v>33.319474965849025</v>
      </c>
      <c r="CL29" s="23">
        <f t="shared" si="33"/>
        <v>33.319474965849025</v>
      </c>
      <c r="CM29" s="23">
        <f t="shared" ref="CM29:CX29" si="34">CM21*CM25/10^3</f>
        <v>33.319474965849025</v>
      </c>
      <c r="CN29" s="23">
        <f t="shared" si="34"/>
        <v>33.319474965849025</v>
      </c>
      <c r="CO29" s="23">
        <f t="shared" si="34"/>
        <v>33.319474965849025</v>
      </c>
      <c r="CP29" s="23">
        <f t="shared" si="34"/>
        <v>33.319474965849025</v>
      </c>
      <c r="CQ29" s="23">
        <f t="shared" si="34"/>
        <v>33.319474965849025</v>
      </c>
      <c r="CR29" s="23">
        <f t="shared" si="34"/>
        <v>33.319474965849025</v>
      </c>
      <c r="CS29" s="23">
        <f t="shared" si="34"/>
        <v>33.319474965849025</v>
      </c>
      <c r="CT29" s="23">
        <f t="shared" si="34"/>
        <v>33.319474965849025</v>
      </c>
      <c r="CU29" s="23">
        <f t="shared" si="34"/>
        <v>33.319474965849025</v>
      </c>
      <c r="CV29" s="23">
        <f t="shared" si="34"/>
        <v>33.319474965849025</v>
      </c>
      <c r="CW29" s="23">
        <f t="shared" si="34"/>
        <v>33.319474965849025</v>
      </c>
      <c r="CX29" s="23">
        <f t="shared" si="34"/>
        <v>33.319474965849025</v>
      </c>
      <c r="CY29" s="23">
        <f t="shared" ref="CY29:DC30" si="35">CY21*CY25/10^3</f>
        <v>33.319474965849025</v>
      </c>
      <c r="CZ29" s="23">
        <f t="shared" si="35"/>
        <v>33.319474965849025</v>
      </c>
      <c r="DA29" s="23">
        <f t="shared" si="35"/>
        <v>33.319474965849025</v>
      </c>
      <c r="DB29" s="23">
        <f t="shared" si="35"/>
        <v>33.319474965849025</v>
      </c>
      <c r="DC29" s="23">
        <f t="shared" si="35"/>
        <v>33.319474965849025</v>
      </c>
      <c r="DD29" s="23">
        <f t="shared" ref="DD29:DF30" si="36">DD21*DD25/10^3</f>
        <v>33.319474965849025</v>
      </c>
      <c r="DE29" s="23">
        <f t="shared" si="36"/>
        <v>33.319474965849025</v>
      </c>
      <c r="DF29" s="23">
        <f t="shared" si="36"/>
        <v>33.319474965849025</v>
      </c>
      <c r="DG29" s="23"/>
      <c r="DH29" s="23">
        <f t="shared" ref="DH29:DJ30" si="37">DH21*DH25/10^3</f>
        <v>33.319474965849025</v>
      </c>
      <c r="DI29" s="23">
        <f t="shared" si="37"/>
        <v>33.319474965849025</v>
      </c>
      <c r="DJ29" s="23">
        <f t="shared" si="37"/>
        <v>33.319474965849025</v>
      </c>
      <c r="DK29" s="23">
        <f t="shared" ref="DK29:DP29" si="38">DK21*DK25/10^3</f>
        <v>6.919406150583244</v>
      </c>
      <c r="DL29" s="23">
        <f t="shared" si="38"/>
        <v>6.919406150583244</v>
      </c>
      <c r="DM29" s="23">
        <f>DM21*DM25/10^3</f>
        <v>6.919406150583244</v>
      </c>
      <c r="DN29" s="23">
        <f t="shared" si="38"/>
        <v>6.919406150583244</v>
      </c>
      <c r="DO29" s="23">
        <f t="shared" si="38"/>
        <v>6.919406150583244</v>
      </c>
      <c r="DP29" s="23">
        <f t="shared" si="38"/>
        <v>6.919406150583244</v>
      </c>
      <c r="DQ29" s="23">
        <f>DQ21*DQ25/10^3</f>
        <v>6.919406150583244</v>
      </c>
      <c r="DR29" s="23">
        <f>DR21*DR25/10^3</f>
        <v>6.919406150583244</v>
      </c>
      <c r="DS29" s="23">
        <f t="shared" ref="DS29" si="39">DS21*DS25/10^3</f>
        <v>6.919406150583244</v>
      </c>
      <c r="DT29" s="23">
        <f t="shared" ref="DT29:DW30" si="40">DT21*DT25/10^3</f>
        <v>6.919406150583244</v>
      </c>
      <c r="DU29" s="23">
        <f t="shared" si="40"/>
        <v>6.919406150583244</v>
      </c>
      <c r="DV29" s="23">
        <f t="shared" ref="DV29" si="41">DV21*DV25/10^3</f>
        <v>6.919406150583244</v>
      </c>
      <c r="DW29" s="23">
        <f t="shared" si="40"/>
        <v>6.919406150583244</v>
      </c>
      <c r="DX29" s="23">
        <f t="shared" ref="DX29:EC29" si="42">DX21*DX25/10^3</f>
        <v>6.4987562189054726</v>
      </c>
      <c r="DY29" s="23">
        <f t="shared" si="42"/>
        <v>3.8992537313432836</v>
      </c>
      <c r="DZ29" s="23">
        <f t="shared" si="42"/>
        <v>3.8992537313432836</v>
      </c>
      <c r="EA29" s="23">
        <f t="shared" si="42"/>
        <v>6.4987562189054726</v>
      </c>
      <c r="EB29" s="23">
        <f t="shared" si="42"/>
        <v>5.1990049751243781</v>
      </c>
      <c r="EC29" s="23">
        <f t="shared" si="42"/>
        <v>5.1990049751243781</v>
      </c>
      <c r="ED29" s="23">
        <f>ED21*ED25/10^3</f>
        <v>5.1990049751243781</v>
      </c>
    </row>
    <row r="30" spans="1:134" x14ac:dyDescent="0.3">
      <c r="A30" s="115" t="s">
        <v>807</v>
      </c>
      <c r="D30" s="23">
        <f t="shared" si="18"/>
        <v>33.319474965849025</v>
      </c>
      <c r="E30" s="23">
        <f t="shared" si="18"/>
        <v>33.319474965849025</v>
      </c>
      <c r="F30" s="23">
        <f t="shared" si="18"/>
        <v>33.319474965849025</v>
      </c>
      <c r="G30" s="23">
        <f t="shared" si="19"/>
        <v>33.319474965849025</v>
      </c>
      <c r="H30" s="23">
        <f t="shared" si="19"/>
        <v>33.319474965849025</v>
      </c>
      <c r="I30" s="23">
        <f t="shared" ref="I30" si="43">I22*I26/10^3</f>
        <v>33.319474965849025</v>
      </c>
      <c r="J30" s="23">
        <f t="shared" si="19"/>
        <v>33.319474965849025</v>
      </c>
      <c r="K30" s="23">
        <f t="shared" si="19"/>
        <v>33.319474965849025</v>
      </c>
      <c r="L30" s="23">
        <f t="shared" si="19"/>
        <v>33.319474965849025</v>
      </c>
      <c r="M30" s="23">
        <f t="shared" si="19"/>
        <v>33.319474965849025</v>
      </c>
      <c r="N30" s="23">
        <f t="shared" si="19"/>
        <v>33.319474965849025</v>
      </c>
      <c r="O30" s="23">
        <f t="shared" si="19"/>
        <v>33.319474965849025</v>
      </c>
      <c r="P30" s="23">
        <f t="shared" si="19"/>
        <v>33.319474965849025</v>
      </c>
      <c r="Q30" s="23">
        <f>Q22*Q26/10^3</f>
        <v>33.319474965849025</v>
      </c>
      <c r="R30" s="23">
        <f>R22*R26/10^3</f>
        <v>33.319474965849025</v>
      </c>
      <c r="S30" s="23">
        <f t="shared" si="19"/>
        <v>33.319474965849025</v>
      </c>
      <c r="T30" s="23">
        <f t="shared" si="19"/>
        <v>33.319474965849025</v>
      </c>
      <c r="U30" s="23">
        <f t="shared" ref="U30:AX30" si="44">U22*U26/10^3</f>
        <v>33.319474965849025</v>
      </c>
      <c r="V30" s="23">
        <f t="shared" si="44"/>
        <v>33.319474965849025</v>
      </c>
      <c r="W30" s="23">
        <f t="shared" si="44"/>
        <v>33.319474965849025</v>
      </c>
      <c r="X30" s="23">
        <f t="shared" ref="X30:Y30" si="45">X22*X26/10^3</f>
        <v>33.319474965849025</v>
      </c>
      <c r="Y30" s="23">
        <f t="shared" si="45"/>
        <v>33.319474965849025</v>
      </c>
      <c r="Z30" s="23">
        <f t="shared" si="44"/>
        <v>33.319474965849025</v>
      </c>
      <c r="AA30" s="23">
        <f t="shared" ref="AA30" si="46">AA22*AA26/10^3</f>
        <v>33.319474965849025</v>
      </c>
      <c r="AB30" s="23">
        <f t="shared" ref="AB30:AC30" si="47">AB22*AB26/10^3</f>
        <v>33.319474965849025</v>
      </c>
      <c r="AC30" s="23">
        <f t="shared" si="47"/>
        <v>33.319474965849025</v>
      </c>
      <c r="AD30" s="23">
        <f t="shared" ref="AD30" si="48">AD22*AD26/10^3</f>
        <v>33.319474965849025</v>
      </c>
      <c r="AE30" s="23">
        <f t="shared" ref="AE30" si="49">AE22*AE26/10^3</f>
        <v>33.319474965849025</v>
      </c>
      <c r="AF30" s="23">
        <f t="shared" si="44"/>
        <v>33.319474965849025</v>
      </c>
      <c r="AG30" s="23">
        <f t="shared" si="44"/>
        <v>33.319474965849025</v>
      </c>
      <c r="AH30" s="23">
        <f t="shared" si="44"/>
        <v>33.319474965849025</v>
      </c>
      <c r="AI30" s="23">
        <f t="shared" si="44"/>
        <v>33.319474965849025</v>
      </c>
      <c r="AJ30" s="23">
        <f t="shared" si="44"/>
        <v>33.319474965849025</v>
      </c>
      <c r="AK30" s="23">
        <f t="shared" si="44"/>
        <v>0</v>
      </c>
      <c r="AL30" s="23">
        <f t="shared" si="44"/>
        <v>0</v>
      </c>
      <c r="AM30" s="23">
        <f t="shared" si="44"/>
        <v>0</v>
      </c>
      <c r="AN30" s="23">
        <f t="shared" si="44"/>
        <v>0</v>
      </c>
      <c r="AO30" s="23">
        <f t="shared" si="44"/>
        <v>0</v>
      </c>
      <c r="AP30" s="23">
        <f t="shared" si="44"/>
        <v>0</v>
      </c>
      <c r="AQ30" s="23">
        <f t="shared" si="44"/>
        <v>0</v>
      </c>
      <c r="AR30" s="23">
        <f t="shared" si="44"/>
        <v>0</v>
      </c>
      <c r="AS30" s="23">
        <f t="shared" si="44"/>
        <v>0</v>
      </c>
      <c r="AT30" s="23">
        <f t="shared" si="44"/>
        <v>0</v>
      </c>
      <c r="AU30" s="23">
        <f t="shared" si="44"/>
        <v>0</v>
      </c>
      <c r="AV30" s="23">
        <f t="shared" si="44"/>
        <v>0</v>
      </c>
      <c r="AW30" s="23">
        <f t="shared" si="44"/>
        <v>0</v>
      </c>
      <c r="AX30" s="23">
        <f t="shared" si="44"/>
        <v>0</v>
      </c>
      <c r="AY30" s="23">
        <f t="shared" si="27"/>
        <v>0</v>
      </c>
      <c r="AZ30" s="23">
        <f t="shared" si="27"/>
        <v>0</v>
      </c>
      <c r="BA30" s="23">
        <f t="shared" si="27"/>
        <v>0</v>
      </c>
      <c r="BB30" s="23">
        <f t="shared" si="27"/>
        <v>0</v>
      </c>
      <c r="BC30" s="23">
        <f t="shared" si="28"/>
        <v>0</v>
      </c>
      <c r="BD30" s="23">
        <f t="shared" si="28"/>
        <v>0</v>
      </c>
      <c r="BE30" s="23">
        <f t="shared" si="28"/>
        <v>0</v>
      </c>
      <c r="BF30" s="23">
        <f t="shared" si="29"/>
        <v>0</v>
      </c>
      <c r="BG30" s="23">
        <f t="shared" si="29"/>
        <v>0</v>
      </c>
      <c r="BH30" s="23">
        <f t="shared" si="29"/>
        <v>0</v>
      </c>
      <c r="BI30" s="23">
        <f t="shared" ref="BI30:BU30" si="50">BI22*BI26/10^3</f>
        <v>0</v>
      </c>
      <c r="BJ30" s="23">
        <f t="shared" si="50"/>
        <v>0</v>
      </c>
      <c r="BK30" s="23">
        <f t="shared" si="50"/>
        <v>0</v>
      </c>
      <c r="BL30" s="23">
        <f t="shared" si="50"/>
        <v>0</v>
      </c>
      <c r="BM30" s="23">
        <f t="shared" si="50"/>
        <v>0</v>
      </c>
      <c r="BN30" s="23">
        <f t="shared" si="50"/>
        <v>0</v>
      </c>
      <c r="BO30" s="23">
        <f t="shared" si="50"/>
        <v>0</v>
      </c>
      <c r="BP30" s="23">
        <f t="shared" si="50"/>
        <v>0</v>
      </c>
      <c r="BQ30" s="23">
        <f t="shared" si="50"/>
        <v>0</v>
      </c>
      <c r="BR30" s="23">
        <f t="shared" si="50"/>
        <v>0</v>
      </c>
      <c r="BS30" s="23">
        <f t="shared" si="50"/>
        <v>0</v>
      </c>
      <c r="BT30" s="23">
        <f t="shared" si="50"/>
        <v>0</v>
      </c>
      <c r="BU30" s="23">
        <f t="shared" si="50"/>
        <v>0</v>
      </c>
      <c r="BV30" s="23">
        <f>BV22*BV26/10^3</f>
        <v>0</v>
      </c>
      <c r="BW30" s="23">
        <f t="shared" si="31"/>
        <v>0</v>
      </c>
      <c r="BX30" s="23">
        <f t="shared" si="31"/>
        <v>0</v>
      </c>
      <c r="BY30" s="23">
        <f t="shared" si="31"/>
        <v>0</v>
      </c>
      <c r="BZ30" s="23">
        <f t="shared" si="31"/>
        <v>0</v>
      </c>
      <c r="CA30" s="23">
        <f t="shared" si="31"/>
        <v>0</v>
      </c>
      <c r="CB30" s="23">
        <f t="shared" si="31"/>
        <v>0</v>
      </c>
      <c r="CC30" s="23">
        <f t="shared" si="31"/>
        <v>0</v>
      </c>
      <c r="CD30" s="23">
        <f t="shared" si="32"/>
        <v>0</v>
      </c>
      <c r="CE30" s="23">
        <f t="shared" si="32"/>
        <v>0</v>
      </c>
      <c r="CF30" s="23">
        <f t="shared" si="32"/>
        <v>0</v>
      </c>
      <c r="CG30" s="23">
        <f t="shared" si="32"/>
        <v>0</v>
      </c>
      <c r="CH30" s="23">
        <f t="shared" ref="CH30:CK30" si="51">CH22*CH26/10^3</f>
        <v>0</v>
      </c>
      <c r="CI30" s="23">
        <f t="shared" si="51"/>
        <v>0</v>
      </c>
      <c r="CJ30" s="23">
        <f t="shared" si="51"/>
        <v>0</v>
      </c>
      <c r="CK30" s="23">
        <f t="shared" si="51"/>
        <v>0</v>
      </c>
      <c r="CL30" s="23">
        <f t="shared" si="33"/>
        <v>0</v>
      </c>
      <c r="CM30" s="23">
        <f t="shared" ref="CM30:CX30" si="52">CM22*CM26/10^3</f>
        <v>0</v>
      </c>
      <c r="CN30" s="23">
        <f t="shared" si="52"/>
        <v>0</v>
      </c>
      <c r="CO30" s="23">
        <f t="shared" si="52"/>
        <v>0</v>
      </c>
      <c r="CP30" s="23">
        <f t="shared" si="52"/>
        <v>0</v>
      </c>
      <c r="CQ30" s="23">
        <f t="shared" si="52"/>
        <v>0</v>
      </c>
      <c r="CR30" s="23">
        <f t="shared" si="52"/>
        <v>0</v>
      </c>
      <c r="CS30" s="23">
        <f t="shared" si="52"/>
        <v>0</v>
      </c>
      <c r="CT30" s="23">
        <f t="shared" si="52"/>
        <v>0</v>
      </c>
      <c r="CU30" s="23">
        <f t="shared" si="52"/>
        <v>0</v>
      </c>
      <c r="CV30" s="23">
        <f t="shared" si="52"/>
        <v>0</v>
      </c>
      <c r="CW30" s="23">
        <f t="shared" si="52"/>
        <v>0</v>
      </c>
      <c r="CX30" s="23">
        <f t="shared" si="52"/>
        <v>0</v>
      </c>
      <c r="CY30" s="23">
        <f>CY22*CY26/10^3</f>
        <v>0</v>
      </c>
      <c r="CZ30" s="23">
        <f>CZ22*CZ26/10^3</f>
        <v>0</v>
      </c>
      <c r="DA30" s="23">
        <f>DA22*DA26/10^3</f>
        <v>0</v>
      </c>
      <c r="DB30" s="23">
        <f>DB22*DB26/10^3</f>
        <v>0</v>
      </c>
      <c r="DC30" s="23">
        <f t="shared" si="35"/>
        <v>0</v>
      </c>
      <c r="DD30" s="23">
        <f t="shared" si="36"/>
        <v>0</v>
      </c>
      <c r="DE30" s="23">
        <f t="shared" si="36"/>
        <v>0</v>
      </c>
      <c r="DF30" s="23">
        <f t="shared" si="36"/>
        <v>0</v>
      </c>
      <c r="DG30" s="23"/>
      <c r="DH30" s="23">
        <f t="shared" si="37"/>
        <v>0</v>
      </c>
      <c r="DI30" s="23">
        <f t="shared" si="37"/>
        <v>0</v>
      </c>
      <c r="DJ30" s="23">
        <f t="shared" si="37"/>
        <v>0</v>
      </c>
      <c r="DK30" s="23">
        <f t="shared" ref="DK30:DP30" si="53">DK22*DK26/10^3</f>
        <v>33.319474965849025</v>
      </c>
      <c r="DL30" s="23">
        <f t="shared" si="53"/>
        <v>33.319474965849025</v>
      </c>
      <c r="DM30" s="23">
        <f>DM22*DM26/10^3</f>
        <v>33.319474965849025</v>
      </c>
      <c r="DN30" s="23">
        <f t="shared" si="53"/>
        <v>33.319474965849025</v>
      </c>
      <c r="DO30" s="23">
        <f t="shared" si="53"/>
        <v>33.319474965849025</v>
      </c>
      <c r="DP30" s="23">
        <f t="shared" si="53"/>
        <v>33.319474965849025</v>
      </c>
      <c r="DQ30" s="23">
        <f>DQ22*DQ26/10^3</f>
        <v>33.319474965849025</v>
      </c>
      <c r="DR30" s="23">
        <f>DR22*DR26/10^3</f>
        <v>33.319474965849025</v>
      </c>
      <c r="DS30" s="23">
        <f t="shared" ref="DS30" si="54">DS22*DS26/10^3</f>
        <v>33.319474965849025</v>
      </c>
      <c r="DT30" s="23">
        <f t="shared" si="40"/>
        <v>33.319474965849025</v>
      </c>
      <c r="DU30" s="23">
        <f t="shared" si="40"/>
        <v>33.319474965849025</v>
      </c>
      <c r="DV30" s="23">
        <f t="shared" ref="DV30" si="55">DV22*DV26/10^3</f>
        <v>33.319474965849025</v>
      </c>
      <c r="DW30" s="23">
        <f t="shared" si="40"/>
        <v>33.319474965849025</v>
      </c>
      <c r="DX30" s="23">
        <f t="shared" ref="DX30:EC30" si="56">DX22*DX26/10^3</f>
        <v>0</v>
      </c>
      <c r="DY30" s="23">
        <f t="shared" si="56"/>
        <v>0</v>
      </c>
      <c r="DZ30" s="23">
        <f t="shared" si="56"/>
        <v>0</v>
      </c>
      <c r="EA30" s="23">
        <f t="shared" si="56"/>
        <v>0</v>
      </c>
      <c r="EB30" s="23">
        <f t="shared" si="56"/>
        <v>0</v>
      </c>
      <c r="EC30" s="23">
        <f t="shared" si="56"/>
        <v>0</v>
      </c>
      <c r="ED30" s="23">
        <f>ED22*ED26/10^3</f>
        <v>0</v>
      </c>
    </row>
    <row r="31" spans="1:134" x14ac:dyDescent="0.3">
      <c r="A31" s="115"/>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row>
    <row r="32" spans="1:134" x14ac:dyDescent="0.3">
      <c r="A32" s="21" t="s">
        <v>152</v>
      </c>
      <c r="B32" s="21" t="s">
        <v>118</v>
      </c>
    </row>
    <row r="33" spans="1:138" x14ac:dyDescent="0.3">
      <c r="A33" s="21" t="str">
        <f>'1_Manufacturing'!A22</f>
        <v xml:space="preserve">   Steel</v>
      </c>
      <c r="D33" s="68">
        <f>[5]Mat_Inputs!$D$171</f>
        <v>0.26400000000000001</v>
      </c>
    </row>
    <row r="35" spans="1:138" x14ac:dyDescent="0.3">
      <c r="A35" s="21" t="str">
        <f>'1_Manufacturing'!A36</f>
        <v>Energy intensity of material production</v>
      </c>
      <c r="B35" s="21" t="str">
        <f>'1_Manufacturing'!B36</f>
        <v>[MJ/kg]</v>
      </c>
    </row>
    <row r="36" spans="1:138" x14ac:dyDescent="0.3">
      <c r="A36" s="21" t="str">
        <f>A11</f>
        <v xml:space="preserve">   Asphalt</v>
      </c>
      <c r="D36" s="265">
        <f>AVERAGE(1.9-1.823,1.41-0.9919)</f>
        <v>0.24754999999999994</v>
      </c>
      <c r="EG36" s="21" t="s">
        <v>82</v>
      </c>
    </row>
    <row r="37" spans="1:138" x14ac:dyDescent="0.3">
      <c r="A37" s="21" t="str">
        <f>A12</f>
        <v xml:space="preserve">   Cement </v>
      </c>
      <c r="D37" s="69">
        <f>[5]Cement_Concrete!$B$63*Convert!$G$9/1000</f>
        <v>5.0601071792155432</v>
      </c>
      <c r="EG37" s="62" t="s">
        <v>148</v>
      </c>
      <c r="EH37" s="74" t="s">
        <v>913</v>
      </c>
    </row>
    <row r="38" spans="1:138" x14ac:dyDescent="0.3">
      <c r="A38" s="21" t="str">
        <f>'1_Manufacturing'!A38</f>
        <v xml:space="preserve">   Virgin steel</v>
      </c>
      <c r="D38" s="69">
        <f>[5]Steel!$I$94*Convert!$G$9/1000</f>
        <v>24.183271295973196</v>
      </c>
      <c r="EG38" s="267" t="s">
        <v>802</v>
      </c>
    </row>
    <row r="39" spans="1:138" x14ac:dyDescent="0.3">
      <c r="A39" s="21" t="str">
        <f>'1_Manufacturing'!A39</f>
        <v xml:space="preserve">   Recycled steel</v>
      </c>
      <c r="D39" s="69">
        <f>[5]Steel!$E$128*Convert!$G$9/1000</f>
        <v>19.061663037236091</v>
      </c>
    </row>
    <row r="41" spans="1:138" x14ac:dyDescent="0.3">
      <c r="A41" s="21" t="s">
        <v>803</v>
      </c>
      <c r="B41" s="21" t="s">
        <v>805</v>
      </c>
      <c r="AO41" s="21">
        <f>AO42/1000</f>
        <v>1223.3211316573165</v>
      </c>
    </row>
    <row r="42" spans="1:138" x14ac:dyDescent="0.3">
      <c r="A42" s="21" t="s">
        <v>806</v>
      </c>
      <c r="D42" s="45">
        <f>($D36*D11+$D37*D12+$D38*(1-$D33)*D13+$D39*$D33*D13)*1000</f>
        <v>113882.11753234973</v>
      </c>
      <c r="E42" s="45">
        <f t="shared" ref="E42:BP42" si="57">($D36*E11+$D37*E12+$D38*(1-$D33)*E13+$D39*$D33*E13)*1000</f>
        <v>113882.11753234973</v>
      </c>
      <c r="F42" s="45">
        <f t="shared" si="57"/>
        <v>113882.11753234973</v>
      </c>
      <c r="G42" s="45">
        <f t="shared" si="57"/>
        <v>113882.11753234973</v>
      </c>
      <c r="H42" s="45">
        <f t="shared" si="57"/>
        <v>113882.11753234973</v>
      </c>
      <c r="I42" s="45">
        <f t="shared" si="57"/>
        <v>113882.11753234973</v>
      </c>
      <c r="J42" s="45">
        <f t="shared" si="57"/>
        <v>113882.11753234973</v>
      </c>
      <c r="K42" s="45">
        <f t="shared" si="57"/>
        <v>113882.11753234973</v>
      </c>
      <c r="L42" s="45">
        <f t="shared" si="57"/>
        <v>113882.11753234973</v>
      </c>
      <c r="M42" s="45">
        <f t="shared" si="57"/>
        <v>113882.11753234973</v>
      </c>
      <c r="N42" s="45">
        <f t="shared" si="57"/>
        <v>113882.11753234973</v>
      </c>
      <c r="O42" s="45">
        <f t="shared" si="57"/>
        <v>113882.11753234973</v>
      </c>
      <c r="P42" s="45">
        <f t="shared" si="57"/>
        <v>113882.11753234973</v>
      </c>
      <c r="Q42" s="45">
        <f t="shared" si="57"/>
        <v>113882.11753234973</v>
      </c>
      <c r="R42" s="45">
        <f t="shared" si="57"/>
        <v>113882.11753234973</v>
      </c>
      <c r="S42" s="45">
        <f t="shared" si="57"/>
        <v>113882.11753234973</v>
      </c>
      <c r="T42" s="45">
        <f t="shared" si="57"/>
        <v>113882.11753234973</v>
      </c>
      <c r="U42" s="45">
        <f t="shared" si="57"/>
        <v>113882.11753234973</v>
      </c>
      <c r="V42" s="45">
        <f t="shared" si="57"/>
        <v>113882.11753234973</v>
      </c>
      <c r="W42" s="45">
        <f t="shared" si="57"/>
        <v>113882.11753234973</v>
      </c>
      <c r="X42" s="45">
        <f t="shared" si="57"/>
        <v>113882.11753234973</v>
      </c>
      <c r="Y42" s="45">
        <f t="shared" si="57"/>
        <v>113882.11753234973</v>
      </c>
      <c r="Z42" s="45">
        <f t="shared" si="57"/>
        <v>113882.11753234973</v>
      </c>
      <c r="AA42" s="45">
        <f t="shared" si="57"/>
        <v>113882.11753234973</v>
      </c>
      <c r="AB42" s="45">
        <f t="shared" si="57"/>
        <v>113882.11753234973</v>
      </c>
      <c r="AC42" s="45">
        <f t="shared" si="57"/>
        <v>113882.11753234973</v>
      </c>
      <c r="AD42" s="45">
        <f t="shared" si="57"/>
        <v>113882.11753234973</v>
      </c>
      <c r="AE42" s="45">
        <f t="shared" si="57"/>
        <v>113882.11753234973</v>
      </c>
      <c r="AF42" s="45">
        <f t="shared" si="57"/>
        <v>113882.11753234973</v>
      </c>
      <c r="AG42" s="45">
        <f t="shared" si="57"/>
        <v>113882.11753234973</v>
      </c>
      <c r="AH42" s="45">
        <f t="shared" si="57"/>
        <v>113882.11753234973</v>
      </c>
      <c r="AI42" s="45">
        <f t="shared" si="57"/>
        <v>113882.11753234973</v>
      </c>
      <c r="AJ42" s="45">
        <f t="shared" si="57"/>
        <v>113882.11753234973</v>
      </c>
      <c r="AK42" s="45">
        <f t="shared" si="57"/>
        <v>1077803.4422548697</v>
      </c>
      <c r="AL42" s="45">
        <f t="shared" si="57"/>
        <v>1077803.4422548697</v>
      </c>
      <c r="AM42" s="45">
        <f t="shared" si="57"/>
        <v>1077803.4422548697</v>
      </c>
      <c r="AN42" s="45">
        <f t="shared" si="57"/>
        <v>1077803.4422548697</v>
      </c>
      <c r="AO42" s="45">
        <f t="shared" si="57"/>
        <v>1223321.1316573166</v>
      </c>
      <c r="AP42" s="45">
        <f t="shared" si="57"/>
        <v>1223321.1316573166</v>
      </c>
      <c r="AQ42" s="45">
        <f t="shared" si="57"/>
        <v>1223321.1316573166</v>
      </c>
      <c r="AR42" s="45">
        <f t="shared" si="57"/>
        <v>1223321.1316573166</v>
      </c>
      <c r="AS42" s="45">
        <f t="shared" si="57"/>
        <v>1223321.1316573166</v>
      </c>
      <c r="AT42" s="45">
        <f t="shared" si="57"/>
        <v>1223321.1316573166</v>
      </c>
      <c r="AU42" s="45">
        <f t="shared" si="57"/>
        <v>1223321.1316573166</v>
      </c>
      <c r="AV42" s="45">
        <f t="shared" si="57"/>
        <v>1223321.1316573166</v>
      </c>
      <c r="AW42" s="45">
        <f t="shared" si="57"/>
        <v>1223321.1316573166</v>
      </c>
      <c r="AX42" s="45">
        <f t="shared" si="57"/>
        <v>1223321.1316573166</v>
      </c>
      <c r="AY42" s="45">
        <f t="shared" si="57"/>
        <v>1223321.1316573166</v>
      </c>
      <c r="AZ42" s="45">
        <f t="shared" si="57"/>
        <v>1223321.1316573166</v>
      </c>
      <c r="BA42" s="45">
        <f t="shared" si="57"/>
        <v>1223321.1316573166</v>
      </c>
      <c r="BB42" s="45">
        <f t="shared" si="57"/>
        <v>1223321.1316573166</v>
      </c>
      <c r="BC42" s="45">
        <f t="shared" si="57"/>
        <v>1077803.4422548697</v>
      </c>
      <c r="BD42" s="45">
        <f t="shared" si="57"/>
        <v>1077803.4422548697</v>
      </c>
      <c r="BE42" s="45">
        <f t="shared" si="57"/>
        <v>1077803.4422548697</v>
      </c>
      <c r="BF42" s="45">
        <f t="shared" si="57"/>
        <v>1077803.4422548697</v>
      </c>
      <c r="BG42" s="45">
        <f t="shared" si="57"/>
        <v>1077803.4422548697</v>
      </c>
      <c r="BH42" s="45">
        <f t="shared" si="57"/>
        <v>1077803.4422548697</v>
      </c>
      <c r="BI42" s="45">
        <f t="shared" si="57"/>
        <v>1077803.4422548697</v>
      </c>
      <c r="BJ42" s="45">
        <f t="shared" si="57"/>
        <v>1077803.4422548697</v>
      </c>
      <c r="BK42" s="45">
        <f t="shared" si="57"/>
        <v>1077803.4422548697</v>
      </c>
      <c r="BL42" s="45">
        <f t="shared" si="57"/>
        <v>1077803.4422548697</v>
      </c>
      <c r="BM42" s="45">
        <f t="shared" si="57"/>
        <v>1077803.4422548697</v>
      </c>
      <c r="BN42" s="45">
        <f t="shared" si="57"/>
        <v>1077803.4422548697</v>
      </c>
      <c r="BO42" s="45">
        <f t="shared" si="57"/>
        <v>1077803.4422548697</v>
      </c>
      <c r="BP42" s="45">
        <f t="shared" si="57"/>
        <v>1077803.4422548697</v>
      </c>
      <c r="BQ42" s="45">
        <f t="shared" ref="BQ42:EB42" si="58">($D36*BQ11+$D37*BQ12+$D38*(1-$D33)*BQ13+$D39*$D33*BQ13)*1000</f>
        <v>1077803.4422548697</v>
      </c>
      <c r="BR42" s="45">
        <f t="shared" si="58"/>
        <v>1077803.4422548697</v>
      </c>
      <c r="BS42" s="45">
        <f t="shared" si="58"/>
        <v>1077803.4422548697</v>
      </c>
      <c r="BT42" s="45">
        <f t="shared" si="58"/>
        <v>1077803.4422548697</v>
      </c>
      <c r="BU42" s="45">
        <f t="shared" si="58"/>
        <v>1077803.4422548697</v>
      </c>
      <c r="BV42" s="45">
        <f t="shared" si="58"/>
        <v>1077803.4422548697</v>
      </c>
      <c r="BW42" s="45">
        <f t="shared" si="58"/>
        <v>1077803.4422548697</v>
      </c>
      <c r="BX42" s="45">
        <f t="shared" si="58"/>
        <v>1077803.4422548697</v>
      </c>
      <c r="BY42" s="45">
        <f t="shared" si="58"/>
        <v>1077803.4422548697</v>
      </c>
      <c r="BZ42" s="45">
        <f t="shared" si="58"/>
        <v>1077803.4422548697</v>
      </c>
      <c r="CA42" s="45">
        <f t="shared" si="58"/>
        <v>1077803.4422548697</v>
      </c>
      <c r="CB42" s="45">
        <f t="shared" si="58"/>
        <v>1077803.4422548697</v>
      </c>
      <c r="CC42" s="45">
        <f t="shared" si="58"/>
        <v>1077803.4422548697</v>
      </c>
      <c r="CD42" s="45">
        <f t="shared" si="58"/>
        <v>1077803.4422548697</v>
      </c>
      <c r="CE42" s="45">
        <f t="shared" si="58"/>
        <v>1077803.4422548697</v>
      </c>
      <c r="CF42" s="45">
        <f t="shared" si="58"/>
        <v>1077803.4422548697</v>
      </c>
      <c r="CG42" s="45">
        <f t="shared" si="58"/>
        <v>1077803.4422548697</v>
      </c>
      <c r="CH42" s="45">
        <f t="shared" si="58"/>
        <v>1077803.4422548697</v>
      </c>
      <c r="CI42" s="45">
        <f t="shared" si="58"/>
        <v>1077803.4422548697</v>
      </c>
      <c r="CJ42" s="45">
        <f t="shared" si="58"/>
        <v>1077803.4422548697</v>
      </c>
      <c r="CK42" s="45">
        <f t="shared" si="58"/>
        <v>1077803.4422548697</v>
      </c>
      <c r="CL42" s="45">
        <f t="shared" si="58"/>
        <v>1077803.4422548697</v>
      </c>
      <c r="CM42" s="45">
        <f t="shared" si="58"/>
        <v>1077803.4422548697</v>
      </c>
      <c r="CN42" s="45">
        <f t="shared" si="58"/>
        <v>1223321.1316573166</v>
      </c>
      <c r="CO42" s="45">
        <f t="shared" si="58"/>
        <v>1223321.1316573166</v>
      </c>
      <c r="CP42" s="45">
        <f t="shared" si="58"/>
        <v>1223321.1316573166</v>
      </c>
      <c r="CQ42" s="45">
        <f t="shared" si="58"/>
        <v>1223321.1316573166</v>
      </c>
      <c r="CR42" s="45">
        <f t="shared" si="58"/>
        <v>1223321.1316573166</v>
      </c>
      <c r="CS42" s="45">
        <f t="shared" si="58"/>
        <v>1077803.4422548697</v>
      </c>
      <c r="CT42" s="45">
        <f t="shared" si="58"/>
        <v>1077803.4422548697</v>
      </c>
      <c r="CU42" s="45">
        <f t="shared" si="58"/>
        <v>1077803.4422548697</v>
      </c>
      <c r="CV42" s="45">
        <f t="shared" si="58"/>
        <v>1077803.4422548697</v>
      </c>
      <c r="CW42" s="45">
        <f t="shared" si="58"/>
        <v>1077803.4422548697</v>
      </c>
      <c r="CX42" s="45">
        <f t="shared" si="58"/>
        <v>1077803.4422548697</v>
      </c>
      <c r="CY42" s="45">
        <f t="shared" si="58"/>
        <v>1077803.4422548697</v>
      </c>
      <c r="CZ42" s="45">
        <f t="shared" si="58"/>
        <v>1077803.4422548697</v>
      </c>
      <c r="DA42" s="45">
        <f t="shared" si="58"/>
        <v>1077803.4422548697</v>
      </c>
      <c r="DB42" s="45">
        <f t="shared" si="58"/>
        <v>1077803.4422548697</v>
      </c>
      <c r="DC42" s="45">
        <f t="shared" si="58"/>
        <v>1077803.4422548697</v>
      </c>
      <c r="DD42" s="45">
        <f t="shared" si="58"/>
        <v>1077803.4422548697</v>
      </c>
      <c r="DE42" s="45">
        <f t="shared" si="58"/>
        <v>1077803.4422548697</v>
      </c>
      <c r="DF42" s="45">
        <f t="shared" si="58"/>
        <v>1077803.4422548697</v>
      </c>
      <c r="DG42" s="45">
        <f t="shared" si="58"/>
        <v>0</v>
      </c>
      <c r="DH42" s="45">
        <f t="shared" si="58"/>
        <v>1077803.4422548697</v>
      </c>
      <c r="DI42" s="45">
        <f t="shared" si="58"/>
        <v>1077803.4422548697</v>
      </c>
      <c r="DJ42" s="45">
        <f t="shared" si="58"/>
        <v>1077803.4422548697</v>
      </c>
      <c r="DK42" s="45">
        <f t="shared" si="58"/>
        <v>1077803.4422548697</v>
      </c>
      <c r="DL42" s="45">
        <f t="shared" si="58"/>
        <v>1077803.4422548697</v>
      </c>
      <c r="DM42" s="45">
        <f t="shared" si="58"/>
        <v>1077803.4422548697</v>
      </c>
      <c r="DN42" s="45">
        <f t="shared" si="58"/>
        <v>1077803.4422548697</v>
      </c>
      <c r="DO42" s="45">
        <f t="shared" si="58"/>
        <v>1077803.4422548697</v>
      </c>
      <c r="DP42" s="45">
        <f t="shared" si="58"/>
        <v>1077803.4422548697</v>
      </c>
      <c r="DQ42" s="45">
        <f t="shared" si="58"/>
        <v>1077803.4422548697</v>
      </c>
      <c r="DR42" s="45">
        <f t="shared" si="58"/>
        <v>1077803.4422548697</v>
      </c>
      <c r="DS42" s="45">
        <f t="shared" si="58"/>
        <v>1077803.4422548697</v>
      </c>
      <c r="DT42" s="45">
        <f t="shared" si="58"/>
        <v>1077803.4422548697</v>
      </c>
      <c r="DU42" s="45">
        <f t="shared" si="58"/>
        <v>1077803.4422548697</v>
      </c>
      <c r="DV42" s="45">
        <f t="shared" si="58"/>
        <v>1077803.4422548697</v>
      </c>
      <c r="DW42" s="45">
        <f t="shared" si="58"/>
        <v>1077803.4422548697</v>
      </c>
      <c r="DX42" s="45">
        <f t="shared" si="58"/>
        <v>34631439.334818989</v>
      </c>
      <c r="DY42" s="45">
        <f t="shared" si="58"/>
        <v>34631439.334818989</v>
      </c>
      <c r="DZ42" s="45">
        <f t="shared" si="58"/>
        <v>34631439.334818989</v>
      </c>
      <c r="EA42" s="45">
        <f t="shared" si="58"/>
        <v>34631439.334818989</v>
      </c>
      <c r="EB42" s="45">
        <f t="shared" si="58"/>
        <v>34631439.334818989</v>
      </c>
      <c r="EC42" s="45">
        <f t="shared" ref="EC42:ED42" si="59">($D36*EC11+$D37*EC12+$D38*(1-$D33)*EC13+$D39*$D33*EC13)*1000</f>
        <v>34631439.334818989</v>
      </c>
      <c r="ED42" s="45">
        <f t="shared" si="59"/>
        <v>34631439.334818989</v>
      </c>
    </row>
    <row r="43" spans="1:138" x14ac:dyDescent="0.3">
      <c r="A43" s="21" t="s">
        <v>807</v>
      </c>
      <c r="D43" s="45">
        <f>($D36*D16+$D37*D17+$D38*(1-$D33)*D18+$D39*$D33*D18)*1000</f>
        <v>1077803.4422548697</v>
      </c>
      <c r="E43" s="45">
        <f t="shared" ref="E43:BP43" si="60">($D36*E16+$D37*E17+$D38*(1-$D33)*E18+$D39*$D33*E18)*1000</f>
        <v>1077803.4422548697</v>
      </c>
      <c r="F43" s="45">
        <f t="shared" si="60"/>
        <v>1077803.4422548697</v>
      </c>
      <c r="G43" s="45">
        <f t="shared" si="60"/>
        <v>1077803.4422548697</v>
      </c>
      <c r="H43" s="45">
        <f t="shared" si="60"/>
        <v>1077803.4422548697</v>
      </c>
      <c r="I43" s="45">
        <f t="shared" si="60"/>
        <v>1077803.4422548697</v>
      </c>
      <c r="J43" s="45">
        <f t="shared" si="60"/>
        <v>1077803.4422548697</v>
      </c>
      <c r="K43" s="45">
        <f t="shared" si="60"/>
        <v>1077803.4422548697</v>
      </c>
      <c r="L43" s="45">
        <f t="shared" si="60"/>
        <v>1077803.4422548697</v>
      </c>
      <c r="M43" s="45">
        <f t="shared" si="60"/>
        <v>1077803.4422548697</v>
      </c>
      <c r="N43" s="45">
        <f t="shared" si="60"/>
        <v>1077803.4422548697</v>
      </c>
      <c r="O43" s="45">
        <f t="shared" si="60"/>
        <v>1077803.4422548697</v>
      </c>
      <c r="P43" s="45">
        <f t="shared" si="60"/>
        <v>1077803.4422548697</v>
      </c>
      <c r="Q43" s="45">
        <f t="shared" si="60"/>
        <v>1077803.4422548697</v>
      </c>
      <c r="R43" s="45">
        <f t="shared" si="60"/>
        <v>1077803.4422548697</v>
      </c>
      <c r="S43" s="45">
        <f t="shared" si="60"/>
        <v>1077803.4422548697</v>
      </c>
      <c r="T43" s="45">
        <f t="shared" si="60"/>
        <v>1077803.4422548697</v>
      </c>
      <c r="U43" s="45">
        <f t="shared" si="60"/>
        <v>1077803.4422548697</v>
      </c>
      <c r="V43" s="45">
        <f t="shared" si="60"/>
        <v>1077803.4422548697</v>
      </c>
      <c r="W43" s="45">
        <f t="shared" si="60"/>
        <v>1077803.4422548697</v>
      </c>
      <c r="X43" s="45">
        <f t="shared" si="60"/>
        <v>1077803.4422548697</v>
      </c>
      <c r="Y43" s="45">
        <f t="shared" si="60"/>
        <v>1077803.4422548697</v>
      </c>
      <c r="Z43" s="45">
        <f t="shared" si="60"/>
        <v>1077803.4422548697</v>
      </c>
      <c r="AA43" s="45">
        <f t="shared" si="60"/>
        <v>1077803.4422548697</v>
      </c>
      <c r="AB43" s="45">
        <f t="shared" si="60"/>
        <v>1077803.4422548697</v>
      </c>
      <c r="AC43" s="45">
        <f t="shared" si="60"/>
        <v>1077803.4422548697</v>
      </c>
      <c r="AD43" s="45">
        <f t="shared" si="60"/>
        <v>1077803.4422548697</v>
      </c>
      <c r="AE43" s="45">
        <f t="shared" si="60"/>
        <v>1077803.4422548697</v>
      </c>
      <c r="AF43" s="45">
        <f t="shared" si="60"/>
        <v>1077803.4422548697</v>
      </c>
      <c r="AG43" s="45">
        <f t="shared" si="60"/>
        <v>1077803.4422548697</v>
      </c>
      <c r="AH43" s="45">
        <f t="shared" si="60"/>
        <v>1077803.4422548697</v>
      </c>
      <c r="AI43" s="45">
        <f t="shared" si="60"/>
        <v>1077803.4422548697</v>
      </c>
      <c r="AJ43" s="45">
        <f t="shared" si="60"/>
        <v>1077803.4422548697</v>
      </c>
      <c r="AK43" s="45">
        <f t="shared" si="60"/>
        <v>0</v>
      </c>
      <c r="AL43" s="45">
        <f t="shared" si="60"/>
        <v>0</v>
      </c>
      <c r="AM43" s="45">
        <f t="shared" si="60"/>
        <v>0</v>
      </c>
      <c r="AN43" s="45">
        <f t="shared" si="60"/>
        <v>0</v>
      </c>
      <c r="AO43" s="45">
        <f t="shared" si="60"/>
        <v>0</v>
      </c>
      <c r="AP43" s="45">
        <f t="shared" si="60"/>
        <v>0</v>
      </c>
      <c r="AQ43" s="45">
        <f t="shared" si="60"/>
        <v>0</v>
      </c>
      <c r="AR43" s="45">
        <f t="shared" si="60"/>
        <v>0</v>
      </c>
      <c r="AS43" s="45">
        <f t="shared" si="60"/>
        <v>0</v>
      </c>
      <c r="AT43" s="45">
        <f t="shared" si="60"/>
        <v>0</v>
      </c>
      <c r="AU43" s="45">
        <f t="shared" si="60"/>
        <v>0</v>
      </c>
      <c r="AV43" s="45">
        <f t="shared" si="60"/>
        <v>0</v>
      </c>
      <c r="AW43" s="45">
        <f t="shared" si="60"/>
        <v>0</v>
      </c>
      <c r="AX43" s="45">
        <f t="shared" si="60"/>
        <v>0</v>
      </c>
      <c r="AY43" s="45">
        <f t="shared" si="60"/>
        <v>0</v>
      </c>
      <c r="AZ43" s="45">
        <f t="shared" si="60"/>
        <v>0</v>
      </c>
      <c r="BA43" s="45">
        <f t="shared" si="60"/>
        <v>0</v>
      </c>
      <c r="BB43" s="45">
        <f t="shared" si="60"/>
        <v>0</v>
      </c>
      <c r="BC43" s="45">
        <f t="shared" si="60"/>
        <v>0</v>
      </c>
      <c r="BD43" s="45">
        <f t="shared" si="60"/>
        <v>0</v>
      </c>
      <c r="BE43" s="45">
        <f t="shared" si="60"/>
        <v>0</v>
      </c>
      <c r="BF43" s="45">
        <f t="shared" si="60"/>
        <v>0</v>
      </c>
      <c r="BG43" s="45">
        <f t="shared" si="60"/>
        <v>0</v>
      </c>
      <c r="BH43" s="45">
        <f t="shared" si="60"/>
        <v>0</v>
      </c>
      <c r="BI43" s="45">
        <f t="shared" si="60"/>
        <v>0</v>
      </c>
      <c r="BJ43" s="45">
        <f t="shared" si="60"/>
        <v>0</v>
      </c>
      <c r="BK43" s="45">
        <f t="shared" si="60"/>
        <v>0</v>
      </c>
      <c r="BL43" s="45">
        <f t="shared" si="60"/>
        <v>0</v>
      </c>
      <c r="BM43" s="45">
        <f t="shared" si="60"/>
        <v>0</v>
      </c>
      <c r="BN43" s="45">
        <f t="shared" si="60"/>
        <v>0</v>
      </c>
      <c r="BO43" s="45">
        <f t="shared" si="60"/>
        <v>0</v>
      </c>
      <c r="BP43" s="45">
        <f t="shared" si="60"/>
        <v>0</v>
      </c>
      <c r="BQ43" s="45">
        <f t="shared" ref="BQ43:EB43" si="61">($D36*BQ16+$D37*BQ17+$D38*(1-$D33)*BQ18+$D39*$D33*BQ18)*1000</f>
        <v>0</v>
      </c>
      <c r="BR43" s="45">
        <f t="shared" si="61"/>
        <v>0</v>
      </c>
      <c r="BS43" s="45">
        <f t="shared" si="61"/>
        <v>0</v>
      </c>
      <c r="BT43" s="45">
        <f t="shared" si="61"/>
        <v>0</v>
      </c>
      <c r="BU43" s="45">
        <f t="shared" si="61"/>
        <v>0</v>
      </c>
      <c r="BV43" s="45">
        <f t="shared" si="61"/>
        <v>0</v>
      </c>
      <c r="BW43" s="45">
        <f t="shared" si="61"/>
        <v>0</v>
      </c>
      <c r="BX43" s="45">
        <f t="shared" si="61"/>
        <v>0</v>
      </c>
      <c r="BY43" s="45">
        <f t="shared" si="61"/>
        <v>0</v>
      </c>
      <c r="BZ43" s="45">
        <f t="shared" si="61"/>
        <v>0</v>
      </c>
      <c r="CA43" s="45">
        <f t="shared" si="61"/>
        <v>0</v>
      </c>
      <c r="CB43" s="45">
        <f t="shared" si="61"/>
        <v>0</v>
      </c>
      <c r="CC43" s="45">
        <f t="shared" si="61"/>
        <v>0</v>
      </c>
      <c r="CD43" s="45">
        <f t="shared" si="61"/>
        <v>0</v>
      </c>
      <c r="CE43" s="45">
        <f t="shared" si="61"/>
        <v>0</v>
      </c>
      <c r="CF43" s="45">
        <f t="shared" si="61"/>
        <v>0</v>
      </c>
      <c r="CG43" s="45">
        <f t="shared" si="61"/>
        <v>0</v>
      </c>
      <c r="CH43" s="45">
        <f t="shared" si="61"/>
        <v>0</v>
      </c>
      <c r="CI43" s="45">
        <f t="shared" si="61"/>
        <v>0</v>
      </c>
      <c r="CJ43" s="45">
        <f t="shared" si="61"/>
        <v>0</v>
      </c>
      <c r="CK43" s="45">
        <f t="shared" si="61"/>
        <v>0</v>
      </c>
      <c r="CL43" s="45">
        <f t="shared" si="61"/>
        <v>0</v>
      </c>
      <c r="CM43" s="45">
        <f t="shared" si="61"/>
        <v>0</v>
      </c>
      <c r="CN43" s="45">
        <f t="shared" si="61"/>
        <v>0</v>
      </c>
      <c r="CO43" s="45">
        <f t="shared" si="61"/>
        <v>0</v>
      </c>
      <c r="CP43" s="45">
        <f t="shared" si="61"/>
        <v>0</v>
      </c>
      <c r="CQ43" s="45">
        <f t="shared" si="61"/>
        <v>0</v>
      </c>
      <c r="CR43" s="45">
        <f t="shared" si="61"/>
        <v>0</v>
      </c>
      <c r="CS43" s="45">
        <f t="shared" si="61"/>
        <v>0</v>
      </c>
      <c r="CT43" s="45">
        <f t="shared" si="61"/>
        <v>0</v>
      </c>
      <c r="CU43" s="45">
        <f t="shared" si="61"/>
        <v>0</v>
      </c>
      <c r="CV43" s="45">
        <f t="shared" si="61"/>
        <v>0</v>
      </c>
      <c r="CW43" s="45">
        <f t="shared" si="61"/>
        <v>0</v>
      </c>
      <c r="CX43" s="45">
        <f t="shared" si="61"/>
        <v>0</v>
      </c>
      <c r="CY43" s="45">
        <f t="shared" si="61"/>
        <v>0</v>
      </c>
      <c r="CZ43" s="45">
        <f t="shared" si="61"/>
        <v>0</v>
      </c>
      <c r="DA43" s="45">
        <f t="shared" si="61"/>
        <v>0</v>
      </c>
      <c r="DB43" s="45">
        <f t="shared" si="61"/>
        <v>0</v>
      </c>
      <c r="DC43" s="45">
        <f t="shared" si="61"/>
        <v>0</v>
      </c>
      <c r="DD43" s="45">
        <f t="shared" si="61"/>
        <v>0</v>
      </c>
      <c r="DE43" s="45">
        <f t="shared" si="61"/>
        <v>0</v>
      </c>
      <c r="DF43" s="45">
        <f t="shared" si="61"/>
        <v>0</v>
      </c>
      <c r="DG43" s="45">
        <f t="shared" si="61"/>
        <v>0</v>
      </c>
      <c r="DH43" s="45">
        <f t="shared" si="61"/>
        <v>0</v>
      </c>
      <c r="DI43" s="45">
        <f t="shared" si="61"/>
        <v>0</v>
      </c>
      <c r="DJ43" s="45">
        <f t="shared" si="61"/>
        <v>0</v>
      </c>
      <c r="DK43" s="45">
        <f t="shared" si="61"/>
        <v>1077803.4422548697</v>
      </c>
      <c r="DL43" s="45">
        <f t="shared" si="61"/>
        <v>1077803.4422548697</v>
      </c>
      <c r="DM43" s="45">
        <f t="shared" si="61"/>
        <v>1077803.4422548697</v>
      </c>
      <c r="DN43" s="45">
        <f t="shared" si="61"/>
        <v>1077803.4422548697</v>
      </c>
      <c r="DO43" s="45">
        <f t="shared" si="61"/>
        <v>1077803.4422548697</v>
      </c>
      <c r="DP43" s="45">
        <f t="shared" si="61"/>
        <v>1077803.4422548697</v>
      </c>
      <c r="DQ43" s="45">
        <f t="shared" si="61"/>
        <v>1077803.4422548697</v>
      </c>
      <c r="DR43" s="45">
        <f t="shared" si="61"/>
        <v>1077803.4422548697</v>
      </c>
      <c r="DS43" s="45">
        <f t="shared" si="61"/>
        <v>1077803.4422548697</v>
      </c>
      <c r="DT43" s="45">
        <f t="shared" si="61"/>
        <v>1077803.4422548697</v>
      </c>
      <c r="DU43" s="45">
        <f t="shared" si="61"/>
        <v>1077803.4422548697</v>
      </c>
      <c r="DV43" s="45">
        <f t="shared" si="61"/>
        <v>1077803.4422548697</v>
      </c>
      <c r="DW43" s="45">
        <f t="shared" si="61"/>
        <v>1077803.4422548697</v>
      </c>
      <c r="DX43" s="45">
        <f t="shared" si="61"/>
        <v>0</v>
      </c>
      <c r="DY43" s="45">
        <f t="shared" si="61"/>
        <v>0</v>
      </c>
      <c r="DZ43" s="45">
        <f t="shared" si="61"/>
        <v>0</v>
      </c>
      <c r="EA43" s="45">
        <f t="shared" si="61"/>
        <v>0</v>
      </c>
      <c r="EB43" s="45">
        <f t="shared" si="61"/>
        <v>0</v>
      </c>
      <c r="EC43" s="45">
        <f t="shared" ref="EC43:ED43" si="62">($D36*EC16+$D37*EC17+$D38*(1-$D33)*EC18+$D39*$D33*EC18)*1000</f>
        <v>0</v>
      </c>
      <c r="ED43" s="45">
        <f t="shared" si="62"/>
        <v>0</v>
      </c>
    </row>
    <row r="45" spans="1:138" x14ac:dyDescent="0.3">
      <c r="A45" s="21" t="s">
        <v>809</v>
      </c>
    </row>
    <row r="46" spans="1:138" x14ac:dyDescent="0.3">
      <c r="A46" s="21" t="s">
        <v>806</v>
      </c>
      <c r="D46" s="113">
        <f t="shared" ref="D46:AX46" si="63">D69</f>
        <v>0.99643300837760918</v>
      </c>
      <c r="E46" s="113">
        <f t="shared" si="63"/>
        <v>0.99554523300115261</v>
      </c>
      <c r="F46" s="113">
        <f t="shared" si="63"/>
        <v>0.99643300837760918</v>
      </c>
      <c r="G46" s="113">
        <f t="shared" si="63"/>
        <v>0.99643300837760918</v>
      </c>
      <c r="H46" s="113">
        <f t="shared" si="63"/>
        <v>0.99643300837760918</v>
      </c>
      <c r="I46" s="113">
        <f t="shared" ref="I46" si="64">I69</f>
        <v>0.99643300837760918</v>
      </c>
      <c r="J46" s="113">
        <f t="shared" si="63"/>
        <v>0.99643300837760918</v>
      </c>
      <c r="K46" s="113">
        <f t="shared" si="63"/>
        <v>0.99643300837760918</v>
      </c>
      <c r="L46" s="113">
        <f t="shared" si="63"/>
        <v>0.99643300837760918</v>
      </c>
      <c r="M46" s="113">
        <f t="shared" si="63"/>
        <v>0.99643300837760918</v>
      </c>
      <c r="N46" s="113">
        <f t="shared" si="63"/>
        <v>0.99643300837760918</v>
      </c>
      <c r="O46" s="113">
        <f t="shared" si="63"/>
        <v>0.99643300837760918</v>
      </c>
      <c r="P46" s="113">
        <f t="shared" si="63"/>
        <v>0.99643300837760918</v>
      </c>
      <c r="Q46" s="113">
        <f t="shared" si="63"/>
        <v>0.99643300837760918</v>
      </c>
      <c r="R46" s="113">
        <f t="shared" si="63"/>
        <v>0.99643300837760918</v>
      </c>
      <c r="S46" s="113">
        <f t="shared" si="63"/>
        <v>0.99554523300115261</v>
      </c>
      <c r="T46" s="113">
        <f t="shared" si="63"/>
        <v>0.99643300837760918</v>
      </c>
      <c r="U46" s="113">
        <f t="shared" si="63"/>
        <v>0.99643300837760918</v>
      </c>
      <c r="V46" s="113">
        <f t="shared" si="63"/>
        <v>0.99643300837760918</v>
      </c>
      <c r="W46" s="113">
        <f t="shared" si="63"/>
        <v>0.99643300837760918</v>
      </c>
      <c r="X46" s="113">
        <f t="shared" ref="X46:Y46" si="65">X69</f>
        <v>0.99196025489784689</v>
      </c>
      <c r="Y46" s="113">
        <f t="shared" si="65"/>
        <v>0.99196025489784689</v>
      </c>
      <c r="Z46" s="113">
        <f t="shared" si="63"/>
        <v>0.99196025489784689</v>
      </c>
      <c r="AA46" s="113">
        <f t="shared" ref="AA46" si="66">AA69</f>
        <v>0.99196025489784689</v>
      </c>
      <c r="AB46" s="113">
        <f t="shared" ref="AB46:AC46" si="67">AB69</f>
        <v>0.99196025489784689</v>
      </c>
      <c r="AC46" s="113">
        <f t="shared" si="67"/>
        <v>0.99196025489784689</v>
      </c>
      <c r="AD46" s="113">
        <f t="shared" ref="AD46" si="68">AD69</f>
        <v>0.99196025489784689</v>
      </c>
      <c r="AE46" s="113">
        <f t="shared" ref="AE46" si="69">AE69</f>
        <v>0.99196025489784689</v>
      </c>
      <c r="AF46" s="113">
        <f t="shared" si="63"/>
        <v>0.99643300837760918</v>
      </c>
      <c r="AG46" s="113">
        <f t="shared" si="63"/>
        <v>0.99325414369770471</v>
      </c>
      <c r="AH46" s="113">
        <f t="shared" si="63"/>
        <v>0.9923943405708443</v>
      </c>
      <c r="AI46" s="113">
        <f t="shared" si="63"/>
        <v>0.99131425163768572</v>
      </c>
      <c r="AJ46" s="113">
        <f t="shared" si="63"/>
        <v>0.98995830198983026</v>
      </c>
      <c r="AK46" s="113">
        <f t="shared" si="63"/>
        <v>0.97000372838503723</v>
      </c>
      <c r="AL46" s="113">
        <f t="shared" si="63"/>
        <v>0.97346171556862637</v>
      </c>
      <c r="AM46" s="113">
        <f t="shared" si="63"/>
        <v>0.97000372838503723</v>
      </c>
      <c r="AN46" s="113">
        <f t="shared" si="63"/>
        <v>0.97346171556862637</v>
      </c>
      <c r="AO46" s="113">
        <f t="shared" si="63"/>
        <v>0.67045454545454541</v>
      </c>
      <c r="AP46" s="113">
        <f t="shared" si="63"/>
        <v>0.65777865557751181</v>
      </c>
      <c r="AQ46" s="113">
        <f t="shared" si="63"/>
        <v>0.64658528885159172</v>
      </c>
      <c r="AR46" s="113">
        <f t="shared" si="63"/>
        <v>0.68580712656992626</v>
      </c>
      <c r="AS46" s="113">
        <f t="shared" si="63"/>
        <v>0.68580712656992626</v>
      </c>
      <c r="AT46" s="113">
        <f t="shared" si="63"/>
        <v>0.68580712656992626</v>
      </c>
      <c r="AU46" s="113">
        <f t="shared" si="63"/>
        <v>0.68580712656992626</v>
      </c>
      <c r="AV46" s="113">
        <f t="shared" si="63"/>
        <v>0.68580712656992626</v>
      </c>
      <c r="AW46" s="113">
        <f t="shared" si="63"/>
        <v>0.68580712656992626</v>
      </c>
      <c r="AX46" s="113">
        <f t="shared" si="63"/>
        <v>0.68580712656992626</v>
      </c>
      <c r="AY46" s="113">
        <f t="shared" ref="AY46:BH47" si="70">AY69</f>
        <v>0.64423722538745276</v>
      </c>
      <c r="AZ46" s="113">
        <f t="shared" si="70"/>
        <v>0.64423722538745276</v>
      </c>
      <c r="BA46" s="113">
        <f t="shared" si="70"/>
        <v>0.64423722538745276</v>
      </c>
      <c r="BB46" s="113">
        <f t="shared" si="70"/>
        <v>0.64423722538745276</v>
      </c>
      <c r="BC46" s="113">
        <f t="shared" ref="BC46:BE47" si="71">BC69</f>
        <v>0.67045454545454541</v>
      </c>
      <c r="BD46" s="113">
        <f t="shared" si="71"/>
        <v>0.67045454545454541</v>
      </c>
      <c r="BE46" s="113">
        <f t="shared" si="71"/>
        <v>0.67045454545454541</v>
      </c>
      <c r="BF46" s="113">
        <f t="shared" si="70"/>
        <v>0.67045454545454541</v>
      </c>
      <c r="BG46" s="113">
        <f t="shared" si="70"/>
        <v>0.67045454545454541</v>
      </c>
      <c r="BH46" s="113">
        <f t="shared" si="70"/>
        <v>0.67045454545454541</v>
      </c>
      <c r="BI46" s="113">
        <f t="shared" ref="BI46:BU46" si="72">BI69</f>
        <v>0.67045454545454541</v>
      </c>
      <c r="BJ46" s="113">
        <f t="shared" si="72"/>
        <v>0.65777865557751181</v>
      </c>
      <c r="BK46" s="113">
        <f t="shared" si="72"/>
        <v>0.64658528885159172</v>
      </c>
      <c r="BL46" s="113">
        <f t="shared" si="72"/>
        <v>0.68580712656992626</v>
      </c>
      <c r="BM46" s="113">
        <f t="shared" si="72"/>
        <v>0.68580712656992626</v>
      </c>
      <c r="BN46" s="113">
        <f t="shared" si="72"/>
        <v>0.68580712656992626</v>
      </c>
      <c r="BO46" s="113">
        <f t="shared" si="72"/>
        <v>0.68580712656992626</v>
      </c>
      <c r="BP46" s="113">
        <f t="shared" si="72"/>
        <v>0.68580712656992626</v>
      </c>
      <c r="BQ46" s="113">
        <f t="shared" si="72"/>
        <v>0.68580712656992626</v>
      </c>
      <c r="BR46" s="113">
        <f t="shared" si="72"/>
        <v>0.68580712656992626</v>
      </c>
      <c r="BS46" s="113">
        <f t="shared" si="72"/>
        <v>0.68580712656992626</v>
      </c>
      <c r="BT46" s="113">
        <f t="shared" si="72"/>
        <v>0.68580712656992626</v>
      </c>
      <c r="BU46" s="113">
        <f t="shared" si="72"/>
        <v>0.68580712656992626</v>
      </c>
      <c r="BV46" s="113">
        <f t="shared" ref="BV46:CC47" si="73">BV69</f>
        <v>0.68580712656992626</v>
      </c>
      <c r="BW46" s="113">
        <f t="shared" si="73"/>
        <v>0.68580712656992626</v>
      </c>
      <c r="BX46" s="113">
        <f t="shared" si="73"/>
        <v>0.68580712656992626</v>
      </c>
      <c r="BY46" s="113">
        <f t="shared" si="73"/>
        <v>0.68580712656992626</v>
      </c>
      <c r="BZ46" s="113">
        <f t="shared" si="73"/>
        <v>0.68580712656992626</v>
      </c>
      <c r="CA46" s="113">
        <f t="shared" si="73"/>
        <v>0.68580712656992626</v>
      </c>
      <c r="CB46" s="113">
        <f t="shared" si="73"/>
        <v>0.68580712656992626</v>
      </c>
      <c r="CC46" s="113">
        <f t="shared" si="73"/>
        <v>0.68580712656992626</v>
      </c>
      <c r="CD46" s="113">
        <f t="shared" ref="CD46:CG47" si="74">CD69</f>
        <v>0.64423722538745276</v>
      </c>
      <c r="CE46" s="113">
        <f t="shared" si="74"/>
        <v>0.64423722538745276</v>
      </c>
      <c r="CF46" s="113">
        <f t="shared" si="74"/>
        <v>0.64423722538745276</v>
      </c>
      <c r="CG46" s="113">
        <f t="shared" si="74"/>
        <v>0.64423722538745276</v>
      </c>
      <c r="CH46" s="113">
        <f t="shared" ref="CH46:CL47" si="75">CH69</f>
        <v>0.67045454545454541</v>
      </c>
      <c r="CI46" s="113">
        <f t="shared" si="75"/>
        <v>0.65777865557751181</v>
      </c>
      <c r="CJ46" s="113">
        <f t="shared" si="75"/>
        <v>0.64658528885159172</v>
      </c>
      <c r="CK46" s="113">
        <f t="shared" si="75"/>
        <v>0.68580712656992626</v>
      </c>
      <c r="CL46" s="113">
        <f t="shared" si="75"/>
        <v>0.68580712656992626</v>
      </c>
      <c r="CM46" s="113">
        <f t="shared" ref="CM46:CX46" si="76">CM69</f>
        <v>0.64423722538745276</v>
      </c>
      <c r="CN46" s="113">
        <f t="shared" si="76"/>
        <v>0.61558634360594511</v>
      </c>
      <c r="CO46" s="113">
        <f t="shared" si="76"/>
        <v>0.60287222507280114</v>
      </c>
      <c r="CP46" s="113">
        <f t="shared" si="76"/>
        <v>0.59172330744181367</v>
      </c>
      <c r="CQ46" s="113">
        <f t="shared" si="76"/>
        <v>0.63102225746542473</v>
      </c>
      <c r="CR46" s="113">
        <f t="shared" si="76"/>
        <v>0.58702989847574771</v>
      </c>
      <c r="CS46" s="113">
        <f t="shared" si="76"/>
        <v>0.61558634360594511</v>
      </c>
      <c r="CT46" s="113">
        <f t="shared" si="76"/>
        <v>0.60287222507280114</v>
      </c>
      <c r="CU46" s="113">
        <f t="shared" si="76"/>
        <v>0.59172330744181367</v>
      </c>
      <c r="CV46" s="113">
        <f t="shared" si="76"/>
        <v>0.63102225746542473</v>
      </c>
      <c r="CW46" s="113">
        <f t="shared" si="76"/>
        <v>0.63102225746542473</v>
      </c>
      <c r="CX46" s="113">
        <f t="shared" si="76"/>
        <v>0.58702989847574771</v>
      </c>
      <c r="CY46" s="113">
        <f t="shared" ref="CY46:DC47" si="77">CY69</f>
        <v>0.61558634360594511</v>
      </c>
      <c r="CZ46" s="113">
        <f t="shared" si="77"/>
        <v>0.60287222507280114</v>
      </c>
      <c r="DA46" s="113">
        <f t="shared" si="77"/>
        <v>0.59172330744181367</v>
      </c>
      <c r="DB46" s="113">
        <f t="shared" si="77"/>
        <v>0.63102225746542473</v>
      </c>
      <c r="DC46" s="113">
        <f t="shared" si="77"/>
        <v>0.63102225746542473</v>
      </c>
      <c r="DD46" s="113">
        <f t="shared" ref="DD46:DF47" si="78">DD69</f>
        <v>0.58702989847574771</v>
      </c>
      <c r="DE46" s="113">
        <f t="shared" si="78"/>
        <v>0.46098994565625689</v>
      </c>
      <c r="DF46" s="113">
        <f t="shared" si="78"/>
        <v>0.45744369221572456</v>
      </c>
      <c r="DG46" s="113"/>
      <c r="DH46" s="113">
        <f t="shared" ref="DH46:DJ47" si="79">DH69</f>
        <v>0.45152708813648068</v>
      </c>
      <c r="DI46" s="113">
        <f t="shared" si="79"/>
        <v>0.45152708813648068</v>
      </c>
      <c r="DJ46" s="113">
        <f t="shared" si="79"/>
        <v>0.42682648401752754</v>
      </c>
      <c r="DK46" s="113">
        <f t="shared" ref="DK46:DP46" si="80">DK69</f>
        <v>0.22620817813797597</v>
      </c>
      <c r="DL46" s="113">
        <f t="shared" si="80"/>
        <v>0.22620817813797597</v>
      </c>
      <c r="DM46" s="113">
        <f>DM69</f>
        <v>0.22620817813797597</v>
      </c>
      <c r="DN46" s="113">
        <f t="shared" si="80"/>
        <v>0.22620817813797597</v>
      </c>
      <c r="DO46" s="113">
        <f t="shared" si="80"/>
        <v>0.22620817813797597</v>
      </c>
      <c r="DP46" s="113">
        <f t="shared" si="80"/>
        <v>0.22620817813797597</v>
      </c>
      <c r="DQ46" s="113">
        <f>DQ69</f>
        <v>0.22620817813797597</v>
      </c>
      <c r="DR46" s="113">
        <f>DR69</f>
        <v>0.22907206418338885</v>
      </c>
      <c r="DS46" s="113">
        <f t="shared" ref="DS46" si="81">DS69</f>
        <v>0.2075429109021151</v>
      </c>
      <c r="DT46" s="113">
        <f t="shared" ref="DT46:DW47" si="82">DT69</f>
        <v>0.2075429109021151</v>
      </c>
      <c r="DU46" s="113">
        <f t="shared" si="82"/>
        <v>0.2075429109021151</v>
      </c>
      <c r="DV46" s="113">
        <f t="shared" ref="DV46" si="83">DV69</f>
        <v>0.20058905641100355</v>
      </c>
      <c r="DW46" s="113">
        <f t="shared" si="82"/>
        <v>0.20058905641100355</v>
      </c>
      <c r="DX46" s="113">
        <f t="shared" ref="DX46:EC46" si="84">DX69</f>
        <v>0.57999999999999996</v>
      </c>
      <c r="DY46" s="113">
        <f t="shared" si="84"/>
        <v>0.57999999999999996</v>
      </c>
      <c r="DZ46" s="113">
        <f t="shared" si="84"/>
        <v>0.57999999999999996</v>
      </c>
      <c r="EA46" s="113">
        <f t="shared" si="84"/>
        <v>0.57999999999999996</v>
      </c>
      <c r="EB46" s="113">
        <f t="shared" si="84"/>
        <v>0.57999999999999996</v>
      </c>
      <c r="EC46" s="113">
        <f t="shared" si="84"/>
        <v>0.57999999999999996</v>
      </c>
      <c r="ED46" s="113">
        <f>ED69</f>
        <v>0.57999999999999996</v>
      </c>
    </row>
    <row r="47" spans="1:138" x14ac:dyDescent="0.3">
      <c r="A47" s="21" t="s">
        <v>807</v>
      </c>
      <c r="D47" s="113">
        <f t="shared" ref="D47:AX47" si="85">D70</f>
        <v>0.99643300837760918</v>
      </c>
      <c r="E47" s="113">
        <f t="shared" si="85"/>
        <v>0.99554523300115261</v>
      </c>
      <c r="F47" s="113">
        <f t="shared" si="85"/>
        <v>0.99643300837760918</v>
      </c>
      <c r="G47" s="113">
        <f t="shared" si="85"/>
        <v>0.99643300837760918</v>
      </c>
      <c r="H47" s="113">
        <f t="shared" si="85"/>
        <v>0.99643300837760918</v>
      </c>
      <c r="I47" s="113">
        <f t="shared" ref="I47" si="86">I70</f>
        <v>0.99643300837760918</v>
      </c>
      <c r="J47" s="113">
        <f t="shared" si="85"/>
        <v>0.99643300837760918</v>
      </c>
      <c r="K47" s="113">
        <f t="shared" si="85"/>
        <v>0.99643300837760918</v>
      </c>
      <c r="L47" s="113">
        <f t="shared" si="85"/>
        <v>0.99643300837760918</v>
      </c>
      <c r="M47" s="113">
        <f t="shared" si="85"/>
        <v>0.99643300837760918</v>
      </c>
      <c r="N47" s="113">
        <f t="shared" si="85"/>
        <v>0.99643300837760918</v>
      </c>
      <c r="O47" s="113">
        <f t="shared" si="85"/>
        <v>0.99643300837760918</v>
      </c>
      <c r="P47" s="113">
        <f t="shared" si="85"/>
        <v>0.99643300837760918</v>
      </c>
      <c r="Q47" s="113">
        <f t="shared" si="85"/>
        <v>0.99643300837760918</v>
      </c>
      <c r="R47" s="113">
        <f t="shared" si="85"/>
        <v>0.99643300837760918</v>
      </c>
      <c r="S47" s="113">
        <f t="shared" si="85"/>
        <v>0.99554523300115261</v>
      </c>
      <c r="T47" s="113">
        <f t="shared" si="85"/>
        <v>0.99643300837760918</v>
      </c>
      <c r="U47" s="113">
        <f t="shared" si="85"/>
        <v>0.99643300837760918</v>
      </c>
      <c r="V47" s="113">
        <f t="shared" si="85"/>
        <v>0.99643300837760918</v>
      </c>
      <c r="W47" s="113">
        <f t="shared" si="85"/>
        <v>0.99643300837760918</v>
      </c>
      <c r="X47" s="113">
        <f t="shared" ref="X47:Y47" si="87">X70</f>
        <v>0.99196025489784689</v>
      </c>
      <c r="Y47" s="113">
        <f t="shared" si="87"/>
        <v>0.99196025489784689</v>
      </c>
      <c r="Z47" s="113">
        <f t="shared" si="85"/>
        <v>0.99196025489784689</v>
      </c>
      <c r="AA47" s="113">
        <f t="shared" ref="AA47" si="88">AA70</f>
        <v>0.99196025489784689</v>
      </c>
      <c r="AB47" s="113">
        <f t="shared" ref="AB47:AC47" si="89">AB70</f>
        <v>0.99196025489784689</v>
      </c>
      <c r="AC47" s="113">
        <f t="shared" si="89"/>
        <v>0.99196025489784689</v>
      </c>
      <c r="AD47" s="113">
        <f t="shared" ref="AD47" si="90">AD70</f>
        <v>0.99196025489784689</v>
      </c>
      <c r="AE47" s="113">
        <f t="shared" ref="AE47" si="91">AE70</f>
        <v>0.99196025489784689</v>
      </c>
      <c r="AF47" s="113">
        <f t="shared" si="85"/>
        <v>0.99643300837760918</v>
      </c>
      <c r="AG47" s="113">
        <f t="shared" si="85"/>
        <v>0.99325414369770471</v>
      </c>
      <c r="AH47" s="113">
        <f t="shared" si="85"/>
        <v>0.9923943405708443</v>
      </c>
      <c r="AI47" s="113">
        <f t="shared" si="85"/>
        <v>0.99131425163768572</v>
      </c>
      <c r="AJ47" s="113">
        <f t="shared" si="85"/>
        <v>0.98995830198983026</v>
      </c>
      <c r="AK47" s="113">
        <f t="shared" si="85"/>
        <v>0</v>
      </c>
      <c r="AL47" s="113">
        <f t="shared" si="85"/>
        <v>0</v>
      </c>
      <c r="AM47" s="113">
        <f t="shared" si="85"/>
        <v>0</v>
      </c>
      <c r="AN47" s="113">
        <f t="shared" si="85"/>
        <v>0</v>
      </c>
      <c r="AO47" s="113">
        <f t="shared" si="85"/>
        <v>0</v>
      </c>
      <c r="AP47" s="113">
        <f t="shared" si="85"/>
        <v>0</v>
      </c>
      <c r="AQ47" s="113">
        <f t="shared" si="85"/>
        <v>0</v>
      </c>
      <c r="AR47" s="113">
        <f t="shared" si="85"/>
        <v>0</v>
      </c>
      <c r="AS47" s="113">
        <f t="shared" si="85"/>
        <v>0</v>
      </c>
      <c r="AT47" s="113">
        <f t="shared" si="85"/>
        <v>0</v>
      </c>
      <c r="AU47" s="113">
        <f t="shared" si="85"/>
        <v>0</v>
      </c>
      <c r="AV47" s="113">
        <f t="shared" si="85"/>
        <v>0</v>
      </c>
      <c r="AW47" s="113">
        <f t="shared" si="85"/>
        <v>0</v>
      </c>
      <c r="AX47" s="113">
        <f t="shared" si="85"/>
        <v>0</v>
      </c>
      <c r="AY47" s="113">
        <f t="shared" si="70"/>
        <v>0</v>
      </c>
      <c r="AZ47" s="113">
        <f t="shared" si="70"/>
        <v>0</v>
      </c>
      <c r="BA47" s="113">
        <f t="shared" si="70"/>
        <v>0</v>
      </c>
      <c r="BB47" s="113">
        <f t="shared" si="70"/>
        <v>0</v>
      </c>
      <c r="BC47" s="113">
        <f t="shared" si="71"/>
        <v>0</v>
      </c>
      <c r="BD47" s="113">
        <f t="shared" si="71"/>
        <v>0</v>
      </c>
      <c r="BE47" s="113">
        <f t="shared" si="71"/>
        <v>0</v>
      </c>
      <c r="BF47" s="113">
        <f t="shared" si="70"/>
        <v>0</v>
      </c>
      <c r="BG47" s="113">
        <f t="shared" si="70"/>
        <v>0</v>
      </c>
      <c r="BH47" s="113">
        <f t="shared" si="70"/>
        <v>0</v>
      </c>
      <c r="BI47" s="113">
        <f t="shared" ref="BI47:BU47" si="92">BI70</f>
        <v>0</v>
      </c>
      <c r="BJ47" s="113">
        <f t="shared" si="92"/>
        <v>0</v>
      </c>
      <c r="BK47" s="113">
        <f t="shared" si="92"/>
        <v>0</v>
      </c>
      <c r="BL47" s="113">
        <f t="shared" si="92"/>
        <v>0</v>
      </c>
      <c r="BM47" s="113">
        <f t="shared" si="92"/>
        <v>0</v>
      </c>
      <c r="BN47" s="113">
        <f t="shared" si="92"/>
        <v>0</v>
      </c>
      <c r="BO47" s="113">
        <f t="shared" si="92"/>
        <v>0</v>
      </c>
      <c r="BP47" s="113">
        <f t="shared" si="92"/>
        <v>0</v>
      </c>
      <c r="BQ47" s="113">
        <f t="shared" si="92"/>
        <v>0</v>
      </c>
      <c r="BR47" s="113">
        <f t="shared" si="92"/>
        <v>0</v>
      </c>
      <c r="BS47" s="113">
        <f t="shared" si="92"/>
        <v>0</v>
      </c>
      <c r="BT47" s="113">
        <f t="shared" si="92"/>
        <v>0</v>
      </c>
      <c r="BU47" s="113">
        <f t="shared" si="92"/>
        <v>0</v>
      </c>
      <c r="BV47" s="113">
        <f>BV70</f>
        <v>0</v>
      </c>
      <c r="BW47" s="113">
        <f t="shared" si="73"/>
        <v>0</v>
      </c>
      <c r="BX47" s="113">
        <f t="shared" si="73"/>
        <v>0</v>
      </c>
      <c r="BY47" s="113">
        <f t="shared" si="73"/>
        <v>0</v>
      </c>
      <c r="BZ47" s="113">
        <f t="shared" si="73"/>
        <v>0</v>
      </c>
      <c r="CA47" s="113">
        <f t="shared" si="73"/>
        <v>0</v>
      </c>
      <c r="CB47" s="113">
        <f t="shared" si="73"/>
        <v>0</v>
      </c>
      <c r="CC47" s="113">
        <f t="shared" si="73"/>
        <v>0</v>
      </c>
      <c r="CD47" s="113">
        <f t="shared" si="74"/>
        <v>0</v>
      </c>
      <c r="CE47" s="113">
        <f t="shared" si="74"/>
        <v>0</v>
      </c>
      <c r="CF47" s="113">
        <f t="shared" si="74"/>
        <v>0</v>
      </c>
      <c r="CG47" s="113">
        <f t="shared" si="74"/>
        <v>0</v>
      </c>
      <c r="CH47" s="113">
        <f t="shared" ref="CH47:CK47" si="93">CH70</f>
        <v>0</v>
      </c>
      <c r="CI47" s="113">
        <f t="shared" si="93"/>
        <v>0</v>
      </c>
      <c r="CJ47" s="113">
        <f t="shared" si="93"/>
        <v>0</v>
      </c>
      <c r="CK47" s="113">
        <f t="shared" si="93"/>
        <v>0</v>
      </c>
      <c r="CL47" s="113">
        <f t="shared" si="75"/>
        <v>0</v>
      </c>
      <c r="CM47" s="113">
        <f t="shared" ref="CM47:CX47" si="94">CM70</f>
        <v>0</v>
      </c>
      <c r="CN47" s="113">
        <f t="shared" si="94"/>
        <v>0</v>
      </c>
      <c r="CO47" s="113">
        <f t="shared" si="94"/>
        <v>0</v>
      </c>
      <c r="CP47" s="113">
        <f t="shared" si="94"/>
        <v>0</v>
      </c>
      <c r="CQ47" s="113">
        <f t="shared" si="94"/>
        <v>0</v>
      </c>
      <c r="CR47" s="113">
        <f t="shared" si="94"/>
        <v>0</v>
      </c>
      <c r="CS47" s="113">
        <f t="shared" si="94"/>
        <v>0</v>
      </c>
      <c r="CT47" s="113">
        <f t="shared" si="94"/>
        <v>0</v>
      </c>
      <c r="CU47" s="113">
        <f t="shared" si="94"/>
        <v>0</v>
      </c>
      <c r="CV47" s="113">
        <f t="shared" si="94"/>
        <v>0</v>
      </c>
      <c r="CW47" s="113">
        <f t="shared" si="94"/>
        <v>0</v>
      </c>
      <c r="CX47" s="113">
        <f t="shared" si="94"/>
        <v>0</v>
      </c>
      <c r="CY47" s="113">
        <f>CY70</f>
        <v>0</v>
      </c>
      <c r="CZ47" s="113">
        <f>CZ70</f>
        <v>0</v>
      </c>
      <c r="DA47" s="113">
        <f>DA70</f>
        <v>0</v>
      </c>
      <c r="DB47" s="113">
        <f>DB70</f>
        <v>0</v>
      </c>
      <c r="DC47" s="113">
        <f t="shared" si="77"/>
        <v>0</v>
      </c>
      <c r="DD47" s="113">
        <f t="shared" si="78"/>
        <v>0</v>
      </c>
      <c r="DE47" s="113">
        <f t="shared" si="78"/>
        <v>0</v>
      </c>
      <c r="DF47" s="113">
        <f t="shared" si="78"/>
        <v>0</v>
      </c>
      <c r="DG47" s="113"/>
      <c r="DH47" s="113">
        <f t="shared" si="79"/>
        <v>0</v>
      </c>
      <c r="DI47" s="113">
        <f t="shared" si="79"/>
        <v>0</v>
      </c>
      <c r="DJ47" s="113">
        <f t="shared" si="79"/>
        <v>0</v>
      </c>
      <c r="DK47" s="113">
        <f t="shared" ref="DK47:DP47" si="95">DK70</f>
        <v>0.22620817813797597</v>
      </c>
      <c r="DL47" s="113">
        <f t="shared" si="95"/>
        <v>0.22620817813797597</v>
      </c>
      <c r="DM47" s="113">
        <f>DM70</f>
        <v>0.22620817813797597</v>
      </c>
      <c r="DN47" s="113">
        <f t="shared" si="95"/>
        <v>0.22620817813797597</v>
      </c>
      <c r="DO47" s="113">
        <f t="shared" si="95"/>
        <v>0.22620817813797597</v>
      </c>
      <c r="DP47" s="113">
        <f t="shared" si="95"/>
        <v>0.22620817813797597</v>
      </c>
      <c r="DQ47" s="113">
        <f>DQ70</f>
        <v>0.22620817813797597</v>
      </c>
      <c r="DR47" s="113">
        <f>DR70</f>
        <v>0.22907206418338885</v>
      </c>
      <c r="DS47" s="113">
        <f t="shared" ref="DS47" si="96">DS70</f>
        <v>0.2075429109021151</v>
      </c>
      <c r="DT47" s="113">
        <f t="shared" si="82"/>
        <v>0.2075429109021151</v>
      </c>
      <c r="DU47" s="113">
        <f t="shared" si="82"/>
        <v>0.2075429109021151</v>
      </c>
      <c r="DV47" s="113">
        <f t="shared" ref="DV47" si="97">DV70</f>
        <v>0.20058905641100355</v>
      </c>
      <c r="DW47" s="113">
        <f t="shared" si="82"/>
        <v>0.20058905641100355</v>
      </c>
      <c r="DX47" s="113">
        <f t="shared" ref="DX47:EC47" si="98">DX70</f>
        <v>0</v>
      </c>
      <c r="DY47" s="113">
        <f t="shared" si="98"/>
        <v>0</v>
      </c>
      <c r="DZ47" s="113">
        <f t="shared" si="98"/>
        <v>0</v>
      </c>
      <c r="EA47" s="113">
        <f t="shared" si="98"/>
        <v>0</v>
      </c>
      <c r="EB47" s="113">
        <f t="shared" si="98"/>
        <v>0</v>
      </c>
      <c r="EC47" s="113">
        <f t="shared" si="98"/>
        <v>0</v>
      </c>
      <c r="ED47" s="113">
        <f>ED70</f>
        <v>0</v>
      </c>
    </row>
    <row r="49" spans="1:138" x14ac:dyDescent="0.3">
      <c r="A49" s="21" t="s">
        <v>821</v>
      </c>
      <c r="B49" s="21" t="str">
        <f>B41</f>
        <v>[MJ/km of one-way lane or track]</v>
      </c>
    </row>
    <row r="50" spans="1:138" x14ac:dyDescent="0.3">
      <c r="A50" s="21" t="str">
        <f>A42</f>
        <v xml:space="preserve">   Infrastructure 1</v>
      </c>
      <c r="D50" s="21">
        <f t="shared" ref="D50:AR50" si="99">IFERROR(D42/D46,0)</f>
        <v>114289.78824956073</v>
      </c>
      <c r="E50" s="21">
        <f t="shared" si="99"/>
        <v>114391.70592886349</v>
      </c>
      <c r="F50" s="21">
        <f t="shared" si="99"/>
        <v>114289.78824956073</v>
      </c>
      <c r="G50" s="21">
        <f t="shared" si="99"/>
        <v>114289.78824956073</v>
      </c>
      <c r="H50" s="21">
        <f t="shared" si="99"/>
        <v>114289.78824956073</v>
      </c>
      <c r="I50" s="21">
        <f t="shared" ref="I50" si="100">IFERROR(I42/I46,0)</f>
        <v>114289.78824956073</v>
      </c>
      <c r="J50" s="21">
        <f t="shared" si="99"/>
        <v>114289.78824956073</v>
      </c>
      <c r="K50" s="21">
        <f t="shared" si="99"/>
        <v>114289.78824956073</v>
      </c>
      <c r="L50" s="21">
        <f t="shared" si="99"/>
        <v>114289.78824956073</v>
      </c>
      <c r="M50" s="21">
        <f t="shared" si="99"/>
        <v>114289.78824956073</v>
      </c>
      <c r="N50" s="21">
        <f t="shared" si="99"/>
        <v>114289.78824956073</v>
      </c>
      <c r="O50" s="21">
        <f t="shared" si="99"/>
        <v>114289.78824956073</v>
      </c>
      <c r="P50" s="21">
        <f t="shared" si="99"/>
        <v>114289.78824956073</v>
      </c>
      <c r="Q50" s="21">
        <f t="shared" si="99"/>
        <v>114289.78824956073</v>
      </c>
      <c r="R50" s="21">
        <f t="shared" si="99"/>
        <v>114289.78824956073</v>
      </c>
      <c r="S50" s="21">
        <f t="shared" si="99"/>
        <v>114391.70592886349</v>
      </c>
      <c r="T50" s="21">
        <f t="shared" si="99"/>
        <v>114289.78824956073</v>
      </c>
      <c r="U50" s="21">
        <f t="shared" si="99"/>
        <v>114289.78824956073</v>
      </c>
      <c r="V50" s="21">
        <f t="shared" si="99"/>
        <v>114289.78824956073</v>
      </c>
      <c r="W50" s="21">
        <f t="shared" si="99"/>
        <v>114289.78824956073</v>
      </c>
      <c r="X50" s="21">
        <f t="shared" ref="X50:Y50" si="101">IFERROR(X42/X46,0)</f>
        <v>114805.1214451908</v>
      </c>
      <c r="Y50" s="21">
        <f t="shared" si="101"/>
        <v>114805.1214451908</v>
      </c>
      <c r="Z50" s="21">
        <f t="shared" si="99"/>
        <v>114805.1214451908</v>
      </c>
      <c r="AA50" s="21">
        <f t="shared" ref="AA50" si="102">IFERROR(AA42/AA46,0)</f>
        <v>114805.1214451908</v>
      </c>
      <c r="AB50" s="21">
        <f t="shared" ref="AB50:AC50" si="103">IFERROR(AB42/AB46,0)</f>
        <v>114805.1214451908</v>
      </c>
      <c r="AC50" s="21">
        <f t="shared" si="103"/>
        <v>114805.1214451908</v>
      </c>
      <c r="AD50" s="21">
        <f t="shared" ref="AD50" si="104">IFERROR(AD42/AD46,0)</f>
        <v>114805.1214451908</v>
      </c>
      <c r="AE50" s="21">
        <f t="shared" ref="AE50" si="105">IFERROR(AE42/AE46,0)</f>
        <v>114805.1214451908</v>
      </c>
      <c r="AF50" s="21">
        <f t="shared" si="99"/>
        <v>114289.78824956073</v>
      </c>
      <c r="AG50" s="21">
        <f t="shared" si="99"/>
        <v>114655.56751506447</v>
      </c>
      <c r="AH50" s="21">
        <f t="shared" si="99"/>
        <v>114754.90425191517</v>
      </c>
      <c r="AI50" s="21">
        <f t="shared" si="99"/>
        <v>114879.93574611936</v>
      </c>
      <c r="AJ50" s="21">
        <f t="shared" si="99"/>
        <v>115037.28723062886</v>
      </c>
      <c r="AK50" s="21">
        <f t="shared" si="99"/>
        <v>1111133.2984763973</v>
      </c>
      <c r="AL50" s="21">
        <f t="shared" si="99"/>
        <v>1107186.2663086802</v>
      </c>
      <c r="AM50" s="21">
        <f t="shared" si="99"/>
        <v>1111133.2984763973</v>
      </c>
      <c r="AN50" s="21">
        <f t="shared" si="99"/>
        <v>1107186.2663086802</v>
      </c>
      <c r="AO50" s="21">
        <f t="shared" si="99"/>
        <v>1824614.5692515909</v>
      </c>
      <c r="AP50" s="21">
        <f t="shared" si="99"/>
        <v>1859776.2655938931</v>
      </c>
      <c r="AQ50" s="21">
        <f t="shared" si="99"/>
        <v>1891971.7982295463</v>
      </c>
      <c r="AR50" s="21">
        <f t="shared" si="99"/>
        <v>1783768.4740544676</v>
      </c>
      <c r="AS50" s="21">
        <f t="shared" ref="AS50:BX50" si="106">IFERROR(AS42/AS46,0)</f>
        <v>1783768.4740544676</v>
      </c>
      <c r="AT50" s="21">
        <f t="shared" si="106"/>
        <v>1783768.4740544676</v>
      </c>
      <c r="AU50" s="21">
        <f t="shared" si="106"/>
        <v>1783768.4740544676</v>
      </c>
      <c r="AV50" s="21">
        <f t="shared" si="106"/>
        <v>1783768.4740544676</v>
      </c>
      <c r="AW50" s="21">
        <f t="shared" si="106"/>
        <v>1783768.4740544676</v>
      </c>
      <c r="AX50" s="21">
        <f t="shared" si="106"/>
        <v>1783768.4740544676</v>
      </c>
      <c r="AY50" s="21">
        <f t="shared" si="106"/>
        <v>1898867.5032269286</v>
      </c>
      <c r="AZ50" s="21">
        <f t="shared" si="106"/>
        <v>1898867.5032269286</v>
      </c>
      <c r="BA50" s="21">
        <f t="shared" si="106"/>
        <v>1898867.5032269286</v>
      </c>
      <c r="BB50" s="21">
        <f t="shared" si="106"/>
        <v>1898867.5032269286</v>
      </c>
      <c r="BC50" s="21">
        <f t="shared" si="106"/>
        <v>1607571.2359055686</v>
      </c>
      <c r="BD50" s="21">
        <f t="shared" si="106"/>
        <v>1607571.2359055686</v>
      </c>
      <c r="BE50" s="21">
        <f t="shared" si="106"/>
        <v>1607571.2359055686</v>
      </c>
      <c r="BF50" s="21">
        <f t="shared" si="106"/>
        <v>1607571.2359055686</v>
      </c>
      <c r="BG50" s="21">
        <f t="shared" si="106"/>
        <v>1607571.2359055686</v>
      </c>
      <c r="BH50" s="21">
        <f t="shared" si="106"/>
        <v>1607571.2359055686</v>
      </c>
      <c r="BI50" s="21">
        <f t="shared" si="106"/>
        <v>1607571.2359055686</v>
      </c>
      <c r="BJ50" s="21">
        <f t="shared" si="106"/>
        <v>1638550.3438213384</v>
      </c>
      <c r="BK50" s="21">
        <f t="shared" si="106"/>
        <v>1666916.1220311245</v>
      </c>
      <c r="BL50" s="21">
        <f t="shared" si="106"/>
        <v>1571583.9052964037</v>
      </c>
      <c r="BM50" s="21">
        <f t="shared" si="106"/>
        <v>1571583.9052964037</v>
      </c>
      <c r="BN50" s="21">
        <f t="shared" si="106"/>
        <v>1571583.9052964037</v>
      </c>
      <c r="BO50" s="21">
        <f t="shared" si="106"/>
        <v>1571583.9052964037</v>
      </c>
      <c r="BP50" s="21">
        <f t="shared" si="106"/>
        <v>1571583.9052964037</v>
      </c>
      <c r="BQ50" s="21">
        <f t="shared" si="106"/>
        <v>1571583.9052964037</v>
      </c>
      <c r="BR50" s="21">
        <f t="shared" si="106"/>
        <v>1571583.9052964037</v>
      </c>
      <c r="BS50" s="21">
        <f t="shared" si="106"/>
        <v>1571583.9052964037</v>
      </c>
      <c r="BT50" s="21">
        <f t="shared" si="106"/>
        <v>1571583.9052964037</v>
      </c>
      <c r="BU50" s="21">
        <f t="shared" si="106"/>
        <v>1571583.9052964037</v>
      </c>
      <c r="BV50" s="21">
        <f t="shared" si="106"/>
        <v>1571583.9052964037</v>
      </c>
      <c r="BW50" s="21">
        <f t="shared" si="106"/>
        <v>1571583.9052964037</v>
      </c>
      <c r="BX50" s="21">
        <f t="shared" si="106"/>
        <v>1571583.9052964037</v>
      </c>
      <c r="BY50" s="21">
        <f t="shared" ref="BY50:DF50" si="107">IFERROR(BY42/BY46,0)</f>
        <v>1571583.9052964037</v>
      </c>
      <c r="BZ50" s="21">
        <f t="shared" si="107"/>
        <v>1571583.9052964037</v>
      </c>
      <c r="CA50" s="21">
        <f t="shared" si="107"/>
        <v>1571583.9052964037</v>
      </c>
      <c r="CB50" s="21">
        <f t="shared" si="107"/>
        <v>1571583.9052964037</v>
      </c>
      <c r="CC50" s="21">
        <f t="shared" si="107"/>
        <v>1571583.9052964037</v>
      </c>
      <c r="CD50" s="21">
        <f t="shared" si="107"/>
        <v>1672991.5623963899</v>
      </c>
      <c r="CE50" s="21">
        <f t="shared" si="107"/>
        <v>1672991.5623963899</v>
      </c>
      <c r="CF50" s="21">
        <f t="shared" si="107"/>
        <v>1672991.5623963899</v>
      </c>
      <c r="CG50" s="21">
        <f t="shared" si="107"/>
        <v>1672991.5623963899</v>
      </c>
      <c r="CH50" s="21">
        <f t="shared" si="107"/>
        <v>1607571.2359055686</v>
      </c>
      <c r="CI50" s="21">
        <f t="shared" si="107"/>
        <v>1638550.3438213384</v>
      </c>
      <c r="CJ50" s="21">
        <f t="shared" si="107"/>
        <v>1666916.1220311245</v>
      </c>
      <c r="CK50" s="21">
        <f t="shared" si="107"/>
        <v>1571583.9052964037</v>
      </c>
      <c r="CL50" s="21">
        <f t="shared" si="107"/>
        <v>1571583.9052964037</v>
      </c>
      <c r="CM50" s="21">
        <f t="shared" si="107"/>
        <v>1672991.5623963899</v>
      </c>
      <c r="CN50" s="21">
        <f t="shared" si="107"/>
        <v>1987245.4032872445</v>
      </c>
      <c r="CO50" s="21">
        <f t="shared" si="107"/>
        <v>2029154.9034450739</v>
      </c>
      <c r="CP50" s="21">
        <f t="shared" si="107"/>
        <v>2067387.0984499124</v>
      </c>
      <c r="CQ50" s="21">
        <f t="shared" si="107"/>
        <v>1938633.8868155461</v>
      </c>
      <c r="CR50" s="21">
        <f t="shared" si="107"/>
        <v>2083916.2278339325</v>
      </c>
      <c r="CS50" s="21">
        <f t="shared" si="107"/>
        <v>1750856.6482183097</v>
      </c>
      <c r="CT50" s="21">
        <f t="shared" si="107"/>
        <v>1787780.8886032479</v>
      </c>
      <c r="CU50" s="21">
        <f t="shared" si="107"/>
        <v>1821465.2502273694</v>
      </c>
      <c r="CV50" s="21">
        <f t="shared" si="107"/>
        <v>1708027.6163062684</v>
      </c>
      <c r="CW50" s="21">
        <f t="shared" si="107"/>
        <v>1708027.6163062684</v>
      </c>
      <c r="CX50" s="21">
        <f t="shared" si="107"/>
        <v>1836028.1904779295</v>
      </c>
      <c r="CY50" s="21">
        <f t="shared" si="107"/>
        <v>1750856.6482183097</v>
      </c>
      <c r="CZ50" s="21">
        <f t="shared" si="107"/>
        <v>1787780.8886032479</v>
      </c>
      <c r="DA50" s="21">
        <f t="shared" si="107"/>
        <v>1821465.2502273694</v>
      </c>
      <c r="DB50" s="21">
        <f t="shared" si="107"/>
        <v>1708027.6163062684</v>
      </c>
      <c r="DC50" s="21">
        <f t="shared" si="107"/>
        <v>1708027.6163062684</v>
      </c>
      <c r="DD50" s="21">
        <f t="shared" si="107"/>
        <v>1836028.1904779295</v>
      </c>
      <c r="DE50" s="21">
        <f t="shared" si="107"/>
        <v>2338019.4132445306</v>
      </c>
      <c r="DF50" s="21">
        <f t="shared" si="107"/>
        <v>2356144.50607965</v>
      </c>
      <c r="DH50" s="21">
        <f t="shared" ref="DH50:DS50" si="108">IFERROR(DH42/DH46,0)</f>
        <v>2387018.3441332933</v>
      </c>
      <c r="DI50" s="21">
        <f t="shared" si="108"/>
        <v>2387018.3441332933</v>
      </c>
      <c r="DJ50" s="21">
        <f t="shared" si="108"/>
        <v>2525155.9652765361</v>
      </c>
      <c r="DK50" s="21">
        <f t="shared" si="108"/>
        <v>4764652.8570574587</v>
      </c>
      <c r="DL50" s="21">
        <f t="shared" si="108"/>
        <v>4764652.8570574587</v>
      </c>
      <c r="DM50" s="21">
        <f t="shared" si="108"/>
        <v>4764652.8570574587</v>
      </c>
      <c r="DN50" s="21">
        <f t="shared" si="108"/>
        <v>4764652.8570574587</v>
      </c>
      <c r="DO50" s="21">
        <f t="shared" si="108"/>
        <v>4764652.8570574587</v>
      </c>
      <c r="DP50" s="21">
        <f t="shared" si="108"/>
        <v>4764652.8570574587</v>
      </c>
      <c r="DQ50" s="21">
        <f t="shared" si="108"/>
        <v>4764652.8570574587</v>
      </c>
      <c r="DR50" s="21">
        <f t="shared" si="108"/>
        <v>4705084.60338494</v>
      </c>
      <c r="DS50" s="21">
        <f t="shared" si="108"/>
        <v>5193159.5137123307</v>
      </c>
      <c r="DT50" s="21">
        <f t="shared" ref="DT50:ED50" si="109">IFERROR(DT42/DT46,0)</f>
        <v>5193159.5137123307</v>
      </c>
      <c r="DU50" s="21">
        <f t="shared" si="109"/>
        <v>5193159.5137123307</v>
      </c>
      <c r="DV50" s="21">
        <f t="shared" ref="DV50" si="110">IFERROR(DV42/DV46,0)</f>
        <v>5373191.6463402119</v>
      </c>
      <c r="DW50" s="21">
        <f t="shared" si="109"/>
        <v>5373191.6463402119</v>
      </c>
      <c r="DX50" s="21">
        <f t="shared" si="109"/>
        <v>59709378.163481019</v>
      </c>
      <c r="DY50" s="21">
        <f t="shared" si="109"/>
        <v>59709378.163481019</v>
      </c>
      <c r="DZ50" s="21">
        <f t="shared" si="109"/>
        <v>59709378.163481019</v>
      </c>
      <c r="EA50" s="21">
        <f t="shared" si="109"/>
        <v>59709378.163481019</v>
      </c>
      <c r="EB50" s="21">
        <f t="shared" si="109"/>
        <v>59709378.163481019</v>
      </c>
      <c r="EC50" s="21">
        <f t="shared" si="109"/>
        <v>59709378.163481019</v>
      </c>
      <c r="ED50" s="21">
        <f t="shared" si="109"/>
        <v>59709378.163481019</v>
      </c>
    </row>
    <row r="51" spans="1:138" x14ac:dyDescent="0.3">
      <c r="A51" s="21" t="str">
        <f>A43</f>
        <v xml:space="preserve">   Infrastructure 2</v>
      </c>
      <c r="D51" s="21">
        <f t="shared" ref="D51:AR51" si="111">IFERROR(D43/D47,0)</f>
        <v>1081661.7205503336</v>
      </c>
      <c r="E51" s="21">
        <f t="shared" si="111"/>
        <v>1082626.2901241996</v>
      </c>
      <c r="F51" s="21">
        <f t="shared" si="111"/>
        <v>1081661.7205503336</v>
      </c>
      <c r="G51" s="21">
        <f t="shared" si="111"/>
        <v>1081661.7205503336</v>
      </c>
      <c r="H51" s="21">
        <f t="shared" si="111"/>
        <v>1081661.7205503336</v>
      </c>
      <c r="I51" s="21">
        <f t="shared" ref="I51" si="112">IFERROR(I43/I47,0)</f>
        <v>1081661.7205503336</v>
      </c>
      <c r="J51" s="21">
        <f t="shared" si="111"/>
        <v>1081661.7205503336</v>
      </c>
      <c r="K51" s="21">
        <f t="shared" si="111"/>
        <v>1081661.7205503336</v>
      </c>
      <c r="L51" s="21">
        <f t="shared" si="111"/>
        <v>1081661.7205503336</v>
      </c>
      <c r="M51" s="21">
        <f t="shared" si="111"/>
        <v>1081661.7205503336</v>
      </c>
      <c r="N51" s="21">
        <f t="shared" si="111"/>
        <v>1081661.7205503336</v>
      </c>
      <c r="O51" s="21">
        <f t="shared" si="111"/>
        <v>1081661.7205503336</v>
      </c>
      <c r="P51" s="21">
        <f t="shared" si="111"/>
        <v>1081661.7205503336</v>
      </c>
      <c r="Q51" s="21">
        <f t="shared" si="111"/>
        <v>1081661.7205503336</v>
      </c>
      <c r="R51" s="21">
        <f t="shared" si="111"/>
        <v>1081661.7205503336</v>
      </c>
      <c r="S51" s="21">
        <f t="shared" si="111"/>
        <v>1082626.2901241996</v>
      </c>
      <c r="T51" s="21">
        <f t="shared" si="111"/>
        <v>1081661.7205503336</v>
      </c>
      <c r="U51" s="21">
        <f t="shared" si="111"/>
        <v>1081661.7205503336</v>
      </c>
      <c r="V51" s="21">
        <f t="shared" si="111"/>
        <v>1081661.7205503336</v>
      </c>
      <c r="W51" s="21">
        <f t="shared" si="111"/>
        <v>1081661.7205503336</v>
      </c>
      <c r="X51" s="21">
        <f t="shared" ref="X51:Y51" si="113">IFERROR(X43/X47,0)</f>
        <v>1086538.9383628713</v>
      </c>
      <c r="Y51" s="21">
        <f t="shared" si="113"/>
        <v>1086538.9383628713</v>
      </c>
      <c r="Z51" s="21">
        <f t="shared" si="111"/>
        <v>1086538.9383628713</v>
      </c>
      <c r="AA51" s="21">
        <f t="shared" ref="AA51" si="114">IFERROR(AA43/AA47,0)</f>
        <v>1086538.9383628713</v>
      </c>
      <c r="AB51" s="21">
        <f t="shared" ref="AB51:AC51" si="115">IFERROR(AB43/AB47,0)</f>
        <v>1086538.9383628713</v>
      </c>
      <c r="AC51" s="21">
        <f t="shared" si="115"/>
        <v>1086538.9383628713</v>
      </c>
      <c r="AD51" s="21">
        <f t="shared" ref="AD51" si="116">IFERROR(AD43/AD47,0)</f>
        <v>1086538.9383628713</v>
      </c>
      <c r="AE51" s="21">
        <f t="shared" ref="AE51" si="117">IFERROR(AE43/AE47,0)</f>
        <v>1086538.9383628713</v>
      </c>
      <c r="AF51" s="21">
        <f t="shared" si="111"/>
        <v>1081661.7205503336</v>
      </c>
      <c r="AG51" s="21">
        <f t="shared" si="111"/>
        <v>1085123.5296561697</v>
      </c>
      <c r="AH51" s="21">
        <f t="shared" si="111"/>
        <v>1086063.6726675571</v>
      </c>
      <c r="AI51" s="21">
        <f t="shared" si="111"/>
        <v>1087246.9960704194</v>
      </c>
      <c r="AJ51" s="21">
        <f t="shared" si="111"/>
        <v>1088736.2024122325</v>
      </c>
      <c r="AK51" s="21">
        <f t="shared" si="111"/>
        <v>0</v>
      </c>
      <c r="AL51" s="21">
        <f t="shared" si="111"/>
        <v>0</v>
      </c>
      <c r="AM51" s="21">
        <f t="shared" si="111"/>
        <v>0</v>
      </c>
      <c r="AN51" s="21">
        <f t="shared" si="111"/>
        <v>0</v>
      </c>
      <c r="AO51" s="21">
        <f t="shared" si="111"/>
        <v>0</v>
      </c>
      <c r="AP51" s="21">
        <f t="shared" si="111"/>
        <v>0</v>
      </c>
      <c r="AQ51" s="21">
        <f t="shared" si="111"/>
        <v>0</v>
      </c>
      <c r="AR51" s="21">
        <f t="shared" si="111"/>
        <v>0</v>
      </c>
      <c r="AS51" s="21">
        <f t="shared" ref="AS51:BX51" si="118">IFERROR(AS43/AS47,0)</f>
        <v>0</v>
      </c>
      <c r="AT51" s="21">
        <f t="shared" si="118"/>
        <v>0</v>
      </c>
      <c r="AU51" s="21">
        <f t="shared" si="118"/>
        <v>0</v>
      </c>
      <c r="AV51" s="21">
        <f t="shared" si="118"/>
        <v>0</v>
      </c>
      <c r="AW51" s="21">
        <f t="shared" si="118"/>
        <v>0</v>
      </c>
      <c r="AX51" s="21">
        <f t="shared" si="118"/>
        <v>0</v>
      </c>
      <c r="AY51" s="21">
        <f t="shared" si="118"/>
        <v>0</v>
      </c>
      <c r="AZ51" s="21">
        <f t="shared" si="118"/>
        <v>0</v>
      </c>
      <c r="BA51" s="21">
        <f t="shared" si="118"/>
        <v>0</v>
      </c>
      <c r="BB51" s="21">
        <f t="shared" si="118"/>
        <v>0</v>
      </c>
      <c r="BC51" s="21">
        <f t="shared" si="118"/>
        <v>0</v>
      </c>
      <c r="BD51" s="21">
        <f t="shared" si="118"/>
        <v>0</v>
      </c>
      <c r="BE51" s="21">
        <f t="shared" si="118"/>
        <v>0</v>
      </c>
      <c r="BF51" s="21">
        <f t="shared" si="118"/>
        <v>0</v>
      </c>
      <c r="BG51" s="21">
        <f t="shared" si="118"/>
        <v>0</v>
      </c>
      <c r="BH51" s="21">
        <f t="shared" si="118"/>
        <v>0</v>
      </c>
      <c r="BI51" s="21">
        <f t="shared" si="118"/>
        <v>0</v>
      </c>
      <c r="BJ51" s="21">
        <f t="shared" si="118"/>
        <v>0</v>
      </c>
      <c r="BK51" s="21">
        <f t="shared" si="118"/>
        <v>0</v>
      </c>
      <c r="BL51" s="21">
        <f t="shared" si="118"/>
        <v>0</v>
      </c>
      <c r="BM51" s="21">
        <f t="shared" si="118"/>
        <v>0</v>
      </c>
      <c r="BN51" s="21">
        <f t="shared" si="118"/>
        <v>0</v>
      </c>
      <c r="BO51" s="21">
        <f t="shared" si="118"/>
        <v>0</v>
      </c>
      <c r="BP51" s="21">
        <f t="shared" si="118"/>
        <v>0</v>
      </c>
      <c r="BQ51" s="21">
        <f t="shared" si="118"/>
        <v>0</v>
      </c>
      <c r="BR51" s="21">
        <f t="shared" si="118"/>
        <v>0</v>
      </c>
      <c r="BS51" s="21">
        <f t="shared" si="118"/>
        <v>0</v>
      </c>
      <c r="BT51" s="21">
        <f t="shared" si="118"/>
        <v>0</v>
      </c>
      <c r="BU51" s="21">
        <f t="shared" si="118"/>
        <v>0</v>
      </c>
      <c r="BV51" s="21">
        <f t="shared" si="118"/>
        <v>0</v>
      </c>
      <c r="BW51" s="21">
        <f t="shared" si="118"/>
        <v>0</v>
      </c>
      <c r="BX51" s="21">
        <f t="shared" si="118"/>
        <v>0</v>
      </c>
      <c r="BY51" s="21">
        <f t="shared" ref="BY51:DF51" si="119">IFERROR(BY43/BY47,0)</f>
        <v>0</v>
      </c>
      <c r="BZ51" s="21">
        <f t="shared" si="119"/>
        <v>0</v>
      </c>
      <c r="CA51" s="21">
        <f t="shared" si="119"/>
        <v>0</v>
      </c>
      <c r="CB51" s="21">
        <f t="shared" si="119"/>
        <v>0</v>
      </c>
      <c r="CC51" s="21">
        <f t="shared" si="119"/>
        <v>0</v>
      </c>
      <c r="CD51" s="21">
        <f t="shared" si="119"/>
        <v>0</v>
      </c>
      <c r="CE51" s="21">
        <f t="shared" si="119"/>
        <v>0</v>
      </c>
      <c r="CF51" s="21">
        <f t="shared" si="119"/>
        <v>0</v>
      </c>
      <c r="CG51" s="21">
        <f t="shared" si="119"/>
        <v>0</v>
      </c>
      <c r="CH51" s="21">
        <f t="shared" si="119"/>
        <v>0</v>
      </c>
      <c r="CI51" s="21">
        <f t="shared" si="119"/>
        <v>0</v>
      </c>
      <c r="CJ51" s="21">
        <f t="shared" si="119"/>
        <v>0</v>
      </c>
      <c r="CK51" s="21">
        <f t="shared" si="119"/>
        <v>0</v>
      </c>
      <c r="CL51" s="21">
        <f t="shared" si="119"/>
        <v>0</v>
      </c>
      <c r="CM51" s="21">
        <f t="shared" si="119"/>
        <v>0</v>
      </c>
      <c r="CN51" s="21">
        <f t="shared" si="119"/>
        <v>0</v>
      </c>
      <c r="CO51" s="21">
        <f t="shared" si="119"/>
        <v>0</v>
      </c>
      <c r="CP51" s="21">
        <f t="shared" si="119"/>
        <v>0</v>
      </c>
      <c r="CQ51" s="21">
        <f t="shared" si="119"/>
        <v>0</v>
      </c>
      <c r="CR51" s="21">
        <f t="shared" si="119"/>
        <v>0</v>
      </c>
      <c r="CS51" s="21">
        <f t="shared" si="119"/>
        <v>0</v>
      </c>
      <c r="CT51" s="21">
        <f t="shared" si="119"/>
        <v>0</v>
      </c>
      <c r="CU51" s="21">
        <f t="shared" si="119"/>
        <v>0</v>
      </c>
      <c r="CV51" s="21">
        <f t="shared" si="119"/>
        <v>0</v>
      </c>
      <c r="CW51" s="21">
        <f t="shared" si="119"/>
        <v>0</v>
      </c>
      <c r="CX51" s="21">
        <f t="shared" si="119"/>
        <v>0</v>
      </c>
      <c r="CY51" s="21">
        <f t="shared" si="119"/>
        <v>0</v>
      </c>
      <c r="CZ51" s="21">
        <f t="shared" si="119"/>
        <v>0</v>
      </c>
      <c r="DA51" s="21">
        <f t="shared" si="119"/>
        <v>0</v>
      </c>
      <c r="DB51" s="21">
        <f t="shared" si="119"/>
        <v>0</v>
      </c>
      <c r="DC51" s="21">
        <f t="shared" si="119"/>
        <v>0</v>
      </c>
      <c r="DD51" s="21">
        <f t="shared" si="119"/>
        <v>0</v>
      </c>
      <c r="DE51" s="21">
        <f t="shared" si="119"/>
        <v>0</v>
      </c>
      <c r="DF51" s="21">
        <f t="shared" si="119"/>
        <v>0</v>
      </c>
      <c r="DH51" s="21">
        <f t="shared" ref="DH51:DS51" si="120">IFERROR(DH43/DH47,0)</f>
        <v>0</v>
      </c>
      <c r="DI51" s="21">
        <f t="shared" si="120"/>
        <v>0</v>
      </c>
      <c r="DJ51" s="21">
        <f t="shared" si="120"/>
        <v>0</v>
      </c>
      <c r="DK51" s="21">
        <f t="shared" si="120"/>
        <v>4764652.8570574587</v>
      </c>
      <c r="DL51" s="21">
        <f t="shared" si="120"/>
        <v>4764652.8570574587</v>
      </c>
      <c r="DM51" s="21">
        <f t="shared" si="120"/>
        <v>4764652.8570574587</v>
      </c>
      <c r="DN51" s="21">
        <f t="shared" si="120"/>
        <v>4764652.8570574587</v>
      </c>
      <c r="DO51" s="21">
        <f t="shared" si="120"/>
        <v>4764652.8570574587</v>
      </c>
      <c r="DP51" s="21">
        <f t="shared" si="120"/>
        <v>4764652.8570574587</v>
      </c>
      <c r="DQ51" s="21">
        <f t="shared" si="120"/>
        <v>4764652.8570574587</v>
      </c>
      <c r="DR51" s="21">
        <f t="shared" si="120"/>
        <v>4705084.60338494</v>
      </c>
      <c r="DS51" s="21">
        <f t="shared" si="120"/>
        <v>5193159.5137123307</v>
      </c>
      <c r="DT51" s="21">
        <f t="shared" ref="DT51:ED51" si="121">IFERROR(DT43/DT47,0)</f>
        <v>5193159.5137123307</v>
      </c>
      <c r="DU51" s="21">
        <f t="shared" si="121"/>
        <v>5193159.5137123307</v>
      </c>
      <c r="DV51" s="21">
        <f t="shared" ref="DV51" si="122">IFERROR(DV43/DV47,0)</f>
        <v>5373191.6463402119</v>
      </c>
      <c r="DW51" s="21">
        <f t="shared" si="121"/>
        <v>5373191.6463402119</v>
      </c>
      <c r="DX51" s="21">
        <f t="shared" si="121"/>
        <v>0</v>
      </c>
      <c r="DY51" s="21">
        <f t="shared" si="121"/>
        <v>0</v>
      </c>
      <c r="DZ51" s="21">
        <f t="shared" si="121"/>
        <v>0</v>
      </c>
      <c r="EA51" s="21">
        <f t="shared" si="121"/>
        <v>0</v>
      </c>
      <c r="EB51" s="21">
        <f t="shared" si="121"/>
        <v>0</v>
      </c>
      <c r="EC51" s="21">
        <f t="shared" si="121"/>
        <v>0</v>
      </c>
      <c r="ED51" s="21">
        <f t="shared" si="121"/>
        <v>0</v>
      </c>
    </row>
    <row r="53" spans="1:138" x14ac:dyDescent="0.3">
      <c r="A53" s="21" t="s">
        <v>827</v>
      </c>
      <c r="B53" s="21" t="s">
        <v>80</v>
      </c>
    </row>
    <row r="54" spans="1:138" x14ac:dyDescent="0.3">
      <c r="A54" s="21" t="str">
        <f>A29</f>
        <v xml:space="preserve">   Infrastructure 1</v>
      </c>
      <c r="D54" s="274">
        <f t="shared" ref="D54:AR54" si="123">IFERROR(D50/(D29*10^6),0)</f>
        <v>8.2852651578382546E-3</v>
      </c>
      <c r="E54" s="274">
        <f t="shared" si="123"/>
        <v>8.2926535256900788E-3</v>
      </c>
      <c r="F54" s="274">
        <f t="shared" si="123"/>
        <v>8.2852651578382546E-3</v>
      </c>
      <c r="G54" s="274">
        <f t="shared" si="123"/>
        <v>8.2852651578382546E-3</v>
      </c>
      <c r="H54" s="274">
        <f t="shared" si="123"/>
        <v>8.2852651578382546E-3</v>
      </c>
      <c r="I54" s="274">
        <f t="shared" ref="I54" si="124">IFERROR(I50/(I29*10^6),0)</f>
        <v>8.2852651578382546E-3</v>
      </c>
      <c r="J54" s="274">
        <f t="shared" si="123"/>
        <v>8.2852651578382546E-3</v>
      </c>
      <c r="K54" s="274">
        <f t="shared" si="123"/>
        <v>8.2852651578382546E-3</v>
      </c>
      <c r="L54" s="274">
        <f t="shared" si="123"/>
        <v>8.2852651578382546E-3</v>
      </c>
      <c r="M54" s="274">
        <f t="shared" si="123"/>
        <v>8.2852651578382546E-3</v>
      </c>
      <c r="N54" s="274">
        <f t="shared" si="123"/>
        <v>8.2852651578382546E-3</v>
      </c>
      <c r="O54" s="274">
        <f t="shared" si="123"/>
        <v>8.2852651578382546E-3</v>
      </c>
      <c r="P54" s="274">
        <f t="shared" si="123"/>
        <v>8.2852651578382546E-3</v>
      </c>
      <c r="Q54" s="274">
        <f t="shared" si="123"/>
        <v>8.2852651578382546E-3</v>
      </c>
      <c r="R54" s="274">
        <f t="shared" si="123"/>
        <v>8.2852651578382546E-3</v>
      </c>
      <c r="S54" s="274">
        <f t="shared" si="123"/>
        <v>8.2926535256900788E-3</v>
      </c>
      <c r="T54" s="274">
        <f t="shared" si="123"/>
        <v>8.2852651578382546E-3</v>
      </c>
      <c r="U54" s="274">
        <f t="shared" si="123"/>
        <v>8.2852651578382546E-3</v>
      </c>
      <c r="V54" s="274">
        <f t="shared" si="123"/>
        <v>8.2852651578382546E-3</v>
      </c>
      <c r="W54" s="274">
        <f t="shared" si="123"/>
        <v>8.2852651578382546E-3</v>
      </c>
      <c r="X54" s="274">
        <f t="shared" ref="X54:Y54" si="125">IFERROR(X50/(X29*10^6),0)</f>
        <v>8.3226234576113545E-3</v>
      </c>
      <c r="Y54" s="274">
        <f t="shared" si="125"/>
        <v>8.3226234576113545E-3</v>
      </c>
      <c r="Z54" s="274">
        <f t="shared" si="123"/>
        <v>8.3226234576113545E-3</v>
      </c>
      <c r="AA54" s="274">
        <f t="shared" ref="AA54" si="126">IFERROR(AA50/(AA29*10^6),0)</f>
        <v>8.3226234576113545E-3</v>
      </c>
      <c r="AB54" s="274">
        <f t="shared" ref="AB54:AC54" si="127">IFERROR(AB50/(AB29*10^6),0)</f>
        <v>8.3226234576113545E-3</v>
      </c>
      <c r="AC54" s="274">
        <f t="shared" si="127"/>
        <v>8.3226234576113545E-3</v>
      </c>
      <c r="AD54" s="274">
        <f t="shared" ref="AD54" si="128">IFERROR(AD50/(AD29*10^6),0)</f>
        <v>8.3226234576113545E-3</v>
      </c>
      <c r="AE54" s="274">
        <f t="shared" ref="AE54" si="129">IFERROR(AE50/(AE29*10^6),0)</f>
        <v>8.3226234576113545E-3</v>
      </c>
      <c r="AF54" s="274">
        <f t="shared" si="123"/>
        <v>8.2852651578382546E-3</v>
      </c>
      <c r="AG54" s="274">
        <f t="shared" si="123"/>
        <v>8.3117817718800988E-3</v>
      </c>
      <c r="AH54" s="274">
        <f t="shared" si="123"/>
        <v>8.3189830382165569E-3</v>
      </c>
      <c r="AI54" s="274">
        <f t="shared" si="123"/>
        <v>8.3280470070840155E-3</v>
      </c>
      <c r="AJ54" s="274">
        <f t="shared" si="123"/>
        <v>8.3394539647143329E-3</v>
      </c>
      <c r="AK54" s="274">
        <f t="shared" si="123"/>
        <v>3.3347863362650804E-2</v>
      </c>
      <c r="AL54" s="274">
        <f t="shared" si="123"/>
        <v>3.3229403147663539E-2</v>
      </c>
      <c r="AM54" s="274">
        <f t="shared" si="123"/>
        <v>3.3347863362650804E-2</v>
      </c>
      <c r="AN54" s="274">
        <f t="shared" si="123"/>
        <v>3.3229403147663539E-2</v>
      </c>
      <c r="AO54" s="274">
        <f t="shared" si="123"/>
        <v>5.4761204104258526E-2</v>
      </c>
      <c r="AP54" s="274">
        <f t="shared" si="123"/>
        <v>5.5816493732271613E-2</v>
      </c>
      <c r="AQ54" s="274">
        <f t="shared" si="123"/>
        <v>5.6782761438129888E-2</v>
      </c>
      <c r="AR54" s="274">
        <f t="shared" si="123"/>
        <v>5.353531158227285E-2</v>
      </c>
      <c r="AS54" s="274">
        <f t="shared" ref="AS54:BX54" si="130">IFERROR(AS50/(AS29*10^6),0)</f>
        <v>5.353531158227285E-2</v>
      </c>
      <c r="AT54" s="274">
        <f t="shared" si="130"/>
        <v>5.353531158227285E-2</v>
      </c>
      <c r="AU54" s="274">
        <f t="shared" si="130"/>
        <v>5.353531158227285E-2</v>
      </c>
      <c r="AV54" s="274">
        <f t="shared" si="130"/>
        <v>5.353531158227285E-2</v>
      </c>
      <c r="AW54" s="274">
        <f t="shared" si="130"/>
        <v>5.353531158227285E-2</v>
      </c>
      <c r="AX54" s="274">
        <f t="shared" si="130"/>
        <v>5.353531158227285E-2</v>
      </c>
      <c r="AY54" s="274">
        <f t="shared" si="130"/>
        <v>5.698971863071621E-2</v>
      </c>
      <c r="AZ54" s="274">
        <f t="shared" si="130"/>
        <v>5.698971863071621E-2</v>
      </c>
      <c r="BA54" s="274">
        <f t="shared" si="130"/>
        <v>5.698971863071621E-2</v>
      </c>
      <c r="BB54" s="274">
        <f t="shared" si="130"/>
        <v>5.698971863071621E-2</v>
      </c>
      <c r="BC54" s="274">
        <f t="shared" si="130"/>
        <v>4.8247195898292433E-2</v>
      </c>
      <c r="BD54" s="274">
        <f t="shared" si="130"/>
        <v>4.8247195898292433E-2</v>
      </c>
      <c r="BE54" s="274">
        <f t="shared" si="130"/>
        <v>4.8247195898292433E-2</v>
      </c>
      <c r="BF54" s="274">
        <f t="shared" si="130"/>
        <v>4.8247195898292433E-2</v>
      </c>
      <c r="BG54" s="274">
        <f t="shared" si="130"/>
        <v>4.8247195898292433E-2</v>
      </c>
      <c r="BH54" s="274">
        <f t="shared" si="130"/>
        <v>4.8247195898292433E-2</v>
      </c>
      <c r="BI54" s="274">
        <f t="shared" si="130"/>
        <v>4.8247195898292433E-2</v>
      </c>
      <c r="BJ54" s="274">
        <f t="shared" si="130"/>
        <v>4.9176955684349148E-2</v>
      </c>
      <c r="BK54" s="274">
        <f t="shared" si="130"/>
        <v>5.0028282970834295E-2</v>
      </c>
      <c r="BL54" s="274">
        <f t="shared" si="130"/>
        <v>4.7167126940241617E-2</v>
      </c>
      <c r="BM54" s="274">
        <f t="shared" si="130"/>
        <v>4.7167126940241617E-2</v>
      </c>
      <c r="BN54" s="274">
        <f t="shared" si="130"/>
        <v>4.7167126940241617E-2</v>
      </c>
      <c r="BO54" s="274">
        <f t="shared" si="130"/>
        <v>4.7167126940241617E-2</v>
      </c>
      <c r="BP54" s="274">
        <f t="shared" si="130"/>
        <v>4.7167126940241617E-2</v>
      </c>
      <c r="BQ54" s="274">
        <f t="shared" si="130"/>
        <v>4.7167126940241617E-2</v>
      </c>
      <c r="BR54" s="274">
        <f t="shared" si="130"/>
        <v>4.7167126940241617E-2</v>
      </c>
      <c r="BS54" s="274">
        <f t="shared" si="130"/>
        <v>4.7167126940241617E-2</v>
      </c>
      <c r="BT54" s="274">
        <f t="shared" si="130"/>
        <v>4.7167126940241617E-2</v>
      </c>
      <c r="BU54" s="274">
        <f t="shared" si="130"/>
        <v>4.7167126940241617E-2</v>
      </c>
      <c r="BV54" s="274">
        <f t="shared" si="130"/>
        <v>4.7167126940241617E-2</v>
      </c>
      <c r="BW54" s="274">
        <f t="shared" si="130"/>
        <v>4.7167126940241617E-2</v>
      </c>
      <c r="BX54" s="274">
        <f t="shared" si="130"/>
        <v>4.7167126940241617E-2</v>
      </c>
      <c r="BY54" s="274">
        <f t="shared" ref="BY54:DF54" si="131">IFERROR(BY50/(BY29*10^6),0)</f>
        <v>4.7167126940241617E-2</v>
      </c>
      <c r="BZ54" s="274">
        <f t="shared" si="131"/>
        <v>4.7167126940241617E-2</v>
      </c>
      <c r="CA54" s="274">
        <f t="shared" si="131"/>
        <v>4.7167126940241617E-2</v>
      </c>
      <c r="CB54" s="274">
        <f t="shared" si="131"/>
        <v>4.7167126940241617E-2</v>
      </c>
      <c r="CC54" s="274">
        <f t="shared" si="131"/>
        <v>4.7167126940241617E-2</v>
      </c>
      <c r="CD54" s="274">
        <f t="shared" si="131"/>
        <v>5.0210621989426052E-2</v>
      </c>
      <c r="CE54" s="274">
        <f t="shared" si="131"/>
        <v>5.0210621989426052E-2</v>
      </c>
      <c r="CF54" s="274">
        <f t="shared" si="131"/>
        <v>5.0210621989426052E-2</v>
      </c>
      <c r="CG54" s="274">
        <f t="shared" si="131"/>
        <v>5.0210621989426052E-2</v>
      </c>
      <c r="CH54" s="274">
        <f t="shared" si="131"/>
        <v>4.8247195898292433E-2</v>
      </c>
      <c r="CI54" s="274">
        <f t="shared" si="131"/>
        <v>4.9176955684349148E-2</v>
      </c>
      <c r="CJ54" s="274">
        <f t="shared" si="131"/>
        <v>5.0028282970834295E-2</v>
      </c>
      <c r="CK54" s="274">
        <f t="shared" si="131"/>
        <v>4.7167126940241617E-2</v>
      </c>
      <c r="CL54" s="274">
        <f t="shared" si="131"/>
        <v>4.7167126940241617E-2</v>
      </c>
      <c r="CM54" s="274">
        <f t="shared" si="131"/>
        <v>5.0210621989426052E-2</v>
      </c>
      <c r="CN54" s="274">
        <f t="shared" si="131"/>
        <v>5.9642158387071889E-2</v>
      </c>
      <c r="CO54" s="274">
        <f t="shared" si="131"/>
        <v>6.0899966326746352E-2</v>
      </c>
      <c r="CP54" s="274">
        <f t="shared" si="131"/>
        <v>6.2047409227453068E-2</v>
      </c>
      <c r="CQ54" s="274">
        <f t="shared" si="131"/>
        <v>5.8183206332109348E-2</v>
      </c>
      <c r="CR54" s="274">
        <f t="shared" si="131"/>
        <v>6.2543489354794868E-2</v>
      </c>
      <c r="CS54" s="274">
        <f t="shared" si="131"/>
        <v>5.2547546142694614E-2</v>
      </c>
      <c r="CT54" s="274">
        <f t="shared" si="131"/>
        <v>5.365573408451494E-2</v>
      </c>
      <c r="CU54" s="274">
        <f t="shared" si="131"/>
        <v>5.4666685237216066E-2</v>
      </c>
      <c r="CV54" s="274">
        <f t="shared" si="131"/>
        <v>5.1262140776735542E-2</v>
      </c>
      <c r="CW54" s="274">
        <f t="shared" si="131"/>
        <v>5.1262140776735542E-2</v>
      </c>
      <c r="CX54" s="274">
        <f t="shared" si="131"/>
        <v>5.5103755156999813E-2</v>
      </c>
      <c r="CY54" s="274">
        <f t="shared" si="131"/>
        <v>5.2547546142694614E-2</v>
      </c>
      <c r="CZ54" s="274">
        <f t="shared" si="131"/>
        <v>5.365573408451494E-2</v>
      </c>
      <c r="DA54" s="274">
        <f t="shared" si="131"/>
        <v>5.4666685237216066E-2</v>
      </c>
      <c r="DB54" s="274">
        <f t="shared" si="131"/>
        <v>5.1262140776735542E-2</v>
      </c>
      <c r="DC54" s="274">
        <f t="shared" si="131"/>
        <v>5.1262140776735542E-2</v>
      </c>
      <c r="DD54" s="274">
        <f t="shared" si="131"/>
        <v>5.5103755156999813E-2</v>
      </c>
      <c r="DE54" s="274">
        <f t="shared" si="131"/>
        <v>7.0169755545094747E-2</v>
      </c>
      <c r="DF54" s="274">
        <f t="shared" si="131"/>
        <v>7.0713734489951982E-2</v>
      </c>
      <c r="DG54" s="274"/>
      <c r="DH54" s="274">
        <f t="shared" ref="DH54:DS54" si="132">IFERROR(DH50/(DH29*10^6),0)</f>
        <v>7.1640334866617209E-2</v>
      </c>
      <c r="DI54" s="274">
        <f t="shared" si="132"/>
        <v>7.1640334866617209E-2</v>
      </c>
      <c r="DJ54" s="274">
        <f t="shared" si="132"/>
        <v>7.5786187143246045E-2</v>
      </c>
      <c r="DK54" s="274">
        <f t="shared" si="132"/>
        <v>0.68859274240692481</v>
      </c>
      <c r="DL54" s="274">
        <f t="shared" si="132"/>
        <v>0.68859274240692481</v>
      </c>
      <c r="DM54" s="274">
        <f t="shared" si="132"/>
        <v>0.68859274240692481</v>
      </c>
      <c r="DN54" s="274">
        <f t="shared" si="132"/>
        <v>0.68859274240692481</v>
      </c>
      <c r="DO54" s="274">
        <f t="shared" si="132"/>
        <v>0.68859274240692481</v>
      </c>
      <c r="DP54" s="274">
        <f t="shared" si="132"/>
        <v>0.68859274240692481</v>
      </c>
      <c r="DQ54" s="274">
        <f t="shared" si="132"/>
        <v>0.68859274240692481</v>
      </c>
      <c r="DR54" s="274">
        <f t="shared" si="132"/>
        <v>0.67998387448153241</v>
      </c>
      <c r="DS54" s="274">
        <f t="shared" si="132"/>
        <v>0.75052098412731472</v>
      </c>
      <c r="DT54" s="274">
        <f t="shared" ref="DT54:ED54" si="133">IFERROR(DT50/(DT29*10^6),0)</f>
        <v>0.75052098412731472</v>
      </c>
      <c r="DU54" s="274">
        <f t="shared" si="133"/>
        <v>0.75052098412731472</v>
      </c>
      <c r="DV54" s="274">
        <f t="shared" ref="DV54" si="134">IFERROR(DV50/(DV29*10^6),0)</f>
        <v>0.7765394210726162</v>
      </c>
      <c r="DW54" s="274">
        <f t="shared" si="133"/>
        <v>0.7765394210726162</v>
      </c>
      <c r="DX54" s="274">
        <f t="shared" si="133"/>
        <v>9.1878162762562194</v>
      </c>
      <c r="DY54" s="274">
        <f t="shared" si="133"/>
        <v>15.313027127093696</v>
      </c>
      <c r="DZ54" s="274">
        <f t="shared" si="133"/>
        <v>15.313027127093696</v>
      </c>
      <c r="EA54" s="274">
        <f t="shared" si="133"/>
        <v>9.1878162762562194</v>
      </c>
      <c r="EB54" s="274">
        <f t="shared" si="133"/>
        <v>11.484770345320273</v>
      </c>
      <c r="EC54" s="274">
        <f t="shared" si="133"/>
        <v>11.484770345320273</v>
      </c>
      <c r="ED54" s="274">
        <f t="shared" si="133"/>
        <v>11.484770345320273</v>
      </c>
    </row>
    <row r="55" spans="1:138" x14ac:dyDescent="0.3">
      <c r="A55" s="21" t="str">
        <f>A30</f>
        <v xml:space="preserve">   Infrastructure 2</v>
      </c>
      <c r="D55" s="274">
        <f t="shared" ref="D55:AR55" si="135">IFERROR(D51/(D30*10^6),0)</f>
        <v>3.2463348286819904E-2</v>
      </c>
      <c r="E55" s="274">
        <f t="shared" si="135"/>
        <v>3.2492297409663362E-2</v>
      </c>
      <c r="F55" s="274">
        <f t="shared" si="135"/>
        <v>3.2463348286819904E-2</v>
      </c>
      <c r="G55" s="274">
        <f t="shared" si="135"/>
        <v>3.2463348286819904E-2</v>
      </c>
      <c r="H55" s="274">
        <f t="shared" si="135"/>
        <v>3.2463348286819904E-2</v>
      </c>
      <c r="I55" s="274">
        <f t="shared" ref="I55" si="136">IFERROR(I51/(I30*10^6),0)</f>
        <v>3.2463348286819904E-2</v>
      </c>
      <c r="J55" s="274">
        <f t="shared" si="135"/>
        <v>3.2463348286819904E-2</v>
      </c>
      <c r="K55" s="274">
        <f t="shared" si="135"/>
        <v>3.2463348286819904E-2</v>
      </c>
      <c r="L55" s="274">
        <f t="shared" si="135"/>
        <v>3.2463348286819904E-2</v>
      </c>
      <c r="M55" s="274">
        <f t="shared" si="135"/>
        <v>3.2463348286819904E-2</v>
      </c>
      <c r="N55" s="274">
        <f t="shared" si="135"/>
        <v>3.2463348286819904E-2</v>
      </c>
      <c r="O55" s="274">
        <f t="shared" si="135"/>
        <v>3.2463348286819904E-2</v>
      </c>
      <c r="P55" s="274">
        <f t="shared" si="135"/>
        <v>3.2463348286819904E-2</v>
      </c>
      <c r="Q55" s="274">
        <f t="shared" si="135"/>
        <v>3.2463348286819904E-2</v>
      </c>
      <c r="R55" s="274">
        <f t="shared" si="135"/>
        <v>3.2463348286819904E-2</v>
      </c>
      <c r="S55" s="274">
        <f t="shared" si="135"/>
        <v>3.2492297409663362E-2</v>
      </c>
      <c r="T55" s="274">
        <f t="shared" si="135"/>
        <v>3.2463348286819904E-2</v>
      </c>
      <c r="U55" s="274">
        <f t="shared" si="135"/>
        <v>3.2463348286819904E-2</v>
      </c>
      <c r="V55" s="274">
        <f t="shared" si="135"/>
        <v>3.2463348286819904E-2</v>
      </c>
      <c r="W55" s="274">
        <f t="shared" si="135"/>
        <v>3.2463348286819904E-2</v>
      </c>
      <c r="X55" s="274">
        <f t="shared" ref="X55:Y55" si="137">IFERROR(X51/(X30*10^6),0)</f>
        <v>3.2609725677746275E-2</v>
      </c>
      <c r="Y55" s="274">
        <f t="shared" si="137"/>
        <v>3.2609725677746275E-2</v>
      </c>
      <c r="Z55" s="274">
        <f t="shared" si="135"/>
        <v>3.2609725677746275E-2</v>
      </c>
      <c r="AA55" s="274">
        <f t="shared" ref="AA55" si="138">IFERROR(AA51/(AA30*10^6),0)</f>
        <v>3.2609725677746275E-2</v>
      </c>
      <c r="AB55" s="274">
        <f t="shared" ref="AB55:AC55" si="139">IFERROR(AB51/(AB30*10^6),0)</f>
        <v>3.2609725677746275E-2</v>
      </c>
      <c r="AC55" s="274">
        <f t="shared" si="139"/>
        <v>3.2609725677746275E-2</v>
      </c>
      <c r="AD55" s="274">
        <f t="shared" ref="AD55" si="140">IFERROR(AD51/(AD30*10^6),0)</f>
        <v>3.2609725677746275E-2</v>
      </c>
      <c r="AE55" s="274">
        <f t="shared" ref="AE55" si="141">IFERROR(AE51/(AE30*10^6),0)</f>
        <v>3.2609725677746275E-2</v>
      </c>
      <c r="AF55" s="274">
        <f t="shared" si="135"/>
        <v>3.2463348286819904E-2</v>
      </c>
      <c r="AG55" s="274">
        <f t="shared" si="135"/>
        <v>3.2567245755474025E-2</v>
      </c>
      <c r="AH55" s="274">
        <f t="shared" si="135"/>
        <v>3.2595461776655357E-2</v>
      </c>
      <c r="AI55" s="274">
        <f t="shared" si="135"/>
        <v>3.2630976243917378E-2</v>
      </c>
      <c r="AJ55" s="274">
        <f t="shared" si="135"/>
        <v>3.2675671016069087E-2</v>
      </c>
      <c r="AK55" s="274">
        <f t="shared" si="135"/>
        <v>0</v>
      </c>
      <c r="AL55" s="274">
        <f t="shared" si="135"/>
        <v>0</v>
      </c>
      <c r="AM55" s="274">
        <f t="shared" si="135"/>
        <v>0</v>
      </c>
      <c r="AN55" s="274">
        <f t="shared" si="135"/>
        <v>0</v>
      </c>
      <c r="AO55" s="274">
        <f t="shared" si="135"/>
        <v>0</v>
      </c>
      <c r="AP55" s="274">
        <f t="shared" si="135"/>
        <v>0</v>
      </c>
      <c r="AQ55" s="274">
        <f t="shared" si="135"/>
        <v>0</v>
      </c>
      <c r="AR55" s="274">
        <f t="shared" si="135"/>
        <v>0</v>
      </c>
      <c r="AS55" s="274">
        <f t="shared" ref="AS55:BX55" si="142">IFERROR(AS51/(AS30*10^6),0)</f>
        <v>0</v>
      </c>
      <c r="AT55" s="274">
        <f t="shared" si="142"/>
        <v>0</v>
      </c>
      <c r="AU55" s="274">
        <f t="shared" si="142"/>
        <v>0</v>
      </c>
      <c r="AV55" s="274">
        <f t="shared" si="142"/>
        <v>0</v>
      </c>
      <c r="AW55" s="274">
        <f t="shared" si="142"/>
        <v>0</v>
      </c>
      <c r="AX55" s="274">
        <f t="shared" si="142"/>
        <v>0</v>
      </c>
      <c r="AY55" s="274">
        <f t="shared" si="142"/>
        <v>0</v>
      </c>
      <c r="AZ55" s="274">
        <f t="shared" si="142"/>
        <v>0</v>
      </c>
      <c r="BA55" s="274">
        <f t="shared" si="142"/>
        <v>0</v>
      </c>
      <c r="BB55" s="274">
        <f t="shared" si="142"/>
        <v>0</v>
      </c>
      <c r="BC55" s="274">
        <f t="shared" si="142"/>
        <v>0</v>
      </c>
      <c r="BD55" s="274">
        <f t="shared" si="142"/>
        <v>0</v>
      </c>
      <c r="BE55" s="274">
        <f t="shared" si="142"/>
        <v>0</v>
      </c>
      <c r="BF55" s="274">
        <f t="shared" si="142"/>
        <v>0</v>
      </c>
      <c r="BG55" s="274">
        <f t="shared" si="142"/>
        <v>0</v>
      </c>
      <c r="BH55" s="274">
        <f t="shared" si="142"/>
        <v>0</v>
      </c>
      <c r="BI55" s="274">
        <f t="shared" si="142"/>
        <v>0</v>
      </c>
      <c r="BJ55" s="274">
        <f t="shared" si="142"/>
        <v>0</v>
      </c>
      <c r="BK55" s="274">
        <f t="shared" si="142"/>
        <v>0</v>
      </c>
      <c r="BL55" s="274">
        <f t="shared" si="142"/>
        <v>0</v>
      </c>
      <c r="BM55" s="274">
        <f t="shared" si="142"/>
        <v>0</v>
      </c>
      <c r="BN55" s="274">
        <f t="shared" si="142"/>
        <v>0</v>
      </c>
      <c r="BO55" s="274">
        <f t="shared" si="142"/>
        <v>0</v>
      </c>
      <c r="BP55" s="274">
        <f t="shared" si="142"/>
        <v>0</v>
      </c>
      <c r="BQ55" s="274">
        <f t="shared" si="142"/>
        <v>0</v>
      </c>
      <c r="BR55" s="274">
        <f t="shared" si="142"/>
        <v>0</v>
      </c>
      <c r="BS55" s="274">
        <f t="shared" si="142"/>
        <v>0</v>
      </c>
      <c r="BT55" s="274">
        <f t="shared" si="142"/>
        <v>0</v>
      </c>
      <c r="BU55" s="274">
        <f t="shared" si="142"/>
        <v>0</v>
      </c>
      <c r="BV55" s="274">
        <f t="shared" si="142"/>
        <v>0</v>
      </c>
      <c r="BW55" s="274">
        <f t="shared" si="142"/>
        <v>0</v>
      </c>
      <c r="BX55" s="274">
        <f t="shared" si="142"/>
        <v>0</v>
      </c>
      <c r="BY55" s="274">
        <f t="shared" ref="BY55:DF55" si="143">IFERROR(BY51/(BY30*10^6),0)</f>
        <v>0</v>
      </c>
      <c r="BZ55" s="274">
        <f t="shared" si="143"/>
        <v>0</v>
      </c>
      <c r="CA55" s="274">
        <f t="shared" si="143"/>
        <v>0</v>
      </c>
      <c r="CB55" s="274">
        <f t="shared" si="143"/>
        <v>0</v>
      </c>
      <c r="CC55" s="274">
        <f t="shared" si="143"/>
        <v>0</v>
      </c>
      <c r="CD55" s="274">
        <f t="shared" si="143"/>
        <v>0</v>
      </c>
      <c r="CE55" s="274">
        <f t="shared" si="143"/>
        <v>0</v>
      </c>
      <c r="CF55" s="274">
        <f t="shared" si="143"/>
        <v>0</v>
      </c>
      <c r="CG55" s="274">
        <f t="shared" si="143"/>
        <v>0</v>
      </c>
      <c r="CH55" s="274">
        <f t="shared" si="143"/>
        <v>0</v>
      </c>
      <c r="CI55" s="274">
        <f t="shared" si="143"/>
        <v>0</v>
      </c>
      <c r="CJ55" s="274">
        <f t="shared" si="143"/>
        <v>0</v>
      </c>
      <c r="CK55" s="274">
        <f t="shared" si="143"/>
        <v>0</v>
      </c>
      <c r="CL55" s="274">
        <f t="shared" si="143"/>
        <v>0</v>
      </c>
      <c r="CM55" s="274">
        <f t="shared" si="143"/>
        <v>0</v>
      </c>
      <c r="CN55" s="274">
        <f t="shared" si="143"/>
        <v>0</v>
      </c>
      <c r="CO55" s="274">
        <f t="shared" si="143"/>
        <v>0</v>
      </c>
      <c r="CP55" s="274">
        <f t="shared" si="143"/>
        <v>0</v>
      </c>
      <c r="CQ55" s="274">
        <f t="shared" si="143"/>
        <v>0</v>
      </c>
      <c r="CR55" s="274">
        <f t="shared" si="143"/>
        <v>0</v>
      </c>
      <c r="CS55" s="274">
        <f t="shared" si="143"/>
        <v>0</v>
      </c>
      <c r="CT55" s="274">
        <f t="shared" si="143"/>
        <v>0</v>
      </c>
      <c r="CU55" s="274">
        <f t="shared" si="143"/>
        <v>0</v>
      </c>
      <c r="CV55" s="274">
        <f t="shared" si="143"/>
        <v>0</v>
      </c>
      <c r="CW55" s="274">
        <f t="shared" si="143"/>
        <v>0</v>
      </c>
      <c r="CX55" s="274">
        <f t="shared" si="143"/>
        <v>0</v>
      </c>
      <c r="CY55" s="274">
        <f t="shared" si="143"/>
        <v>0</v>
      </c>
      <c r="CZ55" s="274">
        <f t="shared" si="143"/>
        <v>0</v>
      </c>
      <c r="DA55" s="274">
        <f t="shared" si="143"/>
        <v>0</v>
      </c>
      <c r="DB55" s="274">
        <f t="shared" si="143"/>
        <v>0</v>
      </c>
      <c r="DC55" s="274">
        <f t="shared" si="143"/>
        <v>0</v>
      </c>
      <c r="DD55" s="274">
        <f t="shared" si="143"/>
        <v>0</v>
      </c>
      <c r="DE55" s="274">
        <f t="shared" si="143"/>
        <v>0</v>
      </c>
      <c r="DF55" s="274">
        <f t="shared" si="143"/>
        <v>0</v>
      </c>
      <c r="DG55" s="274"/>
      <c r="DH55" s="274">
        <f t="shared" ref="DH55:DS55" si="144">IFERROR(DH51/(DH30*10^6),0)</f>
        <v>0</v>
      </c>
      <c r="DI55" s="274">
        <f t="shared" si="144"/>
        <v>0</v>
      </c>
      <c r="DJ55" s="274">
        <f t="shared" si="144"/>
        <v>0</v>
      </c>
      <c r="DK55" s="274">
        <f t="shared" si="144"/>
        <v>0.14299903770815761</v>
      </c>
      <c r="DL55" s="274">
        <f t="shared" si="144"/>
        <v>0.14299903770815761</v>
      </c>
      <c r="DM55" s="274">
        <f t="shared" si="144"/>
        <v>0.14299903770815761</v>
      </c>
      <c r="DN55" s="274">
        <f t="shared" si="144"/>
        <v>0.14299903770815761</v>
      </c>
      <c r="DO55" s="274">
        <f t="shared" si="144"/>
        <v>0.14299903770815761</v>
      </c>
      <c r="DP55" s="274">
        <f t="shared" si="144"/>
        <v>0.14299903770815761</v>
      </c>
      <c r="DQ55" s="274">
        <f t="shared" si="144"/>
        <v>0.14299903770815761</v>
      </c>
      <c r="DR55" s="274">
        <f t="shared" si="144"/>
        <v>0.14121124682208952</v>
      </c>
      <c r="DS55" s="274">
        <f t="shared" si="144"/>
        <v>0.15585958419318094</v>
      </c>
      <c r="DT55" s="274">
        <f t="shared" ref="DT55:ED55" si="145">IFERROR(DT51/(DT30*10^6),0)</f>
        <v>0.15585958419318094</v>
      </c>
      <c r="DU55" s="274">
        <f t="shared" si="145"/>
        <v>0.15585958419318094</v>
      </c>
      <c r="DV55" s="274">
        <f t="shared" ref="DV55" si="146">IFERROR(DV51/(DV30*10^6),0)</f>
        <v>0.16126279456226406</v>
      </c>
      <c r="DW55" s="274">
        <f t="shared" si="145"/>
        <v>0.16126279456226406</v>
      </c>
      <c r="DX55" s="274">
        <f t="shared" si="145"/>
        <v>0</v>
      </c>
      <c r="DY55" s="274">
        <f t="shared" si="145"/>
        <v>0</v>
      </c>
      <c r="DZ55" s="274">
        <f t="shared" si="145"/>
        <v>0</v>
      </c>
      <c r="EA55" s="274">
        <f t="shared" si="145"/>
        <v>0</v>
      </c>
      <c r="EB55" s="274">
        <f t="shared" si="145"/>
        <v>0</v>
      </c>
      <c r="EC55" s="274">
        <f t="shared" si="145"/>
        <v>0</v>
      </c>
      <c r="ED55" s="274">
        <f t="shared" si="145"/>
        <v>0</v>
      </c>
    </row>
    <row r="56" spans="1:138" x14ac:dyDescent="0.3">
      <c r="A56" s="21" t="s">
        <v>25</v>
      </c>
      <c r="D56" s="274">
        <f t="shared" ref="D56:AR56" si="147">D54*D7+D55*D8</f>
        <v>2.7627731661023575E-2</v>
      </c>
      <c r="E56" s="274">
        <f t="shared" si="147"/>
        <v>2.7652368632868705E-2</v>
      </c>
      <c r="F56" s="274">
        <f t="shared" si="147"/>
        <v>2.7627731661023575E-2</v>
      </c>
      <c r="G56" s="274">
        <f t="shared" si="147"/>
        <v>2.7627731661023575E-2</v>
      </c>
      <c r="H56" s="274">
        <f t="shared" si="147"/>
        <v>2.7627731661023575E-2</v>
      </c>
      <c r="I56" s="274">
        <f t="shared" ref="I56" si="148">I54*I7+I55*I8</f>
        <v>2.7627731661023575E-2</v>
      </c>
      <c r="J56" s="274">
        <f t="shared" si="147"/>
        <v>2.7627731661023575E-2</v>
      </c>
      <c r="K56" s="274">
        <f t="shared" si="147"/>
        <v>2.7627731661023575E-2</v>
      </c>
      <c r="L56" s="274">
        <f t="shared" si="147"/>
        <v>2.7627731661023575E-2</v>
      </c>
      <c r="M56" s="274">
        <f t="shared" si="147"/>
        <v>2.7627731661023575E-2</v>
      </c>
      <c r="N56" s="274">
        <f t="shared" si="147"/>
        <v>2.7627731661023575E-2</v>
      </c>
      <c r="O56" s="274">
        <f t="shared" si="147"/>
        <v>2.7627731661023575E-2</v>
      </c>
      <c r="P56" s="274">
        <f t="shared" si="147"/>
        <v>2.7627731661023575E-2</v>
      </c>
      <c r="Q56" s="274">
        <f t="shared" si="147"/>
        <v>2.7627731661023575E-2</v>
      </c>
      <c r="R56" s="274">
        <f t="shared" si="147"/>
        <v>2.7627731661023575E-2</v>
      </c>
      <c r="S56" s="274">
        <f t="shared" si="147"/>
        <v>2.7652368632868705E-2</v>
      </c>
      <c r="T56" s="274">
        <f t="shared" si="147"/>
        <v>2.7627731661023575E-2</v>
      </c>
      <c r="U56" s="274">
        <f t="shared" si="147"/>
        <v>2.7627731661023575E-2</v>
      </c>
      <c r="V56" s="274">
        <f t="shared" si="147"/>
        <v>2.7627731661023575E-2</v>
      </c>
      <c r="W56" s="274">
        <f t="shared" si="147"/>
        <v>2.7627731661023575E-2</v>
      </c>
      <c r="X56" s="274">
        <f t="shared" ref="X56:Y56" si="149">X54*X7+X55*X8</f>
        <v>2.7752305233719292E-2</v>
      </c>
      <c r="Y56" s="274">
        <f t="shared" si="149"/>
        <v>2.7752305233719292E-2</v>
      </c>
      <c r="Z56" s="274">
        <f t="shared" si="147"/>
        <v>2.7752305233719292E-2</v>
      </c>
      <c r="AA56" s="274">
        <f t="shared" ref="AA56" si="150">AA54*AA7+AA55*AA8</f>
        <v>2.7752305233719292E-2</v>
      </c>
      <c r="AB56" s="274">
        <f t="shared" ref="AB56:AC56" si="151">AB54*AB7+AB55*AB8</f>
        <v>2.7752305233719292E-2</v>
      </c>
      <c r="AC56" s="274">
        <f t="shared" si="151"/>
        <v>2.7752305233719292E-2</v>
      </c>
      <c r="AD56" s="274">
        <f t="shared" ref="AD56" si="152">AD54*AD7+AD55*AD8</f>
        <v>2.7752305233719292E-2</v>
      </c>
      <c r="AE56" s="274">
        <f t="shared" ref="AE56" si="153">AE54*AE7+AE55*AE8</f>
        <v>2.7752305233719292E-2</v>
      </c>
      <c r="AF56" s="274">
        <f t="shared" si="147"/>
        <v>2.7627731661023575E-2</v>
      </c>
      <c r="AG56" s="274">
        <f t="shared" si="147"/>
        <v>2.7716152958755239E-2</v>
      </c>
      <c r="AH56" s="274">
        <f t="shared" si="147"/>
        <v>2.7740166028967599E-2</v>
      </c>
      <c r="AI56" s="274">
        <f t="shared" si="147"/>
        <v>2.7770390396550708E-2</v>
      </c>
      <c r="AJ56" s="274">
        <f t="shared" si="147"/>
        <v>2.7808427605798137E-2</v>
      </c>
      <c r="AK56" s="274">
        <f t="shared" si="147"/>
        <v>3.3347863362650804E-2</v>
      </c>
      <c r="AL56" s="274">
        <f t="shared" si="147"/>
        <v>3.3229403147663539E-2</v>
      </c>
      <c r="AM56" s="274">
        <f t="shared" si="147"/>
        <v>3.3347863362650804E-2</v>
      </c>
      <c r="AN56" s="274">
        <f t="shared" si="147"/>
        <v>3.3229403147663539E-2</v>
      </c>
      <c r="AO56" s="274">
        <f t="shared" si="147"/>
        <v>5.4761204104258526E-2</v>
      </c>
      <c r="AP56" s="274">
        <f t="shared" si="147"/>
        <v>5.5816493732271613E-2</v>
      </c>
      <c r="AQ56" s="274">
        <f t="shared" si="147"/>
        <v>5.6782761438129888E-2</v>
      </c>
      <c r="AR56" s="274">
        <f t="shared" si="147"/>
        <v>5.353531158227285E-2</v>
      </c>
      <c r="AS56" s="274">
        <f t="shared" ref="AS56:BX56" si="154">AS54*AS7+AS55*AS8</f>
        <v>5.353531158227285E-2</v>
      </c>
      <c r="AT56" s="274">
        <f t="shared" si="154"/>
        <v>5.353531158227285E-2</v>
      </c>
      <c r="AU56" s="274">
        <f t="shared" si="154"/>
        <v>5.353531158227285E-2</v>
      </c>
      <c r="AV56" s="274">
        <f t="shared" si="154"/>
        <v>5.353531158227285E-2</v>
      </c>
      <c r="AW56" s="274">
        <f t="shared" si="154"/>
        <v>5.353531158227285E-2</v>
      </c>
      <c r="AX56" s="274">
        <f t="shared" si="154"/>
        <v>5.353531158227285E-2</v>
      </c>
      <c r="AY56" s="274">
        <f t="shared" si="154"/>
        <v>5.698971863071621E-2</v>
      </c>
      <c r="AZ56" s="274">
        <f t="shared" si="154"/>
        <v>5.698971863071621E-2</v>
      </c>
      <c r="BA56" s="274">
        <f t="shared" si="154"/>
        <v>5.698971863071621E-2</v>
      </c>
      <c r="BB56" s="274">
        <f t="shared" si="154"/>
        <v>5.698971863071621E-2</v>
      </c>
      <c r="BC56" s="274">
        <f t="shared" si="154"/>
        <v>4.8247195898292433E-2</v>
      </c>
      <c r="BD56" s="274">
        <f t="shared" si="154"/>
        <v>4.8247195898292433E-2</v>
      </c>
      <c r="BE56" s="274">
        <f t="shared" si="154"/>
        <v>4.8247195898292433E-2</v>
      </c>
      <c r="BF56" s="274">
        <f t="shared" si="154"/>
        <v>4.8247195898292433E-2</v>
      </c>
      <c r="BG56" s="274">
        <f t="shared" si="154"/>
        <v>4.8247195898292433E-2</v>
      </c>
      <c r="BH56" s="274">
        <f t="shared" si="154"/>
        <v>4.8247195898292433E-2</v>
      </c>
      <c r="BI56" s="274">
        <f t="shared" si="154"/>
        <v>4.8247195898292433E-2</v>
      </c>
      <c r="BJ56" s="274">
        <f t="shared" si="154"/>
        <v>4.9176955684349148E-2</v>
      </c>
      <c r="BK56" s="274">
        <f t="shared" si="154"/>
        <v>5.0028282970834295E-2</v>
      </c>
      <c r="BL56" s="274">
        <f t="shared" si="154"/>
        <v>4.7167126940241617E-2</v>
      </c>
      <c r="BM56" s="274">
        <f t="shared" si="154"/>
        <v>4.7167126940241617E-2</v>
      </c>
      <c r="BN56" s="274">
        <f t="shared" si="154"/>
        <v>4.7167126940241617E-2</v>
      </c>
      <c r="BO56" s="274">
        <f t="shared" si="154"/>
        <v>4.7167126940241617E-2</v>
      </c>
      <c r="BP56" s="274">
        <f t="shared" si="154"/>
        <v>4.7167126940241617E-2</v>
      </c>
      <c r="BQ56" s="274">
        <f t="shared" si="154"/>
        <v>4.7167126940241617E-2</v>
      </c>
      <c r="BR56" s="274">
        <f t="shared" si="154"/>
        <v>4.7167126940241617E-2</v>
      </c>
      <c r="BS56" s="274">
        <f t="shared" si="154"/>
        <v>4.7167126940241617E-2</v>
      </c>
      <c r="BT56" s="274">
        <f t="shared" si="154"/>
        <v>4.7167126940241617E-2</v>
      </c>
      <c r="BU56" s="274">
        <f t="shared" si="154"/>
        <v>4.7167126940241617E-2</v>
      </c>
      <c r="BV56" s="274">
        <f t="shared" si="154"/>
        <v>4.7167126940241617E-2</v>
      </c>
      <c r="BW56" s="274">
        <f t="shared" si="154"/>
        <v>4.7167126940241617E-2</v>
      </c>
      <c r="BX56" s="274">
        <f t="shared" si="154"/>
        <v>4.7167126940241617E-2</v>
      </c>
      <c r="BY56" s="274">
        <f t="shared" ref="BY56:DD56" si="155">BY54*BY7+BY55*BY8</f>
        <v>4.7167126940241617E-2</v>
      </c>
      <c r="BZ56" s="274">
        <f t="shared" si="155"/>
        <v>4.7167126940241617E-2</v>
      </c>
      <c r="CA56" s="274">
        <f t="shared" si="155"/>
        <v>4.7167126940241617E-2</v>
      </c>
      <c r="CB56" s="274">
        <f t="shared" si="155"/>
        <v>4.7167126940241617E-2</v>
      </c>
      <c r="CC56" s="274">
        <f t="shared" si="155"/>
        <v>4.7167126940241617E-2</v>
      </c>
      <c r="CD56" s="274">
        <f t="shared" si="155"/>
        <v>5.0210621989426052E-2</v>
      </c>
      <c r="CE56" s="274">
        <f t="shared" si="155"/>
        <v>5.0210621989426052E-2</v>
      </c>
      <c r="CF56" s="274">
        <f t="shared" si="155"/>
        <v>5.0210621989426052E-2</v>
      </c>
      <c r="CG56" s="274">
        <f t="shared" si="155"/>
        <v>5.0210621989426052E-2</v>
      </c>
      <c r="CH56" s="274">
        <f t="shared" si="155"/>
        <v>4.8247195898292433E-2</v>
      </c>
      <c r="CI56" s="274">
        <f t="shared" si="155"/>
        <v>4.9176955684349148E-2</v>
      </c>
      <c r="CJ56" s="274">
        <f t="shared" si="155"/>
        <v>5.0028282970834295E-2</v>
      </c>
      <c r="CK56" s="274">
        <f t="shared" si="155"/>
        <v>4.7167126940241617E-2</v>
      </c>
      <c r="CL56" s="274">
        <f t="shared" si="155"/>
        <v>4.7167126940241617E-2</v>
      </c>
      <c r="CM56" s="274">
        <f t="shared" si="155"/>
        <v>5.0210621989426052E-2</v>
      </c>
      <c r="CN56" s="274">
        <f t="shared" si="155"/>
        <v>5.9642158387071889E-2</v>
      </c>
      <c r="CO56" s="274">
        <f t="shared" si="155"/>
        <v>6.0899966326746352E-2</v>
      </c>
      <c r="CP56" s="274">
        <f t="shared" si="155"/>
        <v>6.2047409227453068E-2</v>
      </c>
      <c r="CQ56" s="274">
        <f t="shared" si="155"/>
        <v>5.8183206332109348E-2</v>
      </c>
      <c r="CR56" s="274">
        <f t="shared" si="155"/>
        <v>6.2543489354794868E-2</v>
      </c>
      <c r="CS56" s="274">
        <f t="shared" si="155"/>
        <v>5.2547546142694614E-2</v>
      </c>
      <c r="CT56" s="274">
        <f t="shared" si="155"/>
        <v>5.365573408451494E-2</v>
      </c>
      <c r="CU56" s="274">
        <f t="shared" si="155"/>
        <v>5.4666685237216066E-2</v>
      </c>
      <c r="CV56" s="274">
        <f t="shared" si="155"/>
        <v>5.1262140776735542E-2</v>
      </c>
      <c r="CW56" s="274">
        <f t="shared" si="155"/>
        <v>5.1262140776735542E-2</v>
      </c>
      <c r="CX56" s="274">
        <f t="shared" si="155"/>
        <v>5.5103755156999813E-2</v>
      </c>
      <c r="CY56" s="274">
        <f t="shared" si="155"/>
        <v>5.2547546142694614E-2</v>
      </c>
      <c r="CZ56" s="274">
        <f t="shared" si="155"/>
        <v>5.365573408451494E-2</v>
      </c>
      <c r="DA56" s="274">
        <f t="shared" si="155"/>
        <v>5.4666685237216066E-2</v>
      </c>
      <c r="DB56" s="274">
        <f t="shared" si="155"/>
        <v>5.1262140776735542E-2</v>
      </c>
      <c r="DC56" s="274">
        <f t="shared" si="155"/>
        <v>5.1262140776735542E-2</v>
      </c>
      <c r="DD56" s="274">
        <f t="shared" si="155"/>
        <v>5.5103755156999813E-2</v>
      </c>
      <c r="DE56" s="274">
        <f t="shared" ref="DE56:DF56" si="156">DE54*DE7+DE55*DE8</f>
        <v>7.0169755545094747E-2</v>
      </c>
      <c r="DF56" s="274">
        <f t="shared" si="156"/>
        <v>7.0713734489951982E-2</v>
      </c>
      <c r="DG56" s="274"/>
      <c r="DH56" s="274">
        <f t="shared" ref="DH56:DS56" si="157">DH54*DH7+DH55*DH8</f>
        <v>7.1640334866617209E-2</v>
      </c>
      <c r="DI56" s="274">
        <f t="shared" si="157"/>
        <v>7.1640334866617209E-2</v>
      </c>
      <c r="DJ56" s="274">
        <f t="shared" si="157"/>
        <v>7.5786187143246045E-2</v>
      </c>
      <c r="DK56" s="274">
        <f t="shared" si="157"/>
        <v>0.16130928404998809</v>
      </c>
      <c r="DL56" s="274">
        <f t="shared" si="157"/>
        <v>0.16130928404998809</v>
      </c>
      <c r="DM56" s="274">
        <f t="shared" si="157"/>
        <v>0.68859274240692481</v>
      </c>
      <c r="DN56" s="274">
        <f t="shared" si="157"/>
        <v>0.16130928404998809</v>
      </c>
      <c r="DO56" s="274">
        <f t="shared" si="157"/>
        <v>0.16130928404998809</v>
      </c>
      <c r="DP56" s="274">
        <f t="shared" si="157"/>
        <v>0.16130928404998809</v>
      </c>
      <c r="DQ56" s="274">
        <f t="shared" si="157"/>
        <v>0.16130928404998809</v>
      </c>
      <c r="DR56" s="274">
        <f t="shared" si="157"/>
        <v>0.15929257629807092</v>
      </c>
      <c r="DS56" s="274">
        <f t="shared" si="157"/>
        <v>0.17581655332423693</v>
      </c>
      <c r="DT56" s="274">
        <f t="shared" ref="DT56:ED56" si="158">DT54*DT7+DT55*DT8</f>
        <v>0.17581655332423693</v>
      </c>
      <c r="DU56" s="274">
        <f t="shared" si="158"/>
        <v>0.17581655332423693</v>
      </c>
      <c r="DV56" s="274">
        <f t="shared" ref="DV56" si="159">DV54*DV7+DV55*DV8</f>
        <v>0.18191161529232561</v>
      </c>
      <c r="DW56" s="274">
        <f t="shared" si="158"/>
        <v>0.18191161529232561</v>
      </c>
      <c r="DX56" s="274">
        <f t="shared" si="158"/>
        <v>9.1878162762562194</v>
      </c>
      <c r="DY56" s="274">
        <f t="shared" si="158"/>
        <v>15.313027127093696</v>
      </c>
      <c r="DZ56" s="274">
        <f t="shared" si="158"/>
        <v>15.313027127093696</v>
      </c>
      <c r="EA56" s="274">
        <f t="shared" si="158"/>
        <v>9.1878162762562194</v>
      </c>
      <c r="EB56" s="274">
        <f t="shared" si="158"/>
        <v>11.484770345320273</v>
      </c>
      <c r="EC56" s="274">
        <f t="shared" si="158"/>
        <v>11.484770345320273</v>
      </c>
      <c r="ED56" s="274">
        <f t="shared" si="158"/>
        <v>11.484770345320273</v>
      </c>
    </row>
    <row r="57" spans="1:138" x14ac:dyDescent="0.3">
      <c r="D57" s="274"/>
    </row>
    <row r="58" spans="1:138" x14ac:dyDescent="0.3">
      <c r="A58" s="21" t="str">
        <f>'1_Manufacturing'!A84</f>
        <v>GHG emission intensity of material production</v>
      </c>
      <c r="B58" s="21" t="str">
        <f>'1_Manufacturing'!B84</f>
        <v>[g CO2 eq/kg]</v>
      </c>
    </row>
    <row r="59" spans="1:138" x14ac:dyDescent="0.3">
      <c r="A59" s="21" t="str">
        <f>A36</f>
        <v xml:space="preserve">   Asphalt</v>
      </c>
      <c r="D59" s="265">
        <f>AVERAGE(35.9,58.6)</f>
        <v>47.25</v>
      </c>
      <c r="EG59" s="21" t="s">
        <v>82</v>
      </c>
    </row>
    <row r="60" spans="1:138" x14ac:dyDescent="0.3">
      <c r="A60" s="21" t="str">
        <f>A37</f>
        <v xml:space="preserve">   Cement </v>
      </c>
      <c r="D60" s="69">
        <f>[5]Cement_Concrete!$B$82/1000</f>
        <v>1731.8663440531363</v>
      </c>
      <c r="EG60" s="62" t="s">
        <v>148</v>
      </c>
      <c r="EH60" s="74" t="s">
        <v>913</v>
      </c>
    </row>
    <row r="61" spans="1:138" x14ac:dyDescent="0.3">
      <c r="A61" s="21" t="str">
        <f>A38</f>
        <v xml:space="preserve">   Virgin steel</v>
      </c>
      <c r="D61" s="69">
        <f>[5]Steel!$I$113/1000</f>
        <v>2302.1493157612831</v>
      </c>
      <c r="EG61" s="267" t="s">
        <v>802</v>
      </c>
    </row>
    <row r="62" spans="1:138" x14ac:dyDescent="0.3">
      <c r="A62" s="21" t="str">
        <f>A39</f>
        <v xml:space="preserve">   Recycled steel</v>
      </c>
      <c r="D62" s="69">
        <f>[5]Steel!$E$147/1000</f>
        <v>1287.3398874743875</v>
      </c>
    </row>
    <row r="64" spans="1:138" x14ac:dyDescent="0.3">
      <c r="A64" s="21" t="s">
        <v>808</v>
      </c>
      <c r="B64" s="21" t="s">
        <v>818</v>
      </c>
    </row>
    <row r="65" spans="1:137" x14ac:dyDescent="0.3">
      <c r="A65" s="21" t="s">
        <v>806</v>
      </c>
      <c r="D65" s="45">
        <f>($D59*D11+$D60*D12+$D61*(1-$D33)*D13+$D62*$D33*D13)*1000/10^3</f>
        <v>38972.662741195571</v>
      </c>
      <c r="E65" s="45">
        <f t="shared" ref="E65:BP65" si="160">($D59*E11+$D60*E12+$D61*(1-$D33)*E13+$D62*$D33*E13)*1000/10^3</f>
        <v>38972.662741195571</v>
      </c>
      <c r="F65" s="45">
        <f t="shared" si="160"/>
        <v>38972.662741195571</v>
      </c>
      <c r="G65" s="45">
        <f t="shared" si="160"/>
        <v>38972.662741195571</v>
      </c>
      <c r="H65" s="45">
        <f t="shared" si="160"/>
        <v>38972.662741195571</v>
      </c>
      <c r="I65" s="45">
        <f t="shared" si="160"/>
        <v>38972.662741195571</v>
      </c>
      <c r="J65" s="45">
        <f t="shared" si="160"/>
        <v>38972.662741195571</v>
      </c>
      <c r="K65" s="45">
        <f t="shared" si="160"/>
        <v>38972.662741195571</v>
      </c>
      <c r="L65" s="45">
        <f t="shared" si="160"/>
        <v>38972.662741195571</v>
      </c>
      <c r="M65" s="45">
        <f t="shared" si="160"/>
        <v>38972.662741195571</v>
      </c>
      <c r="N65" s="45">
        <f t="shared" si="160"/>
        <v>38972.662741195571</v>
      </c>
      <c r="O65" s="45">
        <f t="shared" si="160"/>
        <v>38972.662741195571</v>
      </c>
      <c r="P65" s="45">
        <f t="shared" si="160"/>
        <v>38972.662741195571</v>
      </c>
      <c r="Q65" s="45">
        <f t="shared" si="160"/>
        <v>38972.662741195571</v>
      </c>
      <c r="R65" s="45">
        <f t="shared" si="160"/>
        <v>38972.662741195571</v>
      </c>
      <c r="S65" s="45">
        <f t="shared" si="160"/>
        <v>38972.662741195571</v>
      </c>
      <c r="T65" s="45">
        <f t="shared" si="160"/>
        <v>38972.662741195571</v>
      </c>
      <c r="U65" s="45">
        <f t="shared" si="160"/>
        <v>38972.662741195571</v>
      </c>
      <c r="V65" s="45">
        <f t="shared" si="160"/>
        <v>38972.662741195571</v>
      </c>
      <c r="W65" s="45">
        <f t="shared" si="160"/>
        <v>38972.662741195571</v>
      </c>
      <c r="X65" s="45">
        <f t="shared" si="160"/>
        <v>38972.662741195571</v>
      </c>
      <c r="Y65" s="45">
        <f t="shared" si="160"/>
        <v>38972.662741195571</v>
      </c>
      <c r="Z65" s="45">
        <f t="shared" si="160"/>
        <v>38972.662741195571</v>
      </c>
      <c r="AA65" s="45">
        <f t="shared" si="160"/>
        <v>38972.662741195571</v>
      </c>
      <c r="AB65" s="45">
        <f t="shared" si="160"/>
        <v>38972.662741195571</v>
      </c>
      <c r="AC65" s="45">
        <f t="shared" si="160"/>
        <v>38972.662741195571</v>
      </c>
      <c r="AD65" s="45">
        <f t="shared" si="160"/>
        <v>38972.662741195571</v>
      </c>
      <c r="AE65" s="45">
        <f t="shared" si="160"/>
        <v>38972.662741195571</v>
      </c>
      <c r="AF65" s="45">
        <f t="shared" si="160"/>
        <v>38972.662741195571</v>
      </c>
      <c r="AG65" s="45">
        <f t="shared" si="160"/>
        <v>38972.662741195571</v>
      </c>
      <c r="AH65" s="45">
        <f t="shared" si="160"/>
        <v>38972.662741195571</v>
      </c>
      <c r="AI65" s="45">
        <f t="shared" si="160"/>
        <v>38972.662741195571</v>
      </c>
      <c r="AJ65" s="45">
        <f t="shared" si="160"/>
        <v>38972.662741195571</v>
      </c>
      <c r="AK65" s="45">
        <f t="shared" si="160"/>
        <v>368272.27207396086</v>
      </c>
      <c r="AL65" s="45">
        <f t="shared" si="160"/>
        <v>368272.27207396086</v>
      </c>
      <c r="AM65" s="45">
        <f t="shared" si="160"/>
        <v>368272.27207396086</v>
      </c>
      <c r="AN65" s="45">
        <f t="shared" si="160"/>
        <v>368272.27207396086</v>
      </c>
      <c r="AO65" s="45">
        <f>($D59*AO11+$D60*AO12+$D61*(1-$D33)*AO13+$D62*$D33*AO13)*1000/10^3</f>
        <v>418070.98946548853</v>
      </c>
      <c r="AP65" s="45">
        <f t="shared" si="160"/>
        <v>418070.98946548853</v>
      </c>
      <c r="AQ65" s="45">
        <f t="shared" si="160"/>
        <v>418070.98946548853</v>
      </c>
      <c r="AR65" s="45">
        <f t="shared" si="160"/>
        <v>418070.98946548853</v>
      </c>
      <c r="AS65" s="45">
        <f t="shared" si="160"/>
        <v>418070.98946548853</v>
      </c>
      <c r="AT65" s="45">
        <f t="shared" si="160"/>
        <v>418070.98946548853</v>
      </c>
      <c r="AU65" s="45">
        <f t="shared" si="160"/>
        <v>418070.98946548853</v>
      </c>
      <c r="AV65" s="45">
        <f t="shared" si="160"/>
        <v>418070.98946548853</v>
      </c>
      <c r="AW65" s="45">
        <f t="shared" si="160"/>
        <v>418070.98946548853</v>
      </c>
      <c r="AX65" s="45">
        <f t="shared" si="160"/>
        <v>418070.98946548853</v>
      </c>
      <c r="AY65" s="45">
        <f t="shared" si="160"/>
        <v>418070.98946548853</v>
      </c>
      <c r="AZ65" s="45">
        <f t="shared" si="160"/>
        <v>418070.98946548853</v>
      </c>
      <c r="BA65" s="45">
        <f t="shared" si="160"/>
        <v>418070.98946548853</v>
      </c>
      <c r="BB65" s="45">
        <f t="shared" si="160"/>
        <v>418070.98946548853</v>
      </c>
      <c r="BC65" s="45">
        <f t="shared" si="160"/>
        <v>368272.27207396086</v>
      </c>
      <c r="BD65" s="45">
        <f t="shared" si="160"/>
        <v>368272.27207396086</v>
      </c>
      <c r="BE65" s="45">
        <f t="shared" si="160"/>
        <v>368272.27207396086</v>
      </c>
      <c r="BF65" s="45">
        <f t="shared" si="160"/>
        <v>368272.27207396086</v>
      </c>
      <c r="BG65" s="45">
        <f t="shared" si="160"/>
        <v>368272.27207396086</v>
      </c>
      <c r="BH65" s="45">
        <f t="shared" si="160"/>
        <v>368272.27207396086</v>
      </c>
      <c r="BI65" s="45">
        <f t="shared" si="160"/>
        <v>368272.27207396086</v>
      </c>
      <c r="BJ65" s="45">
        <f t="shared" si="160"/>
        <v>368272.27207396086</v>
      </c>
      <c r="BK65" s="45">
        <f t="shared" si="160"/>
        <v>368272.27207396086</v>
      </c>
      <c r="BL65" s="45">
        <f t="shared" si="160"/>
        <v>368272.27207396086</v>
      </c>
      <c r="BM65" s="45">
        <f t="shared" si="160"/>
        <v>368272.27207396086</v>
      </c>
      <c r="BN65" s="45">
        <f t="shared" si="160"/>
        <v>368272.27207396086</v>
      </c>
      <c r="BO65" s="45">
        <f t="shared" si="160"/>
        <v>368272.27207396086</v>
      </c>
      <c r="BP65" s="45">
        <f t="shared" si="160"/>
        <v>368272.27207396086</v>
      </c>
      <c r="BQ65" s="45">
        <f t="shared" ref="BQ65:EB65" si="161">($D59*BQ11+$D60*BQ12+$D61*(1-$D33)*BQ13+$D62*$D33*BQ13)*1000/10^3</f>
        <v>368272.27207396086</v>
      </c>
      <c r="BR65" s="45">
        <f t="shared" si="161"/>
        <v>368272.27207396086</v>
      </c>
      <c r="BS65" s="45">
        <f t="shared" si="161"/>
        <v>368272.27207396086</v>
      </c>
      <c r="BT65" s="45">
        <f t="shared" si="161"/>
        <v>368272.27207396086</v>
      </c>
      <c r="BU65" s="45">
        <f t="shared" si="161"/>
        <v>368272.27207396086</v>
      </c>
      <c r="BV65" s="45">
        <f t="shared" si="161"/>
        <v>368272.27207396086</v>
      </c>
      <c r="BW65" s="45">
        <f t="shared" si="161"/>
        <v>368272.27207396086</v>
      </c>
      <c r="BX65" s="45">
        <f t="shared" si="161"/>
        <v>368272.27207396086</v>
      </c>
      <c r="BY65" s="45">
        <f t="shared" si="161"/>
        <v>368272.27207396086</v>
      </c>
      <c r="BZ65" s="45">
        <f t="shared" si="161"/>
        <v>368272.27207396086</v>
      </c>
      <c r="CA65" s="45">
        <f t="shared" si="161"/>
        <v>368272.27207396086</v>
      </c>
      <c r="CB65" s="45">
        <f t="shared" si="161"/>
        <v>368272.27207396086</v>
      </c>
      <c r="CC65" s="45">
        <f t="shared" si="161"/>
        <v>368272.27207396086</v>
      </c>
      <c r="CD65" s="45">
        <f t="shared" si="161"/>
        <v>368272.27207396086</v>
      </c>
      <c r="CE65" s="45">
        <f t="shared" si="161"/>
        <v>368272.27207396086</v>
      </c>
      <c r="CF65" s="45">
        <f t="shared" si="161"/>
        <v>368272.27207396086</v>
      </c>
      <c r="CG65" s="45">
        <f t="shared" si="161"/>
        <v>368272.27207396086</v>
      </c>
      <c r="CH65" s="45">
        <f t="shared" si="161"/>
        <v>368272.27207396086</v>
      </c>
      <c r="CI65" s="45">
        <f t="shared" si="161"/>
        <v>368272.27207396086</v>
      </c>
      <c r="CJ65" s="45">
        <f t="shared" si="161"/>
        <v>368272.27207396086</v>
      </c>
      <c r="CK65" s="45">
        <f t="shared" si="161"/>
        <v>368272.27207396086</v>
      </c>
      <c r="CL65" s="45">
        <f t="shared" si="161"/>
        <v>368272.27207396086</v>
      </c>
      <c r="CM65" s="45">
        <f t="shared" si="161"/>
        <v>368272.27207396086</v>
      </c>
      <c r="CN65" s="45">
        <f t="shared" si="161"/>
        <v>418070.98946548853</v>
      </c>
      <c r="CO65" s="45">
        <f t="shared" si="161"/>
        <v>418070.98946548853</v>
      </c>
      <c r="CP65" s="45">
        <f t="shared" si="161"/>
        <v>418070.98946548853</v>
      </c>
      <c r="CQ65" s="45">
        <f t="shared" si="161"/>
        <v>418070.98946548853</v>
      </c>
      <c r="CR65" s="45">
        <f t="shared" si="161"/>
        <v>418070.98946548853</v>
      </c>
      <c r="CS65" s="45">
        <f t="shared" si="161"/>
        <v>368272.27207396086</v>
      </c>
      <c r="CT65" s="45">
        <f t="shared" si="161"/>
        <v>368272.27207396086</v>
      </c>
      <c r="CU65" s="45">
        <f t="shared" si="161"/>
        <v>368272.27207396086</v>
      </c>
      <c r="CV65" s="45">
        <f t="shared" si="161"/>
        <v>368272.27207396086</v>
      </c>
      <c r="CW65" s="45">
        <f t="shared" si="161"/>
        <v>368272.27207396086</v>
      </c>
      <c r="CX65" s="45">
        <f t="shared" si="161"/>
        <v>368272.27207396086</v>
      </c>
      <c r="CY65" s="45">
        <f t="shared" si="161"/>
        <v>368272.27207396086</v>
      </c>
      <c r="CZ65" s="45">
        <f t="shared" si="161"/>
        <v>368272.27207396086</v>
      </c>
      <c r="DA65" s="45">
        <f t="shared" si="161"/>
        <v>368272.27207396086</v>
      </c>
      <c r="DB65" s="45">
        <f t="shared" si="161"/>
        <v>368272.27207396086</v>
      </c>
      <c r="DC65" s="45">
        <f t="shared" si="161"/>
        <v>368272.27207396086</v>
      </c>
      <c r="DD65" s="45">
        <f t="shared" si="161"/>
        <v>368272.27207396086</v>
      </c>
      <c r="DE65" s="45">
        <f t="shared" si="161"/>
        <v>368272.27207396086</v>
      </c>
      <c r="DF65" s="45">
        <f t="shared" si="161"/>
        <v>368272.27207396086</v>
      </c>
      <c r="DG65" s="45">
        <f t="shared" si="161"/>
        <v>0</v>
      </c>
      <c r="DH65" s="45">
        <f t="shared" si="161"/>
        <v>368272.27207396086</v>
      </c>
      <c r="DI65" s="45">
        <f t="shared" si="161"/>
        <v>368272.27207396086</v>
      </c>
      <c r="DJ65" s="45">
        <f t="shared" si="161"/>
        <v>368272.27207396086</v>
      </c>
      <c r="DK65" s="45">
        <f t="shared" si="161"/>
        <v>368272.27207396086</v>
      </c>
      <c r="DL65" s="45">
        <f t="shared" si="161"/>
        <v>368272.27207396086</v>
      </c>
      <c r="DM65" s="45">
        <f t="shared" si="161"/>
        <v>368272.27207396086</v>
      </c>
      <c r="DN65" s="45">
        <f t="shared" si="161"/>
        <v>368272.27207396086</v>
      </c>
      <c r="DO65" s="45">
        <f t="shared" si="161"/>
        <v>368272.27207396086</v>
      </c>
      <c r="DP65" s="45">
        <f t="shared" si="161"/>
        <v>368272.27207396086</v>
      </c>
      <c r="DQ65" s="45">
        <f t="shared" si="161"/>
        <v>368272.27207396086</v>
      </c>
      <c r="DR65" s="45">
        <f t="shared" si="161"/>
        <v>368272.27207396086</v>
      </c>
      <c r="DS65" s="45">
        <f t="shared" si="161"/>
        <v>368272.27207396086</v>
      </c>
      <c r="DT65" s="45">
        <f t="shared" si="161"/>
        <v>368272.27207396086</v>
      </c>
      <c r="DU65" s="45">
        <f t="shared" si="161"/>
        <v>368272.27207396086</v>
      </c>
      <c r="DV65" s="45">
        <f t="shared" si="161"/>
        <v>368272.27207396086</v>
      </c>
      <c r="DW65" s="45">
        <f t="shared" si="161"/>
        <v>368272.27207396086</v>
      </c>
      <c r="DX65" s="45">
        <f t="shared" si="161"/>
        <v>6304184.2310593054</v>
      </c>
      <c r="DY65" s="45">
        <f t="shared" si="161"/>
        <v>6304184.2310593054</v>
      </c>
      <c r="DZ65" s="45">
        <f t="shared" si="161"/>
        <v>6304184.2310593054</v>
      </c>
      <c r="EA65" s="45">
        <f t="shared" si="161"/>
        <v>6304184.2310593054</v>
      </c>
      <c r="EB65" s="45">
        <f t="shared" si="161"/>
        <v>6304184.2310593054</v>
      </c>
      <c r="EC65" s="45">
        <f t="shared" ref="EC65:ED65" si="162">($D59*EC11+$D60*EC12+$D61*(1-$D33)*EC13+$D62*$D33*EC13)*1000/10^3</f>
        <v>6304184.2310593054</v>
      </c>
      <c r="ED65" s="45">
        <f t="shared" si="162"/>
        <v>6304184.2310593054</v>
      </c>
    </row>
    <row r="66" spans="1:137" x14ac:dyDescent="0.3">
      <c r="A66" s="21" t="s">
        <v>807</v>
      </c>
      <c r="D66" s="45">
        <f>($D59*D16+$D60*D17+$D61*(1-$D33)*D18+$D62*$D33*D18)*1000/10^3</f>
        <v>368272.27207396086</v>
      </c>
      <c r="E66" s="45">
        <f t="shared" ref="E66:BP66" si="163">($D59*E16+$D60*E17+$D61*(1-$D33)*E18+$D62*$D33*E18)*1000/10^3</f>
        <v>368272.27207396086</v>
      </c>
      <c r="F66" s="45">
        <f t="shared" si="163"/>
        <v>368272.27207396086</v>
      </c>
      <c r="G66" s="45">
        <f t="shared" si="163"/>
        <v>368272.27207396086</v>
      </c>
      <c r="H66" s="45">
        <f t="shared" si="163"/>
        <v>368272.27207396086</v>
      </c>
      <c r="I66" s="45">
        <f t="shared" si="163"/>
        <v>368272.27207396086</v>
      </c>
      <c r="J66" s="45">
        <f t="shared" si="163"/>
        <v>368272.27207396086</v>
      </c>
      <c r="K66" s="45">
        <f t="shared" si="163"/>
        <v>368272.27207396086</v>
      </c>
      <c r="L66" s="45">
        <f t="shared" si="163"/>
        <v>368272.27207396086</v>
      </c>
      <c r="M66" s="45">
        <f t="shared" si="163"/>
        <v>368272.27207396086</v>
      </c>
      <c r="N66" s="45">
        <f t="shared" si="163"/>
        <v>368272.27207396086</v>
      </c>
      <c r="O66" s="45">
        <f t="shared" si="163"/>
        <v>368272.27207396086</v>
      </c>
      <c r="P66" s="45">
        <f t="shared" si="163"/>
        <v>368272.27207396086</v>
      </c>
      <c r="Q66" s="45">
        <f t="shared" si="163"/>
        <v>368272.27207396086</v>
      </c>
      <c r="R66" s="45">
        <f t="shared" si="163"/>
        <v>368272.27207396086</v>
      </c>
      <c r="S66" s="45">
        <f t="shared" si="163"/>
        <v>368272.27207396086</v>
      </c>
      <c r="T66" s="45">
        <f t="shared" si="163"/>
        <v>368272.27207396086</v>
      </c>
      <c r="U66" s="45">
        <f t="shared" si="163"/>
        <v>368272.27207396086</v>
      </c>
      <c r="V66" s="45">
        <f t="shared" si="163"/>
        <v>368272.27207396086</v>
      </c>
      <c r="W66" s="45">
        <f t="shared" si="163"/>
        <v>368272.27207396086</v>
      </c>
      <c r="X66" s="45">
        <f t="shared" si="163"/>
        <v>368272.27207396086</v>
      </c>
      <c r="Y66" s="45">
        <f t="shared" si="163"/>
        <v>368272.27207396086</v>
      </c>
      <c r="Z66" s="45">
        <f t="shared" si="163"/>
        <v>368272.27207396086</v>
      </c>
      <c r="AA66" s="45">
        <f t="shared" si="163"/>
        <v>368272.27207396086</v>
      </c>
      <c r="AB66" s="45">
        <f t="shared" si="163"/>
        <v>368272.27207396086</v>
      </c>
      <c r="AC66" s="45">
        <f t="shared" si="163"/>
        <v>368272.27207396086</v>
      </c>
      <c r="AD66" s="45">
        <f t="shared" si="163"/>
        <v>368272.27207396086</v>
      </c>
      <c r="AE66" s="45">
        <f t="shared" si="163"/>
        <v>368272.27207396086</v>
      </c>
      <c r="AF66" s="45">
        <f t="shared" si="163"/>
        <v>368272.27207396086</v>
      </c>
      <c r="AG66" s="45">
        <f t="shared" si="163"/>
        <v>368272.27207396086</v>
      </c>
      <c r="AH66" s="45">
        <f t="shared" si="163"/>
        <v>368272.27207396086</v>
      </c>
      <c r="AI66" s="45">
        <f t="shared" si="163"/>
        <v>368272.27207396086</v>
      </c>
      <c r="AJ66" s="45">
        <f t="shared" si="163"/>
        <v>368272.27207396086</v>
      </c>
      <c r="AK66" s="45">
        <f t="shared" si="163"/>
        <v>0</v>
      </c>
      <c r="AL66" s="45">
        <f t="shared" si="163"/>
        <v>0</v>
      </c>
      <c r="AM66" s="45">
        <f t="shared" si="163"/>
        <v>0</v>
      </c>
      <c r="AN66" s="45">
        <f t="shared" si="163"/>
        <v>0</v>
      </c>
      <c r="AO66" s="45">
        <f t="shared" si="163"/>
        <v>0</v>
      </c>
      <c r="AP66" s="45">
        <f t="shared" si="163"/>
        <v>0</v>
      </c>
      <c r="AQ66" s="45">
        <f t="shared" si="163"/>
        <v>0</v>
      </c>
      <c r="AR66" s="45">
        <f t="shared" si="163"/>
        <v>0</v>
      </c>
      <c r="AS66" s="45">
        <f t="shared" si="163"/>
        <v>0</v>
      </c>
      <c r="AT66" s="45">
        <f t="shared" si="163"/>
        <v>0</v>
      </c>
      <c r="AU66" s="45">
        <f t="shared" si="163"/>
        <v>0</v>
      </c>
      <c r="AV66" s="45">
        <f t="shared" si="163"/>
        <v>0</v>
      </c>
      <c r="AW66" s="45">
        <f t="shared" si="163"/>
        <v>0</v>
      </c>
      <c r="AX66" s="45">
        <f t="shared" si="163"/>
        <v>0</v>
      </c>
      <c r="AY66" s="45">
        <f t="shared" si="163"/>
        <v>0</v>
      </c>
      <c r="AZ66" s="45">
        <f t="shared" si="163"/>
        <v>0</v>
      </c>
      <c r="BA66" s="45">
        <f t="shared" si="163"/>
        <v>0</v>
      </c>
      <c r="BB66" s="45">
        <f t="shared" si="163"/>
        <v>0</v>
      </c>
      <c r="BC66" s="45">
        <f t="shared" si="163"/>
        <v>0</v>
      </c>
      <c r="BD66" s="45">
        <f t="shared" si="163"/>
        <v>0</v>
      </c>
      <c r="BE66" s="45">
        <f t="shared" si="163"/>
        <v>0</v>
      </c>
      <c r="BF66" s="45">
        <f t="shared" si="163"/>
        <v>0</v>
      </c>
      <c r="BG66" s="45">
        <f t="shared" si="163"/>
        <v>0</v>
      </c>
      <c r="BH66" s="45">
        <f t="shared" si="163"/>
        <v>0</v>
      </c>
      <c r="BI66" s="45">
        <f t="shared" si="163"/>
        <v>0</v>
      </c>
      <c r="BJ66" s="45">
        <f t="shared" si="163"/>
        <v>0</v>
      </c>
      <c r="BK66" s="45">
        <f t="shared" si="163"/>
        <v>0</v>
      </c>
      <c r="BL66" s="45">
        <f t="shared" si="163"/>
        <v>0</v>
      </c>
      <c r="BM66" s="45">
        <f t="shared" si="163"/>
        <v>0</v>
      </c>
      <c r="BN66" s="45">
        <f t="shared" si="163"/>
        <v>0</v>
      </c>
      <c r="BO66" s="45">
        <f t="shared" si="163"/>
        <v>0</v>
      </c>
      <c r="BP66" s="45">
        <f t="shared" si="163"/>
        <v>0</v>
      </c>
      <c r="BQ66" s="45">
        <f t="shared" ref="BQ66:EB66" si="164">($D59*BQ16+$D60*BQ17+$D61*(1-$D33)*BQ18+$D62*$D33*BQ18)*1000/10^3</f>
        <v>0</v>
      </c>
      <c r="BR66" s="45">
        <f t="shared" si="164"/>
        <v>0</v>
      </c>
      <c r="BS66" s="45">
        <f t="shared" si="164"/>
        <v>0</v>
      </c>
      <c r="BT66" s="45">
        <f t="shared" si="164"/>
        <v>0</v>
      </c>
      <c r="BU66" s="45">
        <f t="shared" si="164"/>
        <v>0</v>
      </c>
      <c r="BV66" s="45">
        <f t="shared" si="164"/>
        <v>0</v>
      </c>
      <c r="BW66" s="45">
        <f t="shared" si="164"/>
        <v>0</v>
      </c>
      <c r="BX66" s="45">
        <f t="shared" si="164"/>
        <v>0</v>
      </c>
      <c r="BY66" s="45">
        <f t="shared" si="164"/>
        <v>0</v>
      </c>
      <c r="BZ66" s="45">
        <f t="shared" si="164"/>
        <v>0</v>
      </c>
      <c r="CA66" s="45">
        <f t="shared" si="164"/>
        <v>0</v>
      </c>
      <c r="CB66" s="45">
        <f t="shared" si="164"/>
        <v>0</v>
      </c>
      <c r="CC66" s="45">
        <f t="shared" si="164"/>
        <v>0</v>
      </c>
      <c r="CD66" s="45">
        <f t="shared" si="164"/>
        <v>0</v>
      </c>
      <c r="CE66" s="45">
        <f t="shared" si="164"/>
        <v>0</v>
      </c>
      <c r="CF66" s="45">
        <f t="shared" si="164"/>
        <v>0</v>
      </c>
      <c r="CG66" s="45">
        <f t="shared" si="164"/>
        <v>0</v>
      </c>
      <c r="CH66" s="45">
        <f t="shared" si="164"/>
        <v>0</v>
      </c>
      <c r="CI66" s="45">
        <f t="shared" si="164"/>
        <v>0</v>
      </c>
      <c r="CJ66" s="45">
        <f t="shared" si="164"/>
        <v>0</v>
      </c>
      <c r="CK66" s="45">
        <f t="shared" si="164"/>
        <v>0</v>
      </c>
      <c r="CL66" s="45">
        <f t="shared" si="164"/>
        <v>0</v>
      </c>
      <c r="CM66" s="45">
        <f t="shared" si="164"/>
        <v>0</v>
      </c>
      <c r="CN66" s="45">
        <f t="shared" si="164"/>
        <v>0</v>
      </c>
      <c r="CO66" s="45">
        <f t="shared" si="164"/>
        <v>0</v>
      </c>
      <c r="CP66" s="45">
        <f t="shared" si="164"/>
        <v>0</v>
      </c>
      <c r="CQ66" s="45">
        <f t="shared" si="164"/>
        <v>0</v>
      </c>
      <c r="CR66" s="45">
        <f t="shared" si="164"/>
        <v>0</v>
      </c>
      <c r="CS66" s="45">
        <f t="shared" si="164"/>
        <v>0</v>
      </c>
      <c r="CT66" s="45">
        <f t="shared" si="164"/>
        <v>0</v>
      </c>
      <c r="CU66" s="45">
        <f t="shared" si="164"/>
        <v>0</v>
      </c>
      <c r="CV66" s="45">
        <f t="shared" si="164"/>
        <v>0</v>
      </c>
      <c r="CW66" s="45">
        <f t="shared" si="164"/>
        <v>0</v>
      </c>
      <c r="CX66" s="45">
        <f t="shared" si="164"/>
        <v>0</v>
      </c>
      <c r="CY66" s="45">
        <f t="shared" si="164"/>
        <v>0</v>
      </c>
      <c r="CZ66" s="45">
        <f t="shared" si="164"/>
        <v>0</v>
      </c>
      <c r="DA66" s="45">
        <f t="shared" si="164"/>
        <v>0</v>
      </c>
      <c r="DB66" s="45">
        <f t="shared" si="164"/>
        <v>0</v>
      </c>
      <c r="DC66" s="45">
        <f t="shared" si="164"/>
        <v>0</v>
      </c>
      <c r="DD66" s="45">
        <f t="shared" si="164"/>
        <v>0</v>
      </c>
      <c r="DE66" s="45">
        <f t="shared" si="164"/>
        <v>0</v>
      </c>
      <c r="DF66" s="45">
        <f t="shared" si="164"/>
        <v>0</v>
      </c>
      <c r="DG66" s="45">
        <f t="shared" si="164"/>
        <v>0</v>
      </c>
      <c r="DH66" s="45">
        <f t="shared" si="164"/>
        <v>0</v>
      </c>
      <c r="DI66" s="45">
        <f t="shared" si="164"/>
        <v>0</v>
      </c>
      <c r="DJ66" s="45">
        <f t="shared" si="164"/>
        <v>0</v>
      </c>
      <c r="DK66" s="45">
        <f t="shared" si="164"/>
        <v>368272.27207396086</v>
      </c>
      <c r="DL66" s="45">
        <f t="shared" si="164"/>
        <v>368272.27207396086</v>
      </c>
      <c r="DM66" s="45">
        <f t="shared" si="164"/>
        <v>368272.27207396086</v>
      </c>
      <c r="DN66" s="45">
        <f t="shared" si="164"/>
        <v>368272.27207396086</v>
      </c>
      <c r="DO66" s="45">
        <f t="shared" si="164"/>
        <v>368272.27207396086</v>
      </c>
      <c r="DP66" s="45">
        <f t="shared" si="164"/>
        <v>368272.27207396086</v>
      </c>
      <c r="DQ66" s="45">
        <f t="shared" si="164"/>
        <v>368272.27207396086</v>
      </c>
      <c r="DR66" s="45">
        <f t="shared" si="164"/>
        <v>368272.27207396086</v>
      </c>
      <c r="DS66" s="45">
        <f t="shared" si="164"/>
        <v>368272.27207396086</v>
      </c>
      <c r="DT66" s="45">
        <f t="shared" si="164"/>
        <v>368272.27207396086</v>
      </c>
      <c r="DU66" s="45">
        <f t="shared" si="164"/>
        <v>368272.27207396086</v>
      </c>
      <c r="DV66" s="45">
        <f t="shared" si="164"/>
        <v>368272.27207396086</v>
      </c>
      <c r="DW66" s="45">
        <f t="shared" si="164"/>
        <v>368272.27207396086</v>
      </c>
      <c r="DX66" s="45">
        <f t="shared" si="164"/>
        <v>0</v>
      </c>
      <c r="DY66" s="45">
        <f t="shared" si="164"/>
        <v>0</v>
      </c>
      <c r="DZ66" s="45">
        <f t="shared" si="164"/>
        <v>0</v>
      </c>
      <c r="EA66" s="45">
        <f t="shared" si="164"/>
        <v>0</v>
      </c>
      <c r="EB66" s="45">
        <f t="shared" si="164"/>
        <v>0</v>
      </c>
      <c r="EC66" s="45">
        <f t="shared" ref="EC66:ED66" si="165">($D59*EC16+$D60*EC17+$D61*(1-$D33)*EC18+$D62*$D33*EC18)*1000/10^3</f>
        <v>0</v>
      </c>
      <c r="ED66" s="45">
        <f t="shared" si="165"/>
        <v>0</v>
      </c>
    </row>
    <row r="68" spans="1:137" x14ac:dyDescent="0.3">
      <c r="A68" s="21" t="s">
        <v>810</v>
      </c>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row>
    <row r="69" spans="1:137" x14ac:dyDescent="0.3">
      <c r="A69" s="21" t="s">
        <v>806</v>
      </c>
      <c r="D69" s="567">
        <f>IFERROR(VLOOKUP(D$5,Tech_Specs_Infra!$A$20:$B$25,COLUMN(Tech_Specs_Infra!$B$19)-COLUMN(Tech_Specs_Infra!$A$19)+1,FALSE),0)/SUM(IFERROR(VLOOKUP(D$5,Tech_Specs_Infra!$A$20:$B$25,COLUMN(Tech_Specs_Infra!$B$19)-COLUMN(Tech_Specs_Infra!$A$19)+1,FALSE),0),(1-IFERROR(VLOOKUP(D$5,Tech_Specs_Infra!$A$20:$B$25,COLUMN(Tech_Specs_Infra!$B$19)-COLUMN(Tech_Specs_Infra!$A$19)+1,FALSE),0))*'0_Total'!D$10/'0_Total'!$AO$10)</f>
        <v>0.99643300837760918</v>
      </c>
      <c r="E69" s="567">
        <f>IFERROR(VLOOKUP(E$5,Tech_Specs_Infra!$A$20:$B$25,COLUMN(Tech_Specs_Infra!$B$19)-COLUMN(Tech_Specs_Infra!$A$19)+1,FALSE),0)/SUM(IFERROR(VLOOKUP(E$5,Tech_Specs_Infra!$A$20:$B$25,COLUMN(Tech_Specs_Infra!$B$19)-COLUMN(Tech_Specs_Infra!$A$19)+1,FALSE),0),(1-IFERROR(VLOOKUP(E$5,Tech_Specs_Infra!$A$20:$B$25,COLUMN(Tech_Specs_Infra!$B$19)-COLUMN(Tech_Specs_Infra!$A$19)+1,FALSE),0))*'0_Total'!E$10/'0_Total'!$AO$10)</f>
        <v>0.99554523300115261</v>
      </c>
      <c r="F69" s="567">
        <f>IFERROR(VLOOKUP(F$5,Tech_Specs_Infra!$A$20:$B$25,COLUMN(Tech_Specs_Infra!$B$19)-COLUMN(Tech_Specs_Infra!$A$19)+1,FALSE),0)/SUM(IFERROR(VLOOKUP(F$5,Tech_Specs_Infra!$A$20:$B$25,COLUMN(Tech_Specs_Infra!$B$19)-COLUMN(Tech_Specs_Infra!$A$19)+1,FALSE),0),(1-IFERROR(VLOOKUP(F$5,Tech_Specs_Infra!$A$20:$B$25,COLUMN(Tech_Specs_Infra!$B$19)-COLUMN(Tech_Specs_Infra!$A$19)+1,FALSE),0))*'0_Total'!F$10/'0_Total'!$AO$10)</f>
        <v>0.99643300837760918</v>
      </c>
      <c r="G69" s="567">
        <f>IFERROR(VLOOKUP(G$5,Tech_Specs_Infra!$A$20:$B$25,COLUMN(Tech_Specs_Infra!$B$19)-COLUMN(Tech_Specs_Infra!$A$19)+1,FALSE),0)/SUM(IFERROR(VLOOKUP(G$5,Tech_Specs_Infra!$A$20:$B$25,COLUMN(Tech_Specs_Infra!$B$19)-COLUMN(Tech_Specs_Infra!$A$19)+1,FALSE),0),(1-IFERROR(VLOOKUP(G$5,Tech_Specs_Infra!$A$20:$B$25,COLUMN(Tech_Specs_Infra!$B$19)-COLUMN(Tech_Specs_Infra!$A$19)+1,FALSE),0))*'0_Total'!G$10/'0_Total'!$AO$10)</f>
        <v>0.99643300837760918</v>
      </c>
      <c r="H69" s="567">
        <f>IFERROR(VLOOKUP(H$5,Tech_Specs_Infra!$A$20:$B$25,COLUMN(Tech_Specs_Infra!$B$19)-COLUMN(Tech_Specs_Infra!$A$19)+1,FALSE),0)/SUM(IFERROR(VLOOKUP(H$5,Tech_Specs_Infra!$A$20:$B$25,COLUMN(Tech_Specs_Infra!$B$19)-COLUMN(Tech_Specs_Infra!$A$19)+1,FALSE),0),(1-IFERROR(VLOOKUP(H$5,Tech_Specs_Infra!$A$20:$B$25,COLUMN(Tech_Specs_Infra!$B$19)-COLUMN(Tech_Specs_Infra!$A$19)+1,FALSE),0))*'0_Total'!H$10/'0_Total'!$AO$10)</f>
        <v>0.99643300837760918</v>
      </c>
      <c r="I69" s="567">
        <f>IFERROR(VLOOKUP(I$5,Tech_Specs_Infra!$A$20:$B$25,COLUMN(Tech_Specs_Infra!$B$19)-COLUMN(Tech_Specs_Infra!$A$19)+1,FALSE),0)/SUM(IFERROR(VLOOKUP(I$5,Tech_Specs_Infra!$A$20:$B$25,COLUMN(Tech_Specs_Infra!$B$19)-COLUMN(Tech_Specs_Infra!$A$19)+1,FALSE),0),(1-IFERROR(VLOOKUP(I$5,Tech_Specs_Infra!$A$20:$B$25,COLUMN(Tech_Specs_Infra!$B$19)-COLUMN(Tech_Specs_Infra!$A$19)+1,FALSE),0))*'0_Total'!I$10/'0_Total'!$AO$10)</f>
        <v>0.99643300837760918</v>
      </c>
      <c r="J69" s="567">
        <f>IFERROR(VLOOKUP(J$5,Tech_Specs_Infra!$A$20:$B$25,COLUMN(Tech_Specs_Infra!$B$19)-COLUMN(Tech_Specs_Infra!$A$19)+1,FALSE),0)/SUM(IFERROR(VLOOKUP(J$5,Tech_Specs_Infra!$A$20:$B$25,COLUMN(Tech_Specs_Infra!$B$19)-COLUMN(Tech_Specs_Infra!$A$19)+1,FALSE),0),(1-IFERROR(VLOOKUP(J$5,Tech_Specs_Infra!$A$20:$B$25,COLUMN(Tech_Specs_Infra!$B$19)-COLUMN(Tech_Specs_Infra!$A$19)+1,FALSE),0))*'0_Total'!J$10/'0_Total'!$AO$10)</f>
        <v>0.99643300837760918</v>
      </c>
      <c r="K69" s="567">
        <f>IFERROR(VLOOKUP(K$5,Tech_Specs_Infra!$A$20:$B$25,COLUMN(Tech_Specs_Infra!$B$19)-COLUMN(Tech_Specs_Infra!$A$19)+1,FALSE),0)/SUM(IFERROR(VLOOKUP(K$5,Tech_Specs_Infra!$A$20:$B$25,COLUMN(Tech_Specs_Infra!$B$19)-COLUMN(Tech_Specs_Infra!$A$19)+1,FALSE),0),(1-IFERROR(VLOOKUP(K$5,Tech_Specs_Infra!$A$20:$B$25,COLUMN(Tech_Specs_Infra!$B$19)-COLUMN(Tech_Specs_Infra!$A$19)+1,FALSE),0))*'0_Total'!K$10/'0_Total'!$AO$10)</f>
        <v>0.99643300837760918</v>
      </c>
      <c r="L69" s="567">
        <f>IFERROR(VLOOKUP(L$5,Tech_Specs_Infra!$A$20:$B$25,COLUMN(Tech_Specs_Infra!$B$19)-COLUMN(Tech_Specs_Infra!$A$19)+1,FALSE),0)/SUM(IFERROR(VLOOKUP(L$5,Tech_Specs_Infra!$A$20:$B$25,COLUMN(Tech_Specs_Infra!$B$19)-COLUMN(Tech_Specs_Infra!$A$19)+1,FALSE),0),(1-IFERROR(VLOOKUP(L$5,Tech_Specs_Infra!$A$20:$B$25,COLUMN(Tech_Specs_Infra!$B$19)-COLUMN(Tech_Specs_Infra!$A$19)+1,FALSE),0))*'0_Total'!L$10/'0_Total'!$AO$10)</f>
        <v>0.99643300837760918</v>
      </c>
      <c r="M69" s="567">
        <f>IFERROR(VLOOKUP(M$5,Tech_Specs_Infra!$A$20:$B$25,COLUMN(Tech_Specs_Infra!$B$19)-COLUMN(Tech_Specs_Infra!$A$19)+1,FALSE),0)/SUM(IFERROR(VLOOKUP(M$5,Tech_Specs_Infra!$A$20:$B$25,COLUMN(Tech_Specs_Infra!$B$19)-COLUMN(Tech_Specs_Infra!$A$19)+1,FALSE),0),(1-IFERROR(VLOOKUP(M$5,Tech_Specs_Infra!$A$20:$B$25,COLUMN(Tech_Specs_Infra!$B$19)-COLUMN(Tech_Specs_Infra!$A$19)+1,FALSE),0))*'0_Total'!M$10/'0_Total'!$AO$10)</f>
        <v>0.99643300837760918</v>
      </c>
      <c r="N69" s="567">
        <f>IFERROR(VLOOKUP(N$5,Tech_Specs_Infra!$A$20:$B$25,COLUMN(Tech_Specs_Infra!$B$19)-COLUMN(Tech_Specs_Infra!$A$19)+1,FALSE),0)/SUM(IFERROR(VLOOKUP(N$5,Tech_Specs_Infra!$A$20:$B$25,COLUMN(Tech_Specs_Infra!$B$19)-COLUMN(Tech_Specs_Infra!$A$19)+1,FALSE),0),(1-IFERROR(VLOOKUP(N$5,Tech_Specs_Infra!$A$20:$B$25,COLUMN(Tech_Specs_Infra!$B$19)-COLUMN(Tech_Specs_Infra!$A$19)+1,FALSE),0))*'0_Total'!N$10/'0_Total'!$AO$10)</f>
        <v>0.99643300837760918</v>
      </c>
      <c r="O69" s="567">
        <f>IFERROR(VLOOKUP(O$5,Tech_Specs_Infra!$A$20:$B$25,COLUMN(Tech_Specs_Infra!$B$19)-COLUMN(Tech_Specs_Infra!$A$19)+1,FALSE),0)/SUM(IFERROR(VLOOKUP(O$5,Tech_Specs_Infra!$A$20:$B$25,COLUMN(Tech_Specs_Infra!$B$19)-COLUMN(Tech_Specs_Infra!$A$19)+1,FALSE),0),(1-IFERROR(VLOOKUP(O$5,Tech_Specs_Infra!$A$20:$B$25,COLUMN(Tech_Specs_Infra!$B$19)-COLUMN(Tech_Specs_Infra!$A$19)+1,FALSE),0))*'0_Total'!O$10/'0_Total'!$AO$10)</f>
        <v>0.99643300837760918</v>
      </c>
      <c r="P69" s="567">
        <f>IFERROR(VLOOKUP(P$5,Tech_Specs_Infra!$A$20:$B$25,COLUMN(Tech_Specs_Infra!$B$19)-COLUMN(Tech_Specs_Infra!$A$19)+1,FALSE),0)/SUM(IFERROR(VLOOKUP(P$5,Tech_Specs_Infra!$A$20:$B$25,COLUMN(Tech_Specs_Infra!$B$19)-COLUMN(Tech_Specs_Infra!$A$19)+1,FALSE),0),(1-IFERROR(VLOOKUP(P$5,Tech_Specs_Infra!$A$20:$B$25,COLUMN(Tech_Specs_Infra!$B$19)-COLUMN(Tech_Specs_Infra!$A$19)+1,FALSE),0))*'0_Total'!P$10/'0_Total'!$AO$10)</f>
        <v>0.99643300837760918</v>
      </c>
      <c r="Q69" s="567">
        <f>IFERROR(VLOOKUP(Q$5,Tech_Specs_Infra!$A$20:$B$25,COLUMN(Tech_Specs_Infra!$B$19)-COLUMN(Tech_Specs_Infra!$A$19)+1,FALSE),0)/SUM(IFERROR(VLOOKUP(Q$5,Tech_Specs_Infra!$A$20:$B$25,COLUMN(Tech_Specs_Infra!$B$19)-COLUMN(Tech_Specs_Infra!$A$19)+1,FALSE),0),(1-IFERROR(VLOOKUP(Q$5,Tech_Specs_Infra!$A$20:$B$25,COLUMN(Tech_Specs_Infra!$B$19)-COLUMN(Tech_Specs_Infra!$A$19)+1,FALSE),0))*'0_Total'!Q$10/'0_Total'!$AO$10)</f>
        <v>0.99643300837760918</v>
      </c>
      <c r="R69" s="567">
        <f>IFERROR(VLOOKUP(R$5,Tech_Specs_Infra!$A$20:$B$25,COLUMN(Tech_Specs_Infra!$B$19)-COLUMN(Tech_Specs_Infra!$A$19)+1,FALSE),0)/SUM(IFERROR(VLOOKUP(R$5,Tech_Specs_Infra!$A$20:$B$25,COLUMN(Tech_Specs_Infra!$B$19)-COLUMN(Tech_Specs_Infra!$A$19)+1,FALSE),0),(1-IFERROR(VLOOKUP(R$5,Tech_Specs_Infra!$A$20:$B$25,COLUMN(Tech_Specs_Infra!$B$19)-COLUMN(Tech_Specs_Infra!$A$19)+1,FALSE),0))*'0_Total'!R$10/'0_Total'!$AO$10)</f>
        <v>0.99643300837760918</v>
      </c>
      <c r="S69" s="567">
        <f>IFERROR(VLOOKUP(S$5,Tech_Specs_Infra!$A$20:$B$25,COLUMN(Tech_Specs_Infra!$B$19)-COLUMN(Tech_Specs_Infra!$A$19)+1,FALSE),0)/SUM(IFERROR(VLOOKUP(S$5,Tech_Specs_Infra!$A$20:$B$25,COLUMN(Tech_Specs_Infra!$B$19)-COLUMN(Tech_Specs_Infra!$A$19)+1,FALSE),0),(1-IFERROR(VLOOKUP(S$5,Tech_Specs_Infra!$A$20:$B$25,COLUMN(Tech_Specs_Infra!$B$19)-COLUMN(Tech_Specs_Infra!$A$19)+1,FALSE),0))*'0_Total'!S$10/'0_Total'!$AO$10)</f>
        <v>0.99554523300115261</v>
      </c>
      <c r="T69" s="567">
        <f>IFERROR(VLOOKUP(T$5,Tech_Specs_Infra!$A$20:$B$25,COLUMN(Tech_Specs_Infra!$B$19)-COLUMN(Tech_Specs_Infra!$A$19)+1,FALSE),0)/SUM(IFERROR(VLOOKUP(T$5,Tech_Specs_Infra!$A$20:$B$25,COLUMN(Tech_Specs_Infra!$B$19)-COLUMN(Tech_Specs_Infra!$A$19)+1,FALSE),0),(1-IFERROR(VLOOKUP(T$5,Tech_Specs_Infra!$A$20:$B$25,COLUMN(Tech_Specs_Infra!$B$19)-COLUMN(Tech_Specs_Infra!$A$19)+1,FALSE),0))*'0_Total'!T$10/'0_Total'!$AO$10)</f>
        <v>0.99643300837760918</v>
      </c>
      <c r="U69" s="567">
        <f>IFERROR(VLOOKUP(U$5,Tech_Specs_Infra!$A$20:$B$25,COLUMN(Tech_Specs_Infra!$B$19)-COLUMN(Tech_Specs_Infra!$A$19)+1,FALSE),0)/SUM(IFERROR(VLOOKUP(U$5,Tech_Specs_Infra!$A$20:$B$25,COLUMN(Tech_Specs_Infra!$B$19)-COLUMN(Tech_Specs_Infra!$A$19)+1,FALSE),0),(1-IFERROR(VLOOKUP(U$5,Tech_Specs_Infra!$A$20:$B$25,COLUMN(Tech_Specs_Infra!$B$19)-COLUMN(Tech_Specs_Infra!$A$19)+1,FALSE),0))*'0_Total'!U$10/'0_Total'!$AO$10)</f>
        <v>0.99643300837760918</v>
      </c>
      <c r="V69" s="567">
        <f>IFERROR(VLOOKUP(V$5,Tech_Specs_Infra!$A$20:$B$25,COLUMN(Tech_Specs_Infra!$B$19)-COLUMN(Tech_Specs_Infra!$A$19)+1,FALSE),0)/SUM(IFERROR(VLOOKUP(V$5,Tech_Specs_Infra!$A$20:$B$25,COLUMN(Tech_Specs_Infra!$B$19)-COLUMN(Tech_Specs_Infra!$A$19)+1,FALSE),0),(1-IFERROR(VLOOKUP(V$5,Tech_Specs_Infra!$A$20:$B$25,COLUMN(Tech_Specs_Infra!$B$19)-COLUMN(Tech_Specs_Infra!$A$19)+1,FALSE),0))*'0_Total'!V$10/'0_Total'!$AO$10)</f>
        <v>0.99643300837760918</v>
      </c>
      <c r="W69" s="567">
        <f>IFERROR(VLOOKUP(W$5,Tech_Specs_Infra!$A$20:$B$25,COLUMN(Tech_Specs_Infra!$B$19)-COLUMN(Tech_Specs_Infra!$A$19)+1,FALSE),0)/SUM(IFERROR(VLOOKUP(W$5,Tech_Specs_Infra!$A$20:$B$25,COLUMN(Tech_Specs_Infra!$B$19)-COLUMN(Tech_Specs_Infra!$A$19)+1,FALSE),0),(1-IFERROR(VLOOKUP(W$5,Tech_Specs_Infra!$A$20:$B$25,COLUMN(Tech_Specs_Infra!$B$19)-COLUMN(Tech_Specs_Infra!$A$19)+1,FALSE),0))*'0_Total'!W$10/'0_Total'!$AO$10)</f>
        <v>0.99643300837760918</v>
      </c>
      <c r="X69" s="567">
        <f>IFERROR(VLOOKUP(X$5,Tech_Specs_Infra!$A$20:$B$25,COLUMN(Tech_Specs_Infra!$B$19)-COLUMN(Tech_Specs_Infra!$A$19)+1,FALSE),0)/SUM(IFERROR(VLOOKUP(X$5,Tech_Specs_Infra!$A$20:$B$25,COLUMN(Tech_Specs_Infra!$B$19)-COLUMN(Tech_Specs_Infra!$A$19)+1,FALSE),0),(1-IFERROR(VLOOKUP(X$5,Tech_Specs_Infra!$A$20:$B$25,COLUMN(Tech_Specs_Infra!$B$19)-COLUMN(Tech_Specs_Infra!$A$19)+1,FALSE),0))*'0_Total'!X$10/'0_Total'!$AO$10)</f>
        <v>0.99196025489784689</v>
      </c>
      <c r="Y69" s="567">
        <f>IFERROR(VLOOKUP(Y$5,Tech_Specs_Infra!$A$20:$B$25,COLUMN(Tech_Specs_Infra!$B$19)-COLUMN(Tech_Specs_Infra!$A$19)+1,FALSE),0)/SUM(IFERROR(VLOOKUP(Y$5,Tech_Specs_Infra!$A$20:$B$25,COLUMN(Tech_Specs_Infra!$B$19)-COLUMN(Tech_Specs_Infra!$A$19)+1,FALSE),0),(1-IFERROR(VLOOKUP(Y$5,Tech_Specs_Infra!$A$20:$B$25,COLUMN(Tech_Specs_Infra!$B$19)-COLUMN(Tech_Specs_Infra!$A$19)+1,FALSE),0))*'0_Total'!Y$10/'0_Total'!$AO$10)</f>
        <v>0.99196025489784689</v>
      </c>
      <c r="Z69" s="567">
        <f>IFERROR(VLOOKUP(Z$5,Tech_Specs_Infra!$A$20:$B$25,COLUMN(Tech_Specs_Infra!$B$19)-COLUMN(Tech_Specs_Infra!$A$19)+1,FALSE),0)/SUM(IFERROR(VLOOKUP(Z$5,Tech_Specs_Infra!$A$20:$B$25,COLUMN(Tech_Specs_Infra!$B$19)-COLUMN(Tech_Specs_Infra!$A$19)+1,FALSE),0),(1-IFERROR(VLOOKUP(Z$5,Tech_Specs_Infra!$A$20:$B$25,COLUMN(Tech_Specs_Infra!$B$19)-COLUMN(Tech_Specs_Infra!$A$19)+1,FALSE),0))*'0_Total'!Z$10/'0_Total'!$AO$10)</f>
        <v>0.99196025489784689</v>
      </c>
      <c r="AA69" s="567">
        <f>IFERROR(VLOOKUP(AA$5,Tech_Specs_Infra!$A$20:$B$25,COLUMN(Tech_Specs_Infra!$B$19)-COLUMN(Tech_Specs_Infra!$A$19)+1,FALSE),0)/SUM(IFERROR(VLOOKUP(AA$5,Tech_Specs_Infra!$A$20:$B$25,COLUMN(Tech_Specs_Infra!$B$19)-COLUMN(Tech_Specs_Infra!$A$19)+1,FALSE),0),(1-IFERROR(VLOOKUP(AA$5,Tech_Specs_Infra!$A$20:$B$25,COLUMN(Tech_Specs_Infra!$B$19)-COLUMN(Tech_Specs_Infra!$A$19)+1,FALSE),0))*'0_Total'!AA$10/'0_Total'!$AO$10)</f>
        <v>0.99196025489784689</v>
      </c>
      <c r="AB69" s="567">
        <f>IFERROR(VLOOKUP(AB$5,Tech_Specs_Infra!$A$20:$B$25,COLUMN(Tech_Specs_Infra!$B$19)-COLUMN(Tech_Specs_Infra!$A$19)+1,FALSE),0)/SUM(IFERROR(VLOOKUP(AB$5,Tech_Specs_Infra!$A$20:$B$25,COLUMN(Tech_Specs_Infra!$B$19)-COLUMN(Tech_Specs_Infra!$A$19)+1,FALSE),0),(1-IFERROR(VLOOKUP(AB$5,Tech_Specs_Infra!$A$20:$B$25,COLUMN(Tech_Specs_Infra!$B$19)-COLUMN(Tech_Specs_Infra!$A$19)+1,FALSE),0))*'0_Total'!AB$10/'0_Total'!$AO$10)</f>
        <v>0.99196025489784689</v>
      </c>
      <c r="AC69" s="567">
        <f>IFERROR(VLOOKUP(AC$5,Tech_Specs_Infra!$A$20:$B$25,COLUMN(Tech_Specs_Infra!$B$19)-COLUMN(Tech_Specs_Infra!$A$19)+1,FALSE),0)/SUM(IFERROR(VLOOKUP(AC$5,Tech_Specs_Infra!$A$20:$B$25,COLUMN(Tech_Specs_Infra!$B$19)-COLUMN(Tech_Specs_Infra!$A$19)+1,FALSE),0),(1-IFERROR(VLOOKUP(AC$5,Tech_Specs_Infra!$A$20:$B$25,COLUMN(Tech_Specs_Infra!$B$19)-COLUMN(Tech_Specs_Infra!$A$19)+1,FALSE),0))*'0_Total'!AC$10/'0_Total'!$AO$10)</f>
        <v>0.99196025489784689</v>
      </c>
      <c r="AD69" s="567">
        <f>IFERROR(VLOOKUP(AD$5,Tech_Specs_Infra!$A$20:$B$25,COLUMN(Tech_Specs_Infra!$B$19)-COLUMN(Tech_Specs_Infra!$A$19)+1,FALSE),0)/SUM(IFERROR(VLOOKUP(AD$5,Tech_Specs_Infra!$A$20:$B$25,COLUMN(Tech_Specs_Infra!$B$19)-COLUMN(Tech_Specs_Infra!$A$19)+1,FALSE),0),(1-IFERROR(VLOOKUP(AD$5,Tech_Specs_Infra!$A$20:$B$25,COLUMN(Tech_Specs_Infra!$B$19)-COLUMN(Tech_Specs_Infra!$A$19)+1,FALSE),0))*'0_Total'!AD$10/'0_Total'!$AO$10)</f>
        <v>0.99196025489784689</v>
      </c>
      <c r="AE69" s="567">
        <f>IFERROR(VLOOKUP(AE$5,Tech_Specs_Infra!$A$20:$B$25,COLUMN(Tech_Specs_Infra!$B$19)-COLUMN(Tech_Specs_Infra!$A$19)+1,FALSE),0)/SUM(IFERROR(VLOOKUP(AE$5,Tech_Specs_Infra!$A$20:$B$25,COLUMN(Tech_Specs_Infra!$B$19)-COLUMN(Tech_Specs_Infra!$A$19)+1,FALSE),0),(1-IFERROR(VLOOKUP(AE$5,Tech_Specs_Infra!$A$20:$B$25,COLUMN(Tech_Specs_Infra!$B$19)-COLUMN(Tech_Specs_Infra!$A$19)+1,FALSE),0))*'0_Total'!AE$10/'0_Total'!$AO$10)</f>
        <v>0.99196025489784689</v>
      </c>
      <c r="AF69" s="567">
        <f>IFERROR(VLOOKUP(AF$5,Tech_Specs_Infra!$A$20:$B$25,COLUMN(Tech_Specs_Infra!$B$19)-COLUMN(Tech_Specs_Infra!$A$19)+1,FALSE),0)/SUM(IFERROR(VLOOKUP(AF$5,Tech_Specs_Infra!$A$20:$B$25,COLUMN(Tech_Specs_Infra!$B$19)-COLUMN(Tech_Specs_Infra!$A$19)+1,FALSE),0),(1-IFERROR(VLOOKUP(AF$5,Tech_Specs_Infra!$A$20:$B$25,COLUMN(Tech_Specs_Infra!$B$19)-COLUMN(Tech_Specs_Infra!$A$19)+1,FALSE),0))*'0_Total'!AF$10/'0_Total'!$AO$10)</f>
        <v>0.99643300837760918</v>
      </c>
      <c r="AG69" s="567">
        <f>IFERROR(VLOOKUP(AG$5,Tech_Specs_Infra!$A$20:$B$25,COLUMN(Tech_Specs_Infra!$B$19)-COLUMN(Tech_Specs_Infra!$A$19)+1,FALSE),0)/SUM(IFERROR(VLOOKUP(AG$5,Tech_Specs_Infra!$A$20:$B$25,COLUMN(Tech_Specs_Infra!$B$19)-COLUMN(Tech_Specs_Infra!$A$19)+1,FALSE),0),(1-IFERROR(VLOOKUP(AG$5,Tech_Specs_Infra!$A$20:$B$25,COLUMN(Tech_Specs_Infra!$B$19)-COLUMN(Tech_Specs_Infra!$A$19)+1,FALSE),0))*'0_Total'!AG$10/'0_Total'!$AO$10)</f>
        <v>0.99325414369770471</v>
      </c>
      <c r="AH69" s="567">
        <f>IFERROR(VLOOKUP(AH$5,Tech_Specs_Infra!$A$20:$B$25,COLUMN(Tech_Specs_Infra!$B$19)-COLUMN(Tech_Specs_Infra!$A$19)+1,FALSE),0)/SUM(IFERROR(VLOOKUP(AH$5,Tech_Specs_Infra!$A$20:$B$25,COLUMN(Tech_Specs_Infra!$B$19)-COLUMN(Tech_Specs_Infra!$A$19)+1,FALSE),0),(1-IFERROR(VLOOKUP(AH$5,Tech_Specs_Infra!$A$20:$B$25,COLUMN(Tech_Specs_Infra!$B$19)-COLUMN(Tech_Specs_Infra!$A$19)+1,FALSE),0))*'0_Total'!AH$10/'0_Total'!$AO$10)</f>
        <v>0.9923943405708443</v>
      </c>
      <c r="AI69" s="567">
        <f>IFERROR(VLOOKUP(AI$5,Tech_Specs_Infra!$A$20:$B$25,COLUMN(Tech_Specs_Infra!$B$19)-COLUMN(Tech_Specs_Infra!$A$19)+1,FALSE),0)/SUM(IFERROR(VLOOKUP(AI$5,Tech_Specs_Infra!$A$20:$B$25,COLUMN(Tech_Specs_Infra!$B$19)-COLUMN(Tech_Specs_Infra!$A$19)+1,FALSE),0),(1-IFERROR(VLOOKUP(AI$5,Tech_Specs_Infra!$A$20:$B$25,COLUMN(Tech_Specs_Infra!$B$19)-COLUMN(Tech_Specs_Infra!$A$19)+1,FALSE),0))*'0_Total'!AI$10/'0_Total'!$AO$10)</f>
        <v>0.99131425163768572</v>
      </c>
      <c r="AJ69" s="567">
        <f>IFERROR(VLOOKUP(AJ$5,Tech_Specs_Infra!$A$20:$B$25,COLUMN(Tech_Specs_Infra!$B$19)-COLUMN(Tech_Specs_Infra!$A$19)+1,FALSE),0)/SUM(IFERROR(VLOOKUP(AJ$5,Tech_Specs_Infra!$A$20:$B$25,COLUMN(Tech_Specs_Infra!$B$19)-COLUMN(Tech_Specs_Infra!$A$19)+1,FALSE),0),(1-IFERROR(VLOOKUP(AJ$5,Tech_Specs_Infra!$A$20:$B$25,COLUMN(Tech_Specs_Infra!$B$19)-COLUMN(Tech_Specs_Infra!$A$19)+1,FALSE),0))*'0_Total'!AJ$10/'0_Total'!$AO$10)</f>
        <v>0.98995830198983026</v>
      </c>
      <c r="AK69" s="567">
        <f>IFERROR(VLOOKUP(AK$5,Tech_Specs_Infra!$A$20:$B$25,COLUMN(Tech_Specs_Infra!$B$19)-COLUMN(Tech_Specs_Infra!$A$19)+1,FALSE),0)/SUM(IFERROR(VLOOKUP(AK$5,Tech_Specs_Infra!$A$20:$B$25,COLUMN(Tech_Specs_Infra!$B$19)-COLUMN(Tech_Specs_Infra!$A$19)+1,FALSE),0),(1-IFERROR(VLOOKUP(AK$5,Tech_Specs_Infra!$A$20:$B$25,COLUMN(Tech_Specs_Infra!$B$19)-COLUMN(Tech_Specs_Infra!$A$19)+1,FALSE),0))*'0_Total'!AK$10/'0_Total'!$AO$10)</f>
        <v>0.97000372838503723</v>
      </c>
      <c r="AL69" s="567">
        <f>IFERROR(VLOOKUP(AL$5,Tech_Specs_Infra!$A$20:$B$25,COLUMN(Tech_Specs_Infra!$B$19)-COLUMN(Tech_Specs_Infra!$A$19)+1,FALSE),0)/SUM(IFERROR(VLOOKUP(AL$5,Tech_Specs_Infra!$A$20:$B$25,COLUMN(Tech_Specs_Infra!$B$19)-COLUMN(Tech_Specs_Infra!$A$19)+1,FALSE),0),(1-IFERROR(VLOOKUP(AL$5,Tech_Specs_Infra!$A$20:$B$25,COLUMN(Tech_Specs_Infra!$B$19)-COLUMN(Tech_Specs_Infra!$A$19)+1,FALSE),0))*'0_Total'!AL$10/'0_Total'!$AO$10)</f>
        <v>0.97346171556862637</v>
      </c>
      <c r="AM69" s="567">
        <f>IFERROR(VLOOKUP(AM$5,Tech_Specs_Infra!$A$20:$B$25,COLUMN(Tech_Specs_Infra!$B$19)-COLUMN(Tech_Specs_Infra!$A$19)+1,FALSE),0)/SUM(IFERROR(VLOOKUP(AM$5,Tech_Specs_Infra!$A$20:$B$25,COLUMN(Tech_Specs_Infra!$B$19)-COLUMN(Tech_Specs_Infra!$A$19)+1,FALSE),0),(1-IFERROR(VLOOKUP(AM$5,Tech_Specs_Infra!$A$20:$B$25,COLUMN(Tech_Specs_Infra!$B$19)-COLUMN(Tech_Specs_Infra!$A$19)+1,FALSE),0))*'0_Total'!AM$10/'0_Total'!$AO$10)</f>
        <v>0.97000372838503723</v>
      </c>
      <c r="AN69" s="567">
        <f>IFERROR(VLOOKUP(AN$5,Tech_Specs_Infra!$A$20:$B$25,COLUMN(Tech_Specs_Infra!$B$19)-COLUMN(Tech_Specs_Infra!$A$19)+1,FALSE),0)/SUM(IFERROR(VLOOKUP(AN$5,Tech_Specs_Infra!$A$20:$B$25,COLUMN(Tech_Specs_Infra!$B$19)-COLUMN(Tech_Specs_Infra!$A$19)+1,FALSE),0),(1-IFERROR(VLOOKUP(AN$5,Tech_Specs_Infra!$A$20:$B$25,COLUMN(Tech_Specs_Infra!$B$19)-COLUMN(Tech_Specs_Infra!$A$19)+1,FALSE),0))*'0_Total'!AN$10/'0_Total'!$AO$10)</f>
        <v>0.97346171556862637</v>
      </c>
      <c r="AO69" s="567">
        <f>IFERROR(VLOOKUP(AO$5,Tech_Specs_Infra!$A$20:$B$25,COLUMN(Tech_Specs_Infra!$B$19)-COLUMN(Tech_Specs_Infra!$A$19)+1,FALSE),0)/SUM(IFERROR(VLOOKUP(AO$5,Tech_Specs_Infra!$A$20:$B$25,COLUMN(Tech_Specs_Infra!$B$19)-COLUMN(Tech_Specs_Infra!$A$19)+1,FALSE),0),(1-IFERROR(VLOOKUP(AO$5,Tech_Specs_Infra!$A$20:$B$25,COLUMN(Tech_Specs_Infra!$B$19)-COLUMN(Tech_Specs_Infra!$A$19)+1,FALSE),0))*'0_Total'!AO$10/'0_Total'!$AO$10)</f>
        <v>0.67045454545454541</v>
      </c>
      <c r="AP69" s="567">
        <f>IFERROR(VLOOKUP(AP$5,Tech_Specs_Infra!$A$20:$B$25,COLUMN(Tech_Specs_Infra!$B$19)-COLUMN(Tech_Specs_Infra!$A$19)+1,FALSE),0)/SUM(IFERROR(VLOOKUP(AP$5,Tech_Specs_Infra!$A$20:$B$25,COLUMN(Tech_Specs_Infra!$B$19)-COLUMN(Tech_Specs_Infra!$A$19)+1,FALSE),0),(1-IFERROR(VLOOKUP(AP$5,Tech_Specs_Infra!$A$20:$B$25,COLUMN(Tech_Specs_Infra!$B$19)-COLUMN(Tech_Specs_Infra!$A$19)+1,FALSE),0))*'0_Total'!AP$10/'0_Total'!$AO$10)</f>
        <v>0.65777865557751181</v>
      </c>
      <c r="AQ69" s="567">
        <f>IFERROR(VLOOKUP(AQ$5,Tech_Specs_Infra!$A$20:$B$25,COLUMN(Tech_Specs_Infra!$B$19)-COLUMN(Tech_Specs_Infra!$A$19)+1,FALSE),0)/SUM(IFERROR(VLOOKUP(AQ$5,Tech_Specs_Infra!$A$20:$B$25,COLUMN(Tech_Specs_Infra!$B$19)-COLUMN(Tech_Specs_Infra!$A$19)+1,FALSE),0),(1-IFERROR(VLOOKUP(AQ$5,Tech_Specs_Infra!$A$20:$B$25,COLUMN(Tech_Specs_Infra!$B$19)-COLUMN(Tech_Specs_Infra!$A$19)+1,FALSE),0))*'0_Total'!AQ$10/'0_Total'!$AO$10)</f>
        <v>0.64658528885159172</v>
      </c>
      <c r="AR69" s="567">
        <f>IFERROR(VLOOKUP(AR$5,Tech_Specs_Infra!$A$20:$B$25,COLUMN(Tech_Specs_Infra!$B$19)-COLUMN(Tech_Specs_Infra!$A$19)+1,FALSE),0)/SUM(IFERROR(VLOOKUP(AR$5,Tech_Specs_Infra!$A$20:$B$25,COLUMN(Tech_Specs_Infra!$B$19)-COLUMN(Tech_Specs_Infra!$A$19)+1,FALSE),0),(1-IFERROR(VLOOKUP(AR$5,Tech_Specs_Infra!$A$20:$B$25,COLUMN(Tech_Specs_Infra!$B$19)-COLUMN(Tech_Specs_Infra!$A$19)+1,FALSE),0))*'0_Total'!AR$10/'0_Total'!$AO$10)</f>
        <v>0.68580712656992626</v>
      </c>
      <c r="AS69" s="567">
        <f>IFERROR(VLOOKUP(AS$5,Tech_Specs_Infra!$A$20:$B$25,COLUMN(Tech_Specs_Infra!$B$19)-COLUMN(Tech_Specs_Infra!$A$19)+1,FALSE),0)/SUM(IFERROR(VLOOKUP(AS$5,Tech_Specs_Infra!$A$20:$B$25,COLUMN(Tech_Specs_Infra!$B$19)-COLUMN(Tech_Specs_Infra!$A$19)+1,FALSE),0),(1-IFERROR(VLOOKUP(AS$5,Tech_Specs_Infra!$A$20:$B$25,COLUMN(Tech_Specs_Infra!$B$19)-COLUMN(Tech_Specs_Infra!$A$19)+1,FALSE),0))*'0_Total'!AS$10/'0_Total'!$AO$10)</f>
        <v>0.68580712656992626</v>
      </c>
      <c r="AT69" s="567">
        <f>IFERROR(VLOOKUP(AT$5,Tech_Specs_Infra!$A$20:$B$25,COLUMN(Tech_Specs_Infra!$B$19)-COLUMN(Tech_Specs_Infra!$A$19)+1,FALSE),0)/SUM(IFERROR(VLOOKUP(AT$5,Tech_Specs_Infra!$A$20:$B$25,COLUMN(Tech_Specs_Infra!$B$19)-COLUMN(Tech_Specs_Infra!$A$19)+1,FALSE),0),(1-IFERROR(VLOOKUP(AT$5,Tech_Specs_Infra!$A$20:$B$25,COLUMN(Tech_Specs_Infra!$B$19)-COLUMN(Tech_Specs_Infra!$A$19)+1,FALSE),0))*'0_Total'!AT$10/'0_Total'!$AO$10)</f>
        <v>0.68580712656992626</v>
      </c>
      <c r="AU69" s="567">
        <f>IFERROR(VLOOKUP(AU$5,Tech_Specs_Infra!$A$20:$B$25,COLUMN(Tech_Specs_Infra!$B$19)-COLUMN(Tech_Specs_Infra!$A$19)+1,FALSE),0)/SUM(IFERROR(VLOOKUP(AU$5,Tech_Specs_Infra!$A$20:$B$25,COLUMN(Tech_Specs_Infra!$B$19)-COLUMN(Tech_Specs_Infra!$A$19)+1,FALSE),0),(1-IFERROR(VLOOKUP(AU$5,Tech_Specs_Infra!$A$20:$B$25,COLUMN(Tech_Specs_Infra!$B$19)-COLUMN(Tech_Specs_Infra!$A$19)+1,FALSE),0))*'0_Total'!AU$10/'0_Total'!$AO$10)</f>
        <v>0.68580712656992626</v>
      </c>
      <c r="AV69" s="567">
        <f>IFERROR(VLOOKUP(AV$5,Tech_Specs_Infra!$A$20:$B$25,COLUMN(Tech_Specs_Infra!$B$19)-COLUMN(Tech_Specs_Infra!$A$19)+1,FALSE),0)/SUM(IFERROR(VLOOKUP(AV$5,Tech_Specs_Infra!$A$20:$B$25,COLUMN(Tech_Specs_Infra!$B$19)-COLUMN(Tech_Specs_Infra!$A$19)+1,FALSE),0),(1-IFERROR(VLOOKUP(AV$5,Tech_Specs_Infra!$A$20:$B$25,COLUMN(Tech_Specs_Infra!$B$19)-COLUMN(Tech_Specs_Infra!$A$19)+1,FALSE),0))*'0_Total'!AV$10/'0_Total'!$AO$10)</f>
        <v>0.68580712656992626</v>
      </c>
      <c r="AW69" s="567">
        <f>IFERROR(VLOOKUP(AW$5,Tech_Specs_Infra!$A$20:$B$25,COLUMN(Tech_Specs_Infra!$B$19)-COLUMN(Tech_Specs_Infra!$A$19)+1,FALSE),0)/SUM(IFERROR(VLOOKUP(AW$5,Tech_Specs_Infra!$A$20:$B$25,COLUMN(Tech_Specs_Infra!$B$19)-COLUMN(Tech_Specs_Infra!$A$19)+1,FALSE),0),(1-IFERROR(VLOOKUP(AW$5,Tech_Specs_Infra!$A$20:$B$25,COLUMN(Tech_Specs_Infra!$B$19)-COLUMN(Tech_Specs_Infra!$A$19)+1,FALSE),0))*'0_Total'!AW$10/'0_Total'!$AO$10)</f>
        <v>0.68580712656992626</v>
      </c>
      <c r="AX69" s="567">
        <f>IFERROR(VLOOKUP(AX$5,Tech_Specs_Infra!$A$20:$B$25,COLUMN(Tech_Specs_Infra!$B$19)-COLUMN(Tech_Specs_Infra!$A$19)+1,FALSE),0)/SUM(IFERROR(VLOOKUP(AX$5,Tech_Specs_Infra!$A$20:$B$25,COLUMN(Tech_Specs_Infra!$B$19)-COLUMN(Tech_Specs_Infra!$A$19)+1,FALSE),0),(1-IFERROR(VLOOKUP(AX$5,Tech_Specs_Infra!$A$20:$B$25,COLUMN(Tech_Specs_Infra!$B$19)-COLUMN(Tech_Specs_Infra!$A$19)+1,FALSE),0))*'0_Total'!AX$10/'0_Total'!$AO$10)</f>
        <v>0.68580712656992626</v>
      </c>
      <c r="AY69" s="567">
        <f>IFERROR(VLOOKUP(AY$5,Tech_Specs_Infra!$A$20:$B$25,COLUMN(Tech_Specs_Infra!$B$19)-COLUMN(Tech_Specs_Infra!$A$19)+1,FALSE),0)/SUM(IFERROR(VLOOKUP(AY$5,Tech_Specs_Infra!$A$20:$B$25,COLUMN(Tech_Specs_Infra!$B$19)-COLUMN(Tech_Specs_Infra!$A$19)+1,FALSE),0),(1-IFERROR(VLOOKUP(AY$5,Tech_Specs_Infra!$A$20:$B$25,COLUMN(Tech_Specs_Infra!$B$19)-COLUMN(Tech_Specs_Infra!$A$19)+1,FALSE),0))*'0_Total'!AY$10/'0_Total'!$AO$10)</f>
        <v>0.64423722538745276</v>
      </c>
      <c r="AZ69" s="567">
        <f>IFERROR(VLOOKUP(AZ$5,Tech_Specs_Infra!$A$20:$B$25,COLUMN(Tech_Specs_Infra!$B$19)-COLUMN(Tech_Specs_Infra!$A$19)+1,FALSE),0)/SUM(IFERROR(VLOOKUP(AZ$5,Tech_Specs_Infra!$A$20:$B$25,COLUMN(Tech_Specs_Infra!$B$19)-COLUMN(Tech_Specs_Infra!$A$19)+1,FALSE),0),(1-IFERROR(VLOOKUP(AZ$5,Tech_Specs_Infra!$A$20:$B$25,COLUMN(Tech_Specs_Infra!$B$19)-COLUMN(Tech_Specs_Infra!$A$19)+1,FALSE),0))*'0_Total'!AZ$10/'0_Total'!$AO$10)</f>
        <v>0.64423722538745276</v>
      </c>
      <c r="BA69" s="567">
        <f>IFERROR(VLOOKUP(BA$5,Tech_Specs_Infra!$A$20:$B$25,COLUMN(Tech_Specs_Infra!$B$19)-COLUMN(Tech_Specs_Infra!$A$19)+1,FALSE),0)/SUM(IFERROR(VLOOKUP(BA$5,Tech_Specs_Infra!$A$20:$B$25,COLUMN(Tech_Specs_Infra!$B$19)-COLUMN(Tech_Specs_Infra!$A$19)+1,FALSE),0),(1-IFERROR(VLOOKUP(BA$5,Tech_Specs_Infra!$A$20:$B$25,COLUMN(Tech_Specs_Infra!$B$19)-COLUMN(Tech_Specs_Infra!$A$19)+1,FALSE),0))*'0_Total'!BA$10/'0_Total'!$AO$10)</f>
        <v>0.64423722538745276</v>
      </c>
      <c r="BB69" s="567">
        <f>IFERROR(VLOOKUP(BB$5,Tech_Specs_Infra!$A$20:$B$25,COLUMN(Tech_Specs_Infra!$B$19)-COLUMN(Tech_Specs_Infra!$A$19)+1,FALSE),0)/SUM(IFERROR(VLOOKUP(BB$5,Tech_Specs_Infra!$A$20:$B$25,COLUMN(Tech_Specs_Infra!$B$19)-COLUMN(Tech_Specs_Infra!$A$19)+1,FALSE),0),(1-IFERROR(VLOOKUP(BB$5,Tech_Specs_Infra!$A$20:$B$25,COLUMN(Tech_Specs_Infra!$B$19)-COLUMN(Tech_Specs_Infra!$A$19)+1,FALSE),0))*'0_Total'!BB$10/'0_Total'!$AO$10)</f>
        <v>0.64423722538745276</v>
      </c>
      <c r="BC69" s="567">
        <f>IFERROR(VLOOKUP(BC$5,Tech_Specs_Infra!$A$20:$B$25,COLUMN(Tech_Specs_Infra!$B$19)-COLUMN(Tech_Specs_Infra!$A$19)+1,FALSE),0)/SUM(IFERROR(VLOOKUP(BC$5,Tech_Specs_Infra!$A$20:$B$25,COLUMN(Tech_Specs_Infra!$B$19)-COLUMN(Tech_Specs_Infra!$A$19)+1,FALSE),0),(1-IFERROR(VLOOKUP(BC$5,Tech_Specs_Infra!$A$20:$B$25,COLUMN(Tech_Specs_Infra!$B$19)-COLUMN(Tech_Specs_Infra!$A$19)+1,FALSE),0))*'0_Total'!BC$10/'0_Total'!$AO$10)</f>
        <v>0.67045454545454541</v>
      </c>
      <c r="BD69" s="567">
        <f>IFERROR(VLOOKUP(BD$5,Tech_Specs_Infra!$A$20:$B$25,COLUMN(Tech_Specs_Infra!$B$19)-COLUMN(Tech_Specs_Infra!$A$19)+1,FALSE),0)/SUM(IFERROR(VLOOKUP(BD$5,Tech_Specs_Infra!$A$20:$B$25,COLUMN(Tech_Specs_Infra!$B$19)-COLUMN(Tech_Specs_Infra!$A$19)+1,FALSE),0),(1-IFERROR(VLOOKUP(BD$5,Tech_Specs_Infra!$A$20:$B$25,COLUMN(Tech_Specs_Infra!$B$19)-COLUMN(Tech_Specs_Infra!$A$19)+1,FALSE),0))*'0_Total'!BD$10/'0_Total'!$AO$10)</f>
        <v>0.67045454545454541</v>
      </c>
      <c r="BE69" s="567">
        <f>IFERROR(VLOOKUP(BE$5,Tech_Specs_Infra!$A$20:$B$25,COLUMN(Tech_Specs_Infra!$B$19)-COLUMN(Tech_Specs_Infra!$A$19)+1,FALSE),0)/SUM(IFERROR(VLOOKUP(BE$5,Tech_Specs_Infra!$A$20:$B$25,COLUMN(Tech_Specs_Infra!$B$19)-COLUMN(Tech_Specs_Infra!$A$19)+1,FALSE),0),(1-IFERROR(VLOOKUP(BE$5,Tech_Specs_Infra!$A$20:$B$25,COLUMN(Tech_Specs_Infra!$B$19)-COLUMN(Tech_Specs_Infra!$A$19)+1,FALSE),0))*'0_Total'!BE$10/'0_Total'!$AO$10)</f>
        <v>0.67045454545454541</v>
      </c>
      <c r="BF69" s="567">
        <f>IFERROR(VLOOKUP(BF$5,Tech_Specs_Infra!$A$20:$B$25,COLUMN(Tech_Specs_Infra!$B$19)-COLUMN(Tech_Specs_Infra!$A$19)+1,FALSE),0)/SUM(IFERROR(VLOOKUP(BF$5,Tech_Specs_Infra!$A$20:$B$25,COLUMN(Tech_Specs_Infra!$B$19)-COLUMN(Tech_Specs_Infra!$A$19)+1,FALSE),0),(1-IFERROR(VLOOKUP(BF$5,Tech_Specs_Infra!$A$20:$B$25,COLUMN(Tech_Specs_Infra!$B$19)-COLUMN(Tech_Specs_Infra!$A$19)+1,FALSE),0))*'0_Total'!BF$10/'0_Total'!$AO$10)</f>
        <v>0.67045454545454541</v>
      </c>
      <c r="BG69" s="567">
        <f>IFERROR(VLOOKUP(BG$5,Tech_Specs_Infra!$A$20:$B$25,COLUMN(Tech_Specs_Infra!$B$19)-COLUMN(Tech_Specs_Infra!$A$19)+1,FALSE),0)/SUM(IFERROR(VLOOKUP(BG$5,Tech_Specs_Infra!$A$20:$B$25,COLUMN(Tech_Specs_Infra!$B$19)-COLUMN(Tech_Specs_Infra!$A$19)+1,FALSE),0),(1-IFERROR(VLOOKUP(BG$5,Tech_Specs_Infra!$A$20:$B$25,COLUMN(Tech_Specs_Infra!$B$19)-COLUMN(Tech_Specs_Infra!$A$19)+1,FALSE),0))*'0_Total'!BG$10/'0_Total'!$AO$10)</f>
        <v>0.67045454545454541</v>
      </c>
      <c r="BH69" s="567">
        <f>IFERROR(VLOOKUP(BH$5,Tech_Specs_Infra!$A$20:$B$25,COLUMN(Tech_Specs_Infra!$B$19)-COLUMN(Tech_Specs_Infra!$A$19)+1,FALSE),0)/SUM(IFERROR(VLOOKUP(BH$5,Tech_Specs_Infra!$A$20:$B$25,COLUMN(Tech_Specs_Infra!$B$19)-COLUMN(Tech_Specs_Infra!$A$19)+1,FALSE),0),(1-IFERROR(VLOOKUP(BH$5,Tech_Specs_Infra!$A$20:$B$25,COLUMN(Tech_Specs_Infra!$B$19)-COLUMN(Tech_Specs_Infra!$A$19)+1,FALSE),0))*'0_Total'!BH$10/'0_Total'!$AO$10)</f>
        <v>0.67045454545454541</v>
      </c>
      <c r="BI69" s="567">
        <f>IFERROR(VLOOKUP(BI$5,Tech_Specs_Infra!$A$20:$B$25,COLUMN(Tech_Specs_Infra!$B$19)-COLUMN(Tech_Specs_Infra!$A$19)+1,FALSE),0)/SUM(IFERROR(VLOOKUP(BI$5,Tech_Specs_Infra!$A$20:$B$25,COLUMN(Tech_Specs_Infra!$B$19)-COLUMN(Tech_Specs_Infra!$A$19)+1,FALSE),0),(1-IFERROR(VLOOKUP(BI$5,Tech_Specs_Infra!$A$20:$B$25,COLUMN(Tech_Specs_Infra!$B$19)-COLUMN(Tech_Specs_Infra!$A$19)+1,FALSE),0))*'0_Total'!BI$10/'0_Total'!$AO$10)</f>
        <v>0.67045454545454541</v>
      </c>
      <c r="BJ69" s="567">
        <f>IFERROR(VLOOKUP(BJ$5,Tech_Specs_Infra!$A$20:$B$25,COLUMN(Tech_Specs_Infra!$B$19)-COLUMN(Tech_Specs_Infra!$A$19)+1,FALSE),0)/SUM(IFERROR(VLOOKUP(BJ$5,Tech_Specs_Infra!$A$20:$B$25,COLUMN(Tech_Specs_Infra!$B$19)-COLUMN(Tech_Specs_Infra!$A$19)+1,FALSE),0),(1-IFERROR(VLOOKUP(BJ$5,Tech_Specs_Infra!$A$20:$B$25,COLUMN(Tech_Specs_Infra!$B$19)-COLUMN(Tech_Specs_Infra!$A$19)+1,FALSE),0))*'0_Total'!BJ$10/'0_Total'!$AO$10)</f>
        <v>0.65777865557751181</v>
      </c>
      <c r="BK69" s="567">
        <f>IFERROR(VLOOKUP(BK$5,Tech_Specs_Infra!$A$20:$B$25,COLUMN(Tech_Specs_Infra!$B$19)-COLUMN(Tech_Specs_Infra!$A$19)+1,FALSE),0)/SUM(IFERROR(VLOOKUP(BK$5,Tech_Specs_Infra!$A$20:$B$25,COLUMN(Tech_Specs_Infra!$B$19)-COLUMN(Tech_Specs_Infra!$A$19)+1,FALSE),0),(1-IFERROR(VLOOKUP(BK$5,Tech_Specs_Infra!$A$20:$B$25,COLUMN(Tech_Specs_Infra!$B$19)-COLUMN(Tech_Specs_Infra!$A$19)+1,FALSE),0))*'0_Total'!BK$10/'0_Total'!$AO$10)</f>
        <v>0.64658528885159172</v>
      </c>
      <c r="BL69" s="567">
        <f>IFERROR(VLOOKUP(BL$5,Tech_Specs_Infra!$A$20:$B$25,COLUMN(Tech_Specs_Infra!$B$19)-COLUMN(Tech_Specs_Infra!$A$19)+1,FALSE),0)/SUM(IFERROR(VLOOKUP(BL$5,Tech_Specs_Infra!$A$20:$B$25,COLUMN(Tech_Specs_Infra!$B$19)-COLUMN(Tech_Specs_Infra!$A$19)+1,FALSE),0),(1-IFERROR(VLOOKUP(BL$5,Tech_Specs_Infra!$A$20:$B$25,COLUMN(Tech_Specs_Infra!$B$19)-COLUMN(Tech_Specs_Infra!$A$19)+1,FALSE),0))*'0_Total'!BL$10/'0_Total'!$AO$10)</f>
        <v>0.68580712656992626</v>
      </c>
      <c r="BM69" s="567">
        <f>IFERROR(VLOOKUP(BM$5,Tech_Specs_Infra!$A$20:$B$25,COLUMN(Tech_Specs_Infra!$B$19)-COLUMN(Tech_Specs_Infra!$A$19)+1,FALSE),0)/SUM(IFERROR(VLOOKUP(BM$5,Tech_Specs_Infra!$A$20:$B$25,COLUMN(Tech_Specs_Infra!$B$19)-COLUMN(Tech_Specs_Infra!$A$19)+1,FALSE),0),(1-IFERROR(VLOOKUP(BM$5,Tech_Specs_Infra!$A$20:$B$25,COLUMN(Tech_Specs_Infra!$B$19)-COLUMN(Tech_Specs_Infra!$A$19)+1,FALSE),0))*'0_Total'!BM$10/'0_Total'!$AO$10)</f>
        <v>0.68580712656992626</v>
      </c>
      <c r="BN69" s="567">
        <f>IFERROR(VLOOKUP(BN$5,Tech_Specs_Infra!$A$20:$B$25,COLUMN(Tech_Specs_Infra!$B$19)-COLUMN(Tech_Specs_Infra!$A$19)+1,FALSE),0)/SUM(IFERROR(VLOOKUP(BN$5,Tech_Specs_Infra!$A$20:$B$25,COLUMN(Tech_Specs_Infra!$B$19)-COLUMN(Tech_Specs_Infra!$A$19)+1,FALSE),0),(1-IFERROR(VLOOKUP(BN$5,Tech_Specs_Infra!$A$20:$B$25,COLUMN(Tech_Specs_Infra!$B$19)-COLUMN(Tech_Specs_Infra!$A$19)+1,FALSE),0))*'0_Total'!BN$10/'0_Total'!$AO$10)</f>
        <v>0.68580712656992626</v>
      </c>
      <c r="BO69" s="567">
        <f>IFERROR(VLOOKUP(BO$5,Tech_Specs_Infra!$A$20:$B$25,COLUMN(Tech_Specs_Infra!$B$19)-COLUMN(Tech_Specs_Infra!$A$19)+1,FALSE),0)/SUM(IFERROR(VLOOKUP(BO$5,Tech_Specs_Infra!$A$20:$B$25,COLUMN(Tech_Specs_Infra!$B$19)-COLUMN(Tech_Specs_Infra!$A$19)+1,FALSE),0),(1-IFERROR(VLOOKUP(BO$5,Tech_Specs_Infra!$A$20:$B$25,COLUMN(Tech_Specs_Infra!$B$19)-COLUMN(Tech_Specs_Infra!$A$19)+1,FALSE),0))*'0_Total'!BO$10/'0_Total'!$AO$10)</f>
        <v>0.68580712656992626</v>
      </c>
      <c r="BP69" s="567">
        <f>IFERROR(VLOOKUP(BP$5,Tech_Specs_Infra!$A$20:$B$25,COLUMN(Tech_Specs_Infra!$B$19)-COLUMN(Tech_Specs_Infra!$A$19)+1,FALSE),0)/SUM(IFERROR(VLOOKUP(BP$5,Tech_Specs_Infra!$A$20:$B$25,COLUMN(Tech_Specs_Infra!$B$19)-COLUMN(Tech_Specs_Infra!$A$19)+1,FALSE),0),(1-IFERROR(VLOOKUP(BP$5,Tech_Specs_Infra!$A$20:$B$25,COLUMN(Tech_Specs_Infra!$B$19)-COLUMN(Tech_Specs_Infra!$A$19)+1,FALSE),0))*'0_Total'!BP$10/'0_Total'!$AO$10)</f>
        <v>0.68580712656992626</v>
      </c>
      <c r="BQ69" s="567">
        <f>IFERROR(VLOOKUP(BQ$5,Tech_Specs_Infra!$A$20:$B$25,COLUMN(Tech_Specs_Infra!$B$19)-COLUMN(Tech_Specs_Infra!$A$19)+1,FALSE),0)/SUM(IFERROR(VLOOKUP(BQ$5,Tech_Specs_Infra!$A$20:$B$25,COLUMN(Tech_Specs_Infra!$B$19)-COLUMN(Tech_Specs_Infra!$A$19)+1,FALSE),0),(1-IFERROR(VLOOKUP(BQ$5,Tech_Specs_Infra!$A$20:$B$25,COLUMN(Tech_Specs_Infra!$B$19)-COLUMN(Tech_Specs_Infra!$A$19)+1,FALSE),0))*'0_Total'!BQ$10/'0_Total'!$AO$10)</f>
        <v>0.68580712656992626</v>
      </c>
      <c r="BR69" s="567">
        <f>IFERROR(VLOOKUP(BR$5,Tech_Specs_Infra!$A$20:$B$25,COLUMN(Tech_Specs_Infra!$B$19)-COLUMN(Tech_Specs_Infra!$A$19)+1,FALSE),0)/SUM(IFERROR(VLOOKUP(BR$5,Tech_Specs_Infra!$A$20:$B$25,COLUMN(Tech_Specs_Infra!$B$19)-COLUMN(Tech_Specs_Infra!$A$19)+1,FALSE),0),(1-IFERROR(VLOOKUP(BR$5,Tech_Specs_Infra!$A$20:$B$25,COLUMN(Tech_Specs_Infra!$B$19)-COLUMN(Tech_Specs_Infra!$A$19)+1,FALSE),0))*'0_Total'!BR$10/'0_Total'!$AO$10)</f>
        <v>0.68580712656992626</v>
      </c>
      <c r="BS69" s="567">
        <f>IFERROR(VLOOKUP(BS$5,Tech_Specs_Infra!$A$20:$B$25,COLUMN(Tech_Specs_Infra!$B$19)-COLUMN(Tech_Specs_Infra!$A$19)+1,FALSE),0)/SUM(IFERROR(VLOOKUP(BS$5,Tech_Specs_Infra!$A$20:$B$25,COLUMN(Tech_Specs_Infra!$B$19)-COLUMN(Tech_Specs_Infra!$A$19)+1,FALSE),0),(1-IFERROR(VLOOKUP(BS$5,Tech_Specs_Infra!$A$20:$B$25,COLUMN(Tech_Specs_Infra!$B$19)-COLUMN(Tech_Specs_Infra!$A$19)+1,FALSE),0))*'0_Total'!BS$10/'0_Total'!$AO$10)</f>
        <v>0.68580712656992626</v>
      </c>
      <c r="BT69" s="567">
        <f>IFERROR(VLOOKUP(BT$5,Tech_Specs_Infra!$A$20:$B$25,COLUMN(Tech_Specs_Infra!$B$19)-COLUMN(Tech_Specs_Infra!$A$19)+1,FALSE),0)/SUM(IFERROR(VLOOKUP(BT$5,Tech_Specs_Infra!$A$20:$B$25,COLUMN(Tech_Specs_Infra!$B$19)-COLUMN(Tech_Specs_Infra!$A$19)+1,FALSE),0),(1-IFERROR(VLOOKUP(BT$5,Tech_Specs_Infra!$A$20:$B$25,COLUMN(Tech_Specs_Infra!$B$19)-COLUMN(Tech_Specs_Infra!$A$19)+1,FALSE),0))*'0_Total'!BT$10/'0_Total'!$AO$10)</f>
        <v>0.68580712656992626</v>
      </c>
      <c r="BU69" s="567">
        <f>IFERROR(VLOOKUP(BU$5,Tech_Specs_Infra!$A$20:$B$25,COLUMN(Tech_Specs_Infra!$B$19)-COLUMN(Tech_Specs_Infra!$A$19)+1,FALSE),0)/SUM(IFERROR(VLOOKUP(BU$5,Tech_Specs_Infra!$A$20:$B$25,COLUMN(Tech_Specs_Infra!$B$19)-COLUMN(Tech_Specs_Infra!$A$19)+1,FALSE),0),(1-IFERROR(VLOOKUP(BU$5,Tech_Specs_Infra!$A$20:$B$25,COLUMN(Tech_Specs_Infra!$B$19)-COLUMN(Tech_Specs_Infra!$A$19)+1,FALSE),0))*'0_Total'!BU$10/'0_Total'!$AO$10)</f>
        <v>0.68580712656992626</v>
      </c>
      <c r="BV69" s="567">
        <f>IFERROR(VLOOKUP(BV$5,Tech_Specs_Infra!$A$20:$B$25,COLUMN(Tech_Specs_Infra!$B$19)-COLUMN(Tech_Specs_Infra!$A$19)+1,FALSE),0)/SUM(IFERROR(VLOOKUP(BV$5,Tech_Specs_Infra!$A$20:$B$25,COLUMN(Tech_Specs_Infra!$B$19)-COLUMN(Tech_Specs_Infra!$A$19)+1,FALSE),0),(1-IFERROR(VLOOKUP(BV$5,Tech_Specs_Infra!$A$20:$B$25,COLUMN(Tech_Specs_Infra!$B$19)-COLUMN(Tech_Specs_Infra!$A$19)+1,FALSE),0))*'0_Total'!BV$10/'0_Total'!$AO$10)</f>
        <v>0.68580712656992626</v>
      </c>
      <c r="BW69" s="567">
        <f>IFERROR(VLOOKUP(BW$5,Tech_Specs_Infra!$A$20:$B$25,COLUMN(Tech_Specs_Infra!$B$19)-COLUMN(Tech_Specs_Infra!$A$19)+1,FALSE),0)/SUM(IFERROR(VLOOKUP(BW$5,Tech_Specs_Infra!$A$20:$B$25,COLUMN(Tech_Specs_Infra!$B$19)-COLUMN(Tech_Specs_Infra!$A$19)+1,FALSE),0),(1-IFERROR(VLOOKUP(BW$5,Tech_Specs_Infra!$A$20:$B$25,COLUMN(Tech_Specs_Infra!$B$19)-COLUMN(Tech_Specs_Infra!$A$19)+1,FALSE),0))*'0_Total'!BW$10/'0_Total'!$AO$10)</f>
        <v>0.68580712656992626</v>
      </c>
      <c r="BX69" s="567">
        <f>IFERROR(VLOOKUP(BX$5,Tech_Specs_Infra!$A$20:$B$25,COLUMN(Tech_Specs_Infra!$B$19)-COLUMN(Tech_Specs_Infra!$A$19)+1,FALSE),0)/SUM(IFERROR(VLOOKUP(BX$5,Tech_Specs_Infra!$A$20:$B$25,COLUMN(Tech_Specs_Infra!$B$19)-COLUMN(Tech_Specs_Infra!$A$19)+1,FALSE),0),(1-IFERROR(VLOOKUP(BX$5,Tech_Specs_Infra!$A$20:$B$25,COLUMN(Tech_Specs_Infra!$B$19)-COLUMN(Tech_Specs_Infra!$A$19)+1,FALSE),0))*'0_Total'!BX$10/'0_Total'!$AO$10)</f>
        <v>0.68580712656992626</v>
      </c>
      <c r="BY69" s="567">
        <f>IFERROR(VLOOKUP(BY$5,Tech_Specs_Infra!$A$20:$B$25,COLUMN(Tech_Specs_Infra!$B$19)-COLUMN(Tech_Specs_Infra!$A$19)+1,FALSE),0)/SUM(IFERROR(VLOOKUP(BY$5,Tech_Specs_Infra!$A$20:$B$25,COLUMN(Tech_Specs_Infra!$B$19)-COLUMN(Tech_Specs_Infra!$A$19)+1,FALSE),0),(1-IFERROR(VLOOKUP(BY$5,Tech_Specs_Infra!$A$20:$B$25,COLUMN(Tech_Specs_Infra!$B$19)-COLUMN(Tech_Specs_Infra!$A$19)+1,FALSE),0))*'0_Total'!BY$10/'0_Total'!$AO$10)</f>
        <v>0.68580712656992626</v>
      </c>
      <c r="BZ69" s="567">
        <f>IFERROR(VLOOKUP(BZ$5,Tech_Specs_Infra!$A$20:$B$25,COLUMN(Tech_Specs_Infra!$B$19)-COLUMN(Tech_Specs_Infra!$A$19)+1,FALSE),0)/SUM(IFERROR(VLOOKUP(BZ$5,Tech_Specs_Infra!$A$20:$B$25,COLUMN(Tech_Specs_Infra!$B$19)-COLUMN(Tech_Specs_Infra!$A$19)+1,FALSE),0),(1-IFERROR(VLOOKUP(BZ$5,Tech_Specs_Infra!$A$20:$B$25,COLUMN(Tech_Specs_Infra!$B$19)-COLUMN(Tech_Specs_Infra!$A$19)+1,FALSE),0))*'0_Total'!BZ$10/'0_Total'!$AO$10)</f>
        <v>0.68580712656992626</v>
      </c>
      <c r="CA69" s="567">
        <f>IFERROR(VLOOKUP(CA$5,Tech_Specs_Infra!$A$20:$B$25,COLUMN(Tech_Specs_Infra!$B$19)-COLUMN(Tech_Specs_Infra!$A$19)+1,FALSE),0)/SUM(IFERROR(VLOOKUP(CA$5,Tech_Specs_Infra!$A$20:$B$25,COLUMN(Tech_Specs_Infra!$B$19)-COLUMN(Tech_Specs_Infra!$A$19)+1,FALSE),0),(1-IFERROR(VLOOKUP(CA$5,Tech_Specs_Infra!$A$20:$B$25,COLUMN(Tech_Specs_Infra!$B$19)-COLUMN(Tech_Specs_Infra!$A$19)+1,FALSE),0))*'0_Total'!CA$10/'0_Total'!$AO$10)</f>
        <v>0.68580712656992626</v>
      </c>
      <c r="CB69" s="567">
        <f>IFERROR(VLOOKUP(CB$5,Tech_Specs_Infra!$A$20:$B$25,COLUMN(Tech_Specs_Infra!$B$19)-COLUMN(Tech_Specs_Infra!$A$19)+1,FALSE),0)/SUM(IFERROR(VLOOKUP(CB$5,Tech_Specs_Infra!$A$20:$B$25,COLUMN(Tech_Specs_Infra!$B$19)-COLUMN(Tech_Specs_Infra!$A$19)+1,FALSE),0),(1-IFERROR(VLOOKUP(CB$5,Tech_Specs_Infra!$A$20:$B$25,COLUMN(Tech_Specs_Infra!$B$19)-COLUMN(Tech_Specs_Infra!$A$19)+1,FALSE),0))*'0_Total'!CB$10/'0_Total'!$AO$10)</f>
        <v>0.68580712656992626</v>
      </c>
      <c r="CC69" s="567">
        <f>IFERROR(VLOOKUP(CC$5,Tech_Specs_Infra!$A$20:$B$25,COLUMN(Tech_Specs_Infra!$B$19)-COLUMN(Tech_Specs_Infra!$A$19)+1,FALSE),0)/SUM(IFERROR(VLOOKUP(CC$5,Tech_Specs_Infra!$A$20:$B$25,COLUMN(Tech_Specs_Infra!$B$19)-COLUMN(Tech_Specs_Infra!$A$19)+1,FALSE),0),(1-IFERROR(VLOOKUP(CC$5,Tech_Specs_Infra!$A$20:$B$25,COLUMN(Tech_Specs_Infra!$B$19)-COLUMN(Tech_Specs_Infra!$A$19)+1,FALSE),0))*'0_Total'!CC$10/'0_Total'!$AO$10)</f>
        <v>0.68580712656992626</v>
      </c>
      <c r="CD69" s="567">
        <f>IFERROR(VLOOKUP(CD$5,Tech_Specs_Infra!$A$20:$B$25,COLUMN(Tech_Specs_Infra!$B$19)-COLUMN(Tech_Specs_Infra!$A$19)+1,FALSE),0)/SUM(IFERROR(VLOOKUP(CD$5,Tech_Specs_Infra!$A$20:$B$25,COLUMN(Tech_Specs_Infra!$B$19)-COLUMN(Tech_Specs_Infra!$A$19)+1,FALSE),0),(1-IFERROR(VLOOKUP(CD$5,Tech_Specs_Infra!$A$20:$B$25,COLUMN(Tech_Specs_Infra!$B$19)-COLUMN(Tech_Specs_Infra!$A$19)+1,FALSE),0))*'0_Total'!CD$10/'0_Total'!$AO$10)</f>
        <v>0.64423722538745276</v>
      </c>
      <c r="CE69" s="567">
        <f>IFERROR(VLOOKUP(CE$5,Tech_Specs_Infra!$A$20:$B$25,COLUMN(Tech_Specs_Infra!$B$19)-COLUMN(Tech_Specs_Infra!$A$19)+1,FALSE),0)/SUM(IFERROR(VLOOKUP(CE$5,Tech_Specs_Infra!$A$20:$B$25,COLUMN(Tech_Specs_Infra!$B$19)-COLUMN(Tech_Specs_Infra!$A$19)+1,FALSE),0),(1-IFERROR(VLOOKUP(CE$5,Tech_Specs_Infra!$A$20:$B$25,COLUMN(Tech_Specs_Infra!$B$19)-COLUMN(Tech_Specs_Infra!$A$19)+1,FALSE),0))*'0_Total'!CE$10/'0_Total'!$AO$10)</f>
        <v>0.64423722538745276</v>
      </c>
      <c r="CF69" s="567">
        <f>IFERROR(VLOOKUP(CF$5,Tech_Specs_Infra!$A$20:$B$25,COLUMN(Tech_Specs_Infra!$B$19)-COLUMN(Tech_Specs_Infra!$A$19)+1,FALSE),0)/SUM(IFERROR(VLOOKUP(CF$5,Tech_Specs_Infra!$A$20:$B$25,COLUMN(Tech_Specs_Infra!$B$19)-COLUMN(Tech_Specs_Infra!$A$19)+1,FALSE),0),(1-IFERROR(VLOOKUP(CF$5,Tech_Specs_Infra!$A$20:$B$25,COLUMN(Tech_Specs_Infra!$B$19)-COLUMN(Tech_Specs_Infra!$A$19)+1,FALSE),0))*'0_Total'!CF$10/'0_Total'!$AO$10)</f>
        <v>0.64423722538745276</v>
      </c>
      <c r="CG69" s="567">
        <f>IFERROR(VLOOKUP(CG$5,Tech_Specs_Infra!$A$20:$B$25,COLUMN(Tech_Specs_Infra!$B$19)-COLUMN(Tech_Specs_Infra!$A$19)+1,FALSE),0)/SUM(IFERROR(VLOOKUP(CG$5,Tech_Specs_Infra!$A$20:$B$25,COLUMN(Tech_Specs_Infra!$B$19)-COLUMN(Tech_Specs_Infra!$A$19)+1,FALSE),0),(1-IFERROR(VLOOKUP(CG$5,Tech_Specs_Infra!$A$20:$B$25,COLUMN(Tech_Specs_Infra!$B$19)-COLUMN(Tech_Specs_Infra!$A$19)+1,FALSE),0))*'0_Total'!CG$10/'0_Total'!$AO$10)</f>
        <v>0.64423722538745276</v>
      </c>
      <c r="CH69" s="567">
        <f>IFERROR(VLOOKUP(CH$5,Tech_Specs_Infra!$A$20:$B$25,COLUMN(Tech_Specs_Infra!$B$19)-COLUMN(Tech_Specs_Infra!$A$19)+1,FALSE),0)/SUM(IFERROR(VLOOKUP(CH$5,Tech_Specs_Infra!$A$20:$B$25,COLUMN(Tech_Specs_Infra!$B$19)-COLUMN(Tech_Specs_Infra!$A$19)+1,FALSE),0),(1-IFERROR(VLOOKUP(CH$5,Tech_Specs_Infra!$A$20:$B$25,COLUMN(Tech_Specs_Infra!$B$19)-COLUMN(Tech_Specs_Infra!$A$19)+1,FALSE),0))*'0_Total'!CH$10/'0_Total'!$AO$10)</f>
        <v>0.67045454545454541</v>
      </c>
      <c r="CI69" s="567">
        <f>IFERROR(VLOOKUP(CI$5,Tech_Specs_Infra!$A$20:$B$25,COLUMN(Tech_Specs_Infra!$B$19)-COLUMN(Tech_Specs_Infra!$A$19)+1,FALSE),0)/SUM(IFERROR(VLOOKUP(CI$5,Tech_Specs_Infra!$A$20:$B$25,COLUMN(Tech_Specs_Infra!$B$19)-COLUMN(Tech_Specs_Infra!$A$19)+1,FALSE),0),(1-IFERROR(VLOOKUP(CI$5,Tech_Specs_Infra!$A$20:$B$25,COLUMN(Tech_Specs_Infra!$B$19)-COLUMN(Tech_Specs_Infra!$A$19)+1,FALSE),0))*'0_Total'!CI$10/'0_Total'!$AO$10)</f>
        <v>0.65777865557751181</v>
      </c>
      <c r="CJ69" s="567">
        <f>IFERROR(VLOOKUP(CJ$5,Tech_Specs_Infra!$A$20:$B$25,COLUMN(Tech_Specs_Infra!$B$19)-COLUMN(Tech_Specs_Infra!$A$19)+1,FALSE),0)/SUM(IFERROR(VLOOKUP(CJ$5,Tech_Specs_Infra!$A$20:$B$25,COLUMN(Tech_Specs_Infra!$B$19)-COLUMN(Tech_Specs_Infra!$A$19)+1,FALSE),0),(1-IFERROR(VLOOKUP(CJ$5,Tech_Specs_Infra!$A$20:$B$25,COLUMN(Tech_Specs_Infra!$B$19)-COLUMN(Tech_Specs_Infra!$A$19)+1,FALSE),0))*'0_Total'!CJ$10/'0_Total'!$AO$10)</f>
        <v>0.64658528885159172</v>
      </c>
      <c r="CK69" s="567">
        <f>IFERROR(VLOOKUP(CK$5,Tech_Specs_Infra!$A$20:$B$25,COLUMN(Tech_Specs_Infra!$B$19)-COLUMN(Tech_Specs_Infra!$A$19)+1,FALSE),0)/SUM(IFERROR(VLOOKUP(CK$5,Tech_Specs_Infra!$A$20:$B$25,COLUMN(Tech_Specs_Infra!$B$19)-COLUMN(Tech_Specs_Infra!$A$19)+1,FALSE),0),(1-IFERROR(VLOOKUP(CK$5,Tech_Specs_Infra!$A$20:$B$25,COLUMN(Tech_Specs_Infra!$B$19)-COLUMN(Tech_Specs_Infra!$A$19)+1,FALSE),0))*'0_Total'!CK$10/'0_Total'!$AO$10)</f>
        <v>0.68580712656992626</v>
      </c>
      <c r="CL69" s="567">
        <f>IFERROR(VLOOKUP(CL$5,Tech_Specs_Infra!$A$20:$B$25,COLUMN(Tech_Specs_Infra!$B$19)-COLUMN(Tech_Specs_Infra!$A$19)+1,FALSE),0)/SUM(IFERROR(VLOOKUP(CL$5,Tech_Specs_Infra!$A$20:$B$25,COLUMN(Tech_Specs_Infra!$B$19)-COLUMN(Tech_Specs_Infra!$A$19)+1,FALSE),0),(1-IFERROR(VLOOKUP(CL$5,Tech_Specs_Infra!$A$20:$B$25,COLUMN(Tech_Specs_Infra!$B$19)-COLUMN(Tech_Specs_Infra!$A$19)+1,FALSE),0))*'0_Total'!CL$10/'0_Total'!$AO$10)</f>
        <v>0.68580712656992626</v>
      </c>
      <c r="CM69" s="567">
        <f>IFERROR(VLOOKUP(CM$5,Tech_Specs_Infra!$A$20:$B$25,COLUMN(Tech_Specs_Infra!$B$19)-COLUMN(Tech_Specs_Infra!$A$19)+1,FALSE),0)/SUM(IFERROR(VLOOKUP(CM$5,Tech_Specs_Infra!$A$20:$B$25,COLUMN(Tech_Specs_Infra!$B$19)-COLUMN(Tech_Specs_Infra!$A$19)+1,FALSE),0),(1-IFERROR(VLOOKUP(CM$5,Tech_Specs_Infra!$A$20:$B$25,COLUMN(Tech_Specs_Infra!$B$19)-COLUMN(Tech_Specs_Infra!$A$19)+1,FALSE),0))*'0_Total'!CM$10/'0_Total'!$AO$10)</f>
        <v>0.64423722538745276</v>
      </c>
      <c r="CN69" s="567">
        <f>IFERROR(VLOOKUP(CN$5,Tech_Specs_Infra!$A$20:$B$25,COLUMN(Tech_Specs_Infra!$B$19)-COLUMN(Tech_Specs_Infra!$A$19)+1,FALSE),0)/SUM(IFERROR(VLOOKUP(CN$5,Tech_Specs_Infra!$A$20:$B$25,COLUMN(Tech_Specs_Infra!$B$19)-COLUMN(Tech_Specs_Infra!$A$19)+1,FALSE),0),(1-IFERROR(VLOOKUP(CN$5,Tech_Specs_Infra!$A$20:$B$25,COLUMN(Tech_Specs_Infra!$B$19)-COLUMN(Tech_Specs_Infra!$A$19)+1,FALSE),0))*'0_Total'!CN$10/'0_Total'!$AO$10)</f>
        <v>0.61558634360594511</v>
      </c>
      <c r="CO69" s="567">
        <f>IFERROR(VLOOKUP(CO$5,Tech_Specs_Infra!$A$20:$B$25,COLUMN(Tech_Specs_Infra!$B$19)-COLUMN(Tech_Specs_Infra!$A$19)+1,FALSE),0)/SUM(IFERROR(VLOOKUP(CO$5,Tech_Specs_Infra!$A$20:$B$25,COLUMN(Tech_Specs_Infra!$B$19)-COLUMN(Tech_Specs_Infra!$A$19)+1,FALSE),0),(1-IFERROR(VLOOKUP(CO$5,Tech_Specs_Infra!$A$20:$B$25,COLUMN(Tech_Specs_Infra!$B$19)-COLUMN(Tech_Specs_Infra!$A$19)+1,FALSE),0))*'0_Total'!CO$10/'0_Total'!$AO$10)</f>
        <v>0.60287222507280114</v>
      </c>
      <c r="CP69" s="567">
        <f>IFERROR(VLOOKUP(CP$5,Tech_Specs_Infra!$A$20:$B$25,COLUMN(Tech_Specs_Infra!$B$19)-COLUMN(Tech_Specs_Infra!$A$19)+1,FALSE),0)/SUM(IFERROR(VLOOKUP(CP$5,Tech_Specs_Infra!$A$20:$B$25,COLUMN(Tech_Specs_Infra!$B$19)-COLUMN(Tech_Specs_Infra!$A$19)+1,FALSE),0),(1-IFERROR(VLOOKUP(CP$5,Tech_Specs_Infra!$A$20:$B$25,COLUMN(Tech_Specs_Infra!$B$19)-COLUMN(Tech_Specs_Infra!$A$19)+1,FALSE),0))*'0_Total'!CP$10/'0_Total'!$AO$10)</f>
        <v>0.59172330744181367</v>
      </c>
      <c r="CQ69" s="567">
        <f>IFERROR(VLOOKUP(CQ$5,Tech_Specs_Infra!$A$20:$B$25,COLUMN(Tech_Specs_Infra!$B$19)-COLUMN(Tech_Specs_Infra!$A$19)+1,FALSE),0)/SUM(IFERROR(VLOOKUP(CQ$5,Tech_Specs_Infra!$A$20:$B$25,COLUMN(Tech_Specs_Infra!$B$19)-COLUMN(Tech_Specs_Infra!$A$19)+1,FALSE),0),(1-IFERROR(VLOOKUP(CQ$5,Tech_Specs_Infra!$A$20:$B$25,COLUMN(Tech_Specs_Infra!$B$19)-COLUMN(Tech_Specs_Infra!$A$19)+1,FALSE),0))*'0_Total'!CQ$10/'0_Total'!$AO$10)</f>
        <v>0.63102225746542473</v>
      </c>
      <c r="CR69" s="567">
        <f>IFERROR(VLOOKUP(CR$5,Tech_Specs_Infra!$A$20:$B$25,COLUMN(Tech_Specs_Infra!$B$19)-COLUMN(Tech_Specs_Infra!$A$19)+1,FALSE),0)/SUM(IFERROR(VLOOKUP(CR$5,Tech_Specs_Infra!$A$20:$B$25,COLUMN(Tech_Specs_Infra!$B$19)-COLUMN(Tech_Specs_Infra!$A$19)+1,FALSE),0),(1-IFERROR(VLOOKUP(CR$5,Tech_Specs_Infra!$A$20:$B$25,COLUMN(Tech_Specs_Infra!$B$19)-COLUMN(Tech_Specs_Infra!$A$19)+1,FALSE),0))*'0_Total'!CR$10/'0_Total'!$AO$10)</f>
        <v>0.58702989847574771</v>
      </c>
      <c r="CS69" s="567">
        <f>IFERROR(VLOOKUP(CS$5,Tech_Specs_Infra!$A$20:$B$25,COLUMN(Tech_Specs_Infra!$B$19)-COLUMN(Tech_Specs_Infra!$A$19)+1,FALSE),0)/SUM(IFERROR(VLOOKUP(CS$5,Tech_Specs_Infra!$A$20:$B$25,COLUMN(Tech_Specs_Infra!$B$19)-COLUMN(Tech_Specs_Infra!$A$19)+1,FALSE),0),(1-IFERROR(VLOOKUP(CS$5,Tech_Specs_Infra!$A$20:$B$25,COLUMN(Tech_Specs_Infra!$B$19)-COLUMN(Tech_Specs_Infra!$A$19)+1,FALSE),0))*'0_Total'!CS$10/'0_Total'!$AO$10)</f>
        <v>0.61558634360594511</v>
      </c>
      <c r="CT69" s="567">
        <f>IFERROR(VLOOKUP(CT$5,Tech_Specs_Infra!$A$20:$B$25,COLUMN(Tech_Specs_Infra!$B$19)-COLUMN(Tech_Specs_Infra!$A$19)+1,FALSE),0)/SUM(IFERROR(VLOOKUP(CT$5,Tech_Specs_Infra!$A$20:$B$25,COLUMN(Tech_Specs_Infra!$B$19)-COLUMN(Tech_Specs_Infra!$A$19)+1,FALSE),0),(1-IFERROR(VLOOKUP(CT$5,Tech_Specs_Infra!$A$20:$B$25,COLUMN(Tech_Specs_Infra!$B$19)-COLUMN(Tech_Specs_Infra!$A$19)+1,FALSE),0))*'0_Total'!CT$10/'0_Total'!$AO$10)</f>
        <v>0.60287222507280114</v>
      </c>
      <c r="CU69" s="567">
        <f>IFERROR(VLOOKUP(CU$5,Tech_Specs_Infra!$A$20:$B$25,COLUMN(Tech_Specs_Infra!$B$19)-COLUMN(Tech_Specs_Infra!$A$19)+1,FALSE),0)/SUM(IFERROR(VLOOKUP(CU$5,Tech_Specs_Infra!$A$20:$B$25,COLUMN(Tech_Specs_Infra!$B$19)-COLUMN(Tech_Specs_Infra!$A$19)+1,FALSE),0),(1-IFERROR(VLOOKUP(CU$5,Tech_Specs_Infra!$A$20:$B$25,COLUMN(Tech_Specs_Infra!$B$19)-COLUMN(Tech_Specs_Infra!$A$19)+1,FALSE),0))*'0_Total'!CU$10/'0_Total'!$AO$10)</f>
        <v>0.59172330744181367</v>
      </c>
      <c r="CV69" s="567">
        <f>IFERROR(VLOOKUP(CV$5,Tech_Specs_Infra!$A$20:$B$25,COLUMN(Tech_Specs_Infra!$B$19)-COLUMN(Tech_Specs_Infra!$A$19)+1,FALSE),0)/SUM(IFERROR(VLOOKUP(CV$5,Tech_Specs_Infra!$A$20:$B$25,COLUMN(Tech_Specs_Infra!$B$19)-COLUMN(Tech_Specs_Infra!$A$19)+1,FALSE),0),(1-IFERROR(VLOOKUP(CV$5,Tech_Specs_Infra!$A$20:$B$25,COLUMN(Tech_Specs_Infra!$B$19)-COLUMN(Tech_Specs_Infra!$A$19)+1,FALSE),0))*'0_Total'!CV$10/'0_Total'!$AO$10)</f>
        <v>0.63102225746542473</v>
      </c>
      <c r="CW69" s="567">
        <f>IFERROR(VLOOKUP(CW$5,Tech_Specs_Infra!$A$20:$B$25,COLUMN(Tech_Specs_Infra!$B$19)-COLUMN(Tech_Specs_Infra!$A$19)+1,FALSE),0)/SUM(IFERROR(VLOOKUP(CW$5,Tech_Specs_Infra!$A$20:$B$25,COLUMN(Tech_Specs_Infra!$B$19)-COLUMN(Tech_Specs_Infra!$A$19)+1,FALSE),0),(1-IFERROR(VLOOKUP(CW$5,Tech_Specs_Infra!$A$20:$B$25,COLUMN(Tech_Specs_Infra!$B$19)-COLUMN(Tech_Specs_Infra!$A$19)+1,FALSE),0))*'0_Total'!CW$10/'0_Total'!$AO$10)</f>
        <v>0.63102225746542473</v>
      </c>
      <c r="CX69" s="567">
        <f>IFERROR(VLOOKUP(CX$5,Tech_Specs_Infra!$A$20:$B$25,COLUMN(Tech_Specs_Infra!$B$19)-COLUMN(Tech_Specs_Infra!$A$19)+1,FALSE),0)/SUM(IFERROR(VLOOKUP(CX$5,Tech_Specs_Infra!$A$20:$B$25,COLUMN(Tech_Specs_Infra!$B$19)-COLUMN(Tech_Specs_Infra!$A$19)+1,FALSE),0),(1-IFERROR(VLOOKUP(CX$5,Tech_Specs_Infra!$A$20:$B$25,COLUMN(Tech_Specs_Infra!$B$19)-COLUMN(Tech_Specs_Infra!$A$19)+1,FALSE),0))*'0_Total'!CX$10/'0_Total'!$AO$10)</f>
        <v>0.58702989847574771</v>
      </c>
      <c r="CY69" s="567">
        <f>IFERROR(VLOOKUP(CY$5,Tech_Specs_Infra!$A$20:$B$25,COLUMN(Tech_Specs_Infra!$B$19)-COLUMN(Tech_Specs_Infra!$A$19)+1,FALSE),0)/SUM(IFERROR(VLOOKUP(CY$5,Tech_Specs_Infra!$A$20:$B$25,COLUMN(Tech_Specs_Infra!$B$19)-COLUMN(Tech_Specs_Infra!$A$19)+1,FALSE),0),(1-IFERROR(VLOOKUP(CY$5,Tech_Specs_Infra!$A$20:$B$25,COLUMN(Tech_Specs_Infra!$B$19)-COLUMN(Tech_Specs_Infra!$A$19)+1,FALSE),0))*'0_Total'!CY$10/'0_Total'!$AO$10)</f>
        <v>0.61558634360594511</v>
      </c>
      <c r="CZ69" s="567">
        <f>IFERROR(VLOOKUP(CZ$5,Tech_Specs_Infra!$A$20:$B$25,COLUMN(Tech_Specs_Infra!$B$19)-COLUMN(Tech_Specs_Infra!$A$19)+1,FALSE),0)/SUM(IFERROR(VLOOKUP(CZ$5,Tech_Specs_Infra!$A$20:$B$25,COLUMN(Tech_Specs_Infra!$B$19)-COLUMN(Tech_Specs_Infra!$A$19)+1,FALSE),0),(1-IFERROR(VLOOKUP(CZ$5,Tech_Specs_Infra!$A$20:$B$25,COLUMN(Tech_Specs_Infra!$B$19)-COLUMN(Tech_Specs_Infra!$A$19)+1,FALSE),0))*'0_Total'!CZ$10/'0_Total'!$AO$10)</f>
        <v>0.60287222507280114</v>
      </c>
      <c r="DA69" s="567">
        <f>IFERROR(VLOOKUP(DA$5,Tech_Specs_Infra!$A$20:$B$25,COLUMN(Tech_Specs_Infra!$B$19)-COLUMN(Tech_Specs_Infra!$A$19)+1,FALSE),0)/SUM(IFERROR(VLOOKUP(DA$5,Tech_Specs_Infra!$A$20:$B$25,COLUMN(Tech_Specs_Infra!$B$19)-COLUMN(Tech_Specs_Infra!$A$19)+1,FALSE),0),(1-IFERROR(VLOOKUP(DA$5,Tech_Specs_Infra!$A$20:$B$25,COLUMN(Tech_Specs_Infra!$B$19)-COLUMN(Tech_Specs_Infra!$A$19)+1,FALSE),0))*'0_Total'!DA$10/'0_Total'!$AO$10)</f>
        <v>0.59172330744181367</v>
      </c>
      <c r="DB69" s="567">
        <f>IFERROR(VLOOKUP(DB$5,Tech_Specs_Infra!$A$20:$B$25,COLUMN(Tech_Specs_Infra!$B$19)-COLUMN(Tech_Specs_Infra!$A$19)+1,FALSE),0)/SUM(IFERROR(VLOOKUP(DB$5,Tech_Specs_Infra!$A$20:$B$25,COLUMN(Tech_Specs_Infra!$B$19)-COLUMN(Tech_Specs_Infra!$A$19)+1,FALSE),0),(1-IFERROR(VLOOKUP(DB$5,Tech_Specs_Infra!$A$20:$B$25,COLUMN(Tech_Specs_Infra!$B$19)-COLUMN(Tech_Specs_Infra!$A$19)+1,FALSE),0))*'0_Total'!DB$10/'0_Total'!$AO$10)</f>
        <v>0.63102225746542473</v>
      </c>
      <c r="DC69" s="567">
        <f>IFERROR(VLOOKUP(DC$5,Tech_Specs_Infra!$A$20:$B$25,COLUMN(Tech_Specs_Infra!$B$19)-COLUMN(Tech_Specs_Infra!$A$19)+1,FALSE),0)/SUM(IFERROR(VLOOKUP(DC$5,Tech_Specs_Infra!$A$20:$B$25,COLUMN(Tech_Specs_Infra!$B$19)-COLUMN(Tech_Specs_Infra!$A$19)+1,FALSE),0),(1-IFERROR(VLOOKUP(DC$5,Tech_Specs_Infra!$A$20:$B$25,COLUMN(Tech_Specs_Infra!$B$19)-COLUMN(Tech_Specs_Infra!$A$19)+1,FALSE),0))*'0_Total'!DC$10/'0_Total'!$AO$10)</f>
        <v>0.63102225746542473</v>
      </c>
      <c r="DD69" s="567">
        <f>IFERROR(VLOOKUP(DD$5,Tech_Specs_Infra!$A$20:$B$25,COLUMN(Tech_Specs_Infra!$B$19)-COLUMN(Tech_Specs_Infra!$A$19)+1,FALSE),0)/SUM(IFERROR(VLOOKUP(DD$5,Tech_Specs_Infra!$A$20:$B$25,COLUMN(Tech_Specs_Infra!$B$19)-COLUMN(Tech_Specs_Infra!$A$19)+1,FALSE),0),(1-IFERROR(VLOOKUP(DD$5,Tech_Specs_Infra!$A$20:$B$25,COLUMN(Tech_Specs_Infra!$B$19)-COLUMN(Tech_Specs_Infra!$A$19)+1,FALSE),0))*'0_Total'!DD$10/'0_Total'!$AO$10)</f>
        <v>0.58702989847574771</v>
      </c>
      <c r="DE69" s="567">
        <f>IFERROR(VLOOKUP(DE$5,Tech_Specs_Infra!$A$20:$B$25,COLUMN(Tech_Specs_Infra!$B$19)-COLUMN(Tech_Specs_Infra!$A$19)+1,FALSE),0)/SUM(IFERROR(VLOOKUP(DE$5,Tech_Specs_Infra!$A$20:$B$25,COLUMN(Tech_Specs_Infra!$B$19)-COLUMN(Tech_Specs_Infra!$A$19)+1,FALSE),0),(1-IFERROR(VLOOKUP(DE$5,Tech_Specs_Infra!$A$20:$B$25,COLUMN(Tech_Specs_Infra!$B$19)-COLUMN(Tech_Specs_Infra!$A$19)+1,FALSE),0))*'0_Total'!DE$10/'0_Total'!$AO$10)</f>
        <v>0.46098994565625689</v>
      </c>
      <c r="DF69" s="567">
        <f>IFERROR(VLOOKUP(DF$5,Tech_Specs_Infra!$A$20:$B$25,COLUMN(Tech_Specs_Infra!$B$19)-COLUMN(Tech_Specs_Infra!$A$19)+1,FALSE),0)/SUM(IFERROR(VLOOKUP(DF$5,Tech_Specs_Infra!$A$20:$B$25,COLUMN(Tech_Specs_Infra!$B$19)-COLUMN(Tech_Specs_Infra!$A$19)+1,FALSE),0),(1-IFERROR(VLOOKUP(DF$5,Tech_Specs_Infra!$A$20:$B$25,COLUMN(Tech_Specs_Infra!$B$19)-COLUMN(Tech_Specs_Infra!$A$19)+1,FALSE),0))*'0_Total'!DF$10/'0_Total'!$AO$10)</f>
        <v>0.45744369221572456</v>
      </c>
      <c r="DG69" s="266"/>
      <c r="DH69" s="567">
        <f>IFERROR(VLOOKUP(DH$5,Tech_Specs_Infra!$A$20:$B$25,COLUMN(Tech_Specs_Infra!$B$19)-COLUMN(Tech_Specs_Infra!$A$19)+1,FALSE),0)/SUM(IFERROR(VLOOKUP(DH$5,Tech_Specs_Infra!$A$20:$B$25,COLUMN(Tech_Specs_Infra!$B$19)-COLUMN(Tech_Specs_Infra!$A$19)+1,FALSE),0),(1-IFERROR(VLOOKUP(DH$5,Tech_Specs_Infra!$A$20:$B$25,COLUMN(Tech_Specs_Infra!$B$19)-COLUMN(Tech_Specs_Infra!$A$19)+1,FALSE),0))*'0_Total'!DH$10/'0_Total'!$AO$10)</f>
        <v>0.45152708813648068</v>
      </c>
      <c r="DI69" s="567">
        <f>IFERROR(VLOOKUP(DI$5,Tech_Specs_Infra!$A$20:$B$25,COLUMN(Tech_Specs_Infra!$B$19)-COLUMN(Tech_Specs_Infra!$A$19)+1,FALSE),0)/SUM(IFERROR(VLOOKUP(DI$5,Tech_Specs_Infra!$A$20:$B$25,COLUMN(Tech_Specs_Infra!$B$19)-COLUMN(Tech_Specs_Infra!$A$19)+1,FALSE),0),(1-IFERROR(VLOOKUP(DI$5,Tech_Specs_Infra!$A$20:$B$25,COLUMN(Tech_Specs_Infra!$B$19)-COLUMN(Tech_Specs_Infra!$A$19)+1,FALSE),0))*'0_Total'!DI$10/'0_Total'!$AO$10)</f>
        <v>0.45152708813648068</v>
      </c>
      <c r="DJ69" s="567">
        <f>IFERROR(VLOOKUP(DJ$5,Tech_Specs_Infra!$A$20:$B$25,COLUMN(Tech_Specs_Infra!$B$19)-COLUMN(Tech_Specs_Infra!$A$19)+1,FALSE),0)/SUM(IFERROR(VLOOKUP(DJ$5,Tech_Specs_Infra!$A$20:$B$25,COLUMN(Tech_Specs_Infra!$B$19)-COLUMN(Tech_Specs_Infra!$A$19)+1,FALSE),0),(1-IFERROR(VLOOKUP(DJ$5,Tech_Specs_Infra!$A$20:$B$25,COLUMN(Tech_Specs_Infra!$B$19)-COLUMN(Tech_Specs_Infra!$A$19)+1,FALSE),0))*'0_Total'!DJ$10/'0_Total'!$AO$10)</f>
        <v>0.42682648401752754</v>
      </c>
      <c r="DK69" s="567">
        <f>IFERROR(VLOOKUP(DK$5,Tech_Specs_Infra!$A$20:$B$25,COLUMN(Tech_Specs_Infra!$B$19)-COLUMN(Tech_Specs_Infra!$A$19)+1,FALSE),0)/SUM(IFERROR(VLOOKUP(DK$5,Tech_Specs_Infra!$A$20:$B$25,COLUMN(Tech_Specs_Infra!$B$19)-COLUMN(Tech_Specs_Infra!$A$19)+1,FALSE),0),(1-IFERROR(VLOOKUP(DK$5,Tech_Specs_Infra!$A$20:$B$25,COLUMN(Tech_Specs_Infra!$B$19)-COLUMN(Tech_Specs_Infra!$A$19)+1,FALSE),0))*'0_Total'!DK$10/'0_Total'!$AO$10)</f>
        <v>0.22620817813797597</v>
      </c>
      <c r="DL69" s="567">
        <f>IFERROR(VLOOKUP(DL$5,Tech_Specs_Infra!$A$20:$B$25,COLUMN(Tech_Specs_Infra!$B$19)-COLUMN(Tech_Specs_Infra!$A$19)+1,FALSE),0)/SUM(IFERROR(VLOOKUP(DL$5,Tech_Specs_Infra!$A$20:$B$25,COLUMN(Tech_Specs_Infra!$B$19)-COLUMN(Tech_Specs_Infra!$A$19)+1,FALSE),0),(1-IFERROR(VLOOKUP(DL$5,Tech_Specs_Infra!$A$20:$B$25,COLUMN(Tech_Specs_Infra!$B$19)-COLUMN(Tech_Specs_Infra!$A$19)+1,FALSE),0))*'0_Total'!DL$10/'0_Total'!$AO$10)</f>
        <v>0.22620817813797597</v>
      </c>
      <c r="DM69" s="567">
        <f>IFERROR(VLOOKUP(DM$5,Tech_Specs_Infra!$A$20:$B$25,COLUMN(Tech_Specs_Infra!$B$19)-COLUMN(Tech_Specs_Infra!$A$19)+1,FALSE),0)/SUM(IFERROR(VLOOKUP(DM$5,Tech_Specs_Infra!$A$20:$B$25,COLUMN(Tech_Specs_Infra!$B$19)-COLUMN(Tech_Specs_Infra!$A$19)+1,FALSE),0),(1-IFERROR(VLOOKUP(DM$5,Tech_Specs_Infra!$A$20:$B$25,COLUMN(Tech_Specs_Infra!$B$19)-COLUMN(Tech_Specs_Infra!$A$19)+1,FALSE),0))*'0_Total'!DM$10/'0_Total'!$AO$10)</f>
        <v>0.22620817813797597</v>
      </c>
      <c r="DN69" s="567">
        <f>IFERROR(VLOOKUP(DN$5,Tech_Specs_Infra!$A$20:$B$25,COLUMN(Tech_Specs_Infra!$B$19)-COLUMN(Tech_Specs_Infra!$A$19)+1,FALSE),0)/SUM(IFERROR(VLOOKUP(DN$5,Tech_Specs_Infra!$A$20:$B$25,COLUMN(Tech_Specs_Infra!$B$19)-COLUMN(Tech_Specs_Infra!$A$19)+1,FALSE),0),(1-IFERROR(VLOOKUP(DN$5,Tech_Specs_Infra!$A$20:$B$25,COLUMN(Tech_Specs_Infra!$B$19)-COLUMN(Tech_Specs_Infra!$A$19)+1,FALSE),0))*'0_Total'!DN$10/'0_Total'!$AO$10)</f>
        <v>0.22620817813797597</v>
      </c>
      <c r="DO69" s="567">
        <f>IFERROR(VLOOKUP(DO$5,Tech_Specs_Infra!$A$20:$B$25,COLUMN(Tech_Specs_Infra!$B$19)-COLUMN(Tech_Specs_Infra!$A$19)+1,FALSE),0)/SUM(IFERROR(VLOOKUP(DO$5,Tech_Specs_Infra!$A$20:$B$25,COLUMN(Tech_Specs_Infra!$B$19)-COLUMN(Tech_Specs_Infra!$A$19)+1,FALSE),0),(1-IFERROR(VLOOKUP(DO$5,Tech_Specs_Infra!$A$20:$B$25,COLUMN(Tech_Specs_Infra!$B$19)-COLUMN(Tech_Specs_Infra!$A$19)+1,FALSE),0))*'0_Total'!DO$10/'0_Total'!$AO$10)</f>
        <v>0.22620817813797597</v>
      </c>
      <c r="DP69" s="567">
        <f>IFERROR(VLOOKUP(DP$5,Tech_Specs_Infra!$A$20:$B$25,COLUMN(Tech_Specs_Infra!$B$19)-COLUMN(Tech_Specs_Infra!$A$19)+1,FALSE),0)/SUM(IFERROR(VLOOKUP(DP$5,Tech_Specs_Infra!$A$20:$B$25,COLUMN(Tech_Specs_Infra!$B$19)-COLUMN(Tech_Specs_Infra!$A$19)+1,FALSE),0),(1-IFERROR(VLOOKUP(DP$5,Tech_Specs_Infra!$A$20:$B$25,COLUMN(Tech_Specs_Infra!$B$19)-COLUMN(Tech_Specs_Infra!$A$19)+1,FALSE),0))*'0_Total'!DP$10/'0_Total'!$AO$10)</f>
        <v>0.22620817813797597</v>
      </c>
      <c r="DQ69" s="567">
        <f>IFERROR(VLOOKUP(DQ$5,Tech_Specs_Infra!$A$20:$B$25,COLUMN(Tech_Specs_Infra!$B$19)-COLUMN(Tech_Specs_Infra!$A$19)+1,FALSE),0)/SUM(IFERROR(VLOOKUP(DQ$5,Tech_Specs_Infra!$A$20:$B$25,COLUMN(Tech_Specs_Infra!$B$19)-COLUMN(Tech_Specs_Infra!$A$19)+1,FALSE),0),(1-IFERROR(VLOOKUP(DQ$5,Tech_Specs_Infra!$A$20:$B$25,COLUMN(Tech_Specs_Infra!$B$19)-COLUMN(Tech_Specs_Infra!$A$19)+1,FALSE),0))*'0_Total'!DQ$10/'0_Total'!$AO$10)</f>
        <v>0.22620817813797597</v>
      </c>
      <c r="DR69" s="567">
        <f>IFERROR(VLOOKUP(DR$5,Tech_Specs_Infra!$A$20:$B$25,COLUMN(Tech_Specs_Infra!$B$19)-COLUMN(Tech_Specs_Infra!$A$19)+1,FALSE),0)/SUM(IFERROR(VLOOKUP(DR$5,Tech_Specs_Infra!$A$20:$B$25,COLUMN(Tech_Specs_Infra!$B$19)-COLUMN(Tech_Specs_Infra!$A$19)+1,FALSE),0),(1-IFERROR(VLOOKUP(DR$5,Tech_Specs_Infra!$A$20:$B$25,COLUMN(Tech_Specs_Infra!$B$19)-COLUMN(Tech_Specs_Infra!$A$19)+1,FALSE),0))*'0_Total'!DR$10/'0_Total'!$AO$10)</f>
        <v>0.22907206418338885</v>
      </c>
      <c r="DS69" s="567">
        <f>IFERROR(VLOOKUP(DS$5,Tech_Specs_Infra!$A$20:$B$25,COLUMN(Tech_Specs_Infra!$B$19)-COLUMN(Tech_Specs_Infra!$A$19)+1,FALSE),0)/SUM(IFERROR(VLOOKUP(DS$5,Tech_Specs_Infra!$A$20:$B$25,COLUMN(Tech_Specs_Infra!$B$19)-COLUMN(Tech_Specs_Infra!$A$19)+1,FALSE),0),(1-IFERROR(VLOOKUP(DS$5,Tech_Specs_Infra!$A$20:$B$25,COLUMN(Tech_Specs_Infra!$B$19)-COLUMN(Tech_Specs_Infra!$A$19)+1,FALSE),0))*'0_Total'!DS$10/'0_Total'!$AO$10)</f>
        <v>0.2075429109021151</v>
      </c>
      <c r="DT69" s="567">
        <f>IFERROR(VLOOKUP(DT$5,Tech_Specs_Infra!$A$20:$B$25,COLUMN(Tech_Specs_Infra!$B$19)-COLUMN(Tech_Specs_Infra!$A$19)+1,FALSE),0)/SUM(IFERROR(VLOOKUP(DT$5,Tech_Specs_Infra!$A$20:$B$25,COLUMN(Tech_Specs_Infra!$B$19)-COLUMN(Tech_Specs_Infra!$A$19)+1,FALSE),0),(1-IFERROR(VLOOKUP(DT$5,Tech_Specs_Infra!$A$20:$B$25,COLUMN(Tech_Specs_Infra!$B$19)-COLUMN(Tech_Specs_Infra!$A$19)+1,FALSE),0))*'0_Total'!DT$10/'0_Total'!$AO$10)</f>
        <v>0.2075429109021151</v>
      </c>
      <c r="DU69" s="567">
        <f>IFERROR(VLOOKUP(DU$5,Tech_Specs_Infra!$A$20:$B$25,COLUMN(Tech_Specs_Infra!$B$19)-COLUMN(Tech_Specs_Infra!$A$19)+1,FALSE),0)/SUM(IFERROR(VLOOKUP(DU$5,Tech_Specs_Infra!$A$20:$B$25,COLUMN(Tech_Specs_Infra!$B$19)-COLUMN(Tech_Specs_Infra!$A$19)+1,FALSE),0),(1-IFERROR(VLOOKUP(DU$5,Tech_Specs_Infra!$A$20:$B$25,COLUMN(Tech_Specs_Infra!$B$19)-COLUMN(Tech_Specs_Infra!$A$19)+1,FALSE),0))*'0_Total'!DU$10/'0_Total'!$AO$10)</f>
        <v>0.2075429109021151</v>
      </c>
      <c r="DV69" s="567">
        <f>IFERROR(VLOOKUP(DV$5,Tech_Specs_Infra!$A$20:$B$25,COLUMN(Tech_Specs_Infra!$B$19)-COLUMN(Tech_Specs_Infra!$A$19)+1,FALSE),0)/SUM(IFERROR(VLOOKUP(DV$5,Tech_Specs_Infra!$A$20:$B$25,COLUMN(Tech_Specs_Infra!$B$19)-COLUMN(Tech_Specs_Infra!$A$19)+1,FALSE),0),(1-IFERROR(VLOOKUP(DV$5,Tech_Specs_Infra!$A$20:$B$25,COLUMN(Tech_Specs_Infra!$B$19)-COLUMN(Tech_Specs_Infra!$A$19)+1,FALSE),0))*'0_Total'!DV$10/'0_Total'!$AO$10)</f>
        <v>0.20058905641100355</v>
      </c>
      <c r="DW69" s="567">
        <f>IFERROR(VLOOKUP(DW$5,Tech_Specs_Infra!$A$20:$B$25,COLUMN(Tech_Specs_Infra!$B$19)-COLUMN(Tech_Specs_Infra!$A$19)+1,FALSE),0)/SUM(IFERROR(VLOOKUP(DW$5,Tech_Specs_Infra!$A$20:$B$25,COLUMN(Tech_Specs_Infra!$B$19)-COLUMN(Tech_Specs_Infra!$A$19)+1,FALSE),0),(1-IFERROR(VLOOKUP(DW$5,Tech_Specs_Infra!$A$20:$B$25,COLUMN(Tech_Specs_Infra!$B$19)-COLUMN(Tech_Specs_Infra!$A$19)+1,FALSE),0))*'0_Total'!DW$10/'0_Total'!$AO$10)</f>
        <v>0.20058905641100355</v>
      </c>
      <c r="DX69" s="266">
        <f>IFERROR(VLOOKUP(DX$5,Tech_Specs_Infra!$A$20:$B$25,COLUMN(Tech_Specs_Infra!$B$19)-COLUMN(Tech_Specs_Infra!$A$19)+1,FALSE),0)</f>
        <v>0.57999999999999996</v>
      </c>
      <c r="DY69" s="266">
        <f>IFERROR(VLOOKUP(DY$5,Tech_Specs_Infra!$A$20:$B$25,COLUMN(Tech_Specs_Infra!$B$19)-COLUMN(Tech_Specs_Infra!$A$19)+1,FALSE),0)</f>
        <v>0.57999999999999996</v>
      </c>
      <c r="DZ69" s="266">
        <f>IFERROR(VLOOKUP(DZ$5,Tech_Specs_Infra!$A$20:$B$25,COLUMN(Tech_Specs_Infra!$B$19)-COLUMN(Tech_Specs_Infra!$A$19)+1,FALSE),0)</f>
        <v>0.57999999999999996</v>
      </c>
      <c r="EA69" s="266">
        <f>IFERROR(VLOOKUP(EA$5,Tech_Specs_Infra!$A$20:$B$25,COLUMN(Tech_Specs_Infra!$B$19)-COLUMN(Tech_Specs_Infra!$A$19)+1,FALSE),0)</f>
        <v>0.57999999999999996</v>
      </c>
      <c r="EB69" s="266">
        <f>IFERROR(VLOOKUP(EB$5,Tech_Specs_Infra!$A$20:$B$25,COLUMN(Tech_Specs_Infra!$B$19)-COLUMN(Tech_Specs_Infra!$A$19)+1,FALSE),0)</f>
        <v>0.57999999999999996</v>
      </c>
      <c r="EC69" s="266">
        <f>IFERROR(VLOOKUP(EC$5,Tech_Specs_Infra!$A$20:$B$25,COLUMN(Tech_Specs_Infra!$B$19)-COLUMN(Tech_Specs_Infra!$A$19)+1,FALSE),0)</f>
        <v>0.57999999999999996</v>
      </c>
      <c r="ED69" s="266">
        <f>IFERROR(VLOOKUP(ED$5,Tech_Specs_Infra!$A$20:$B$25,COLUMN(Tech_Specs_Infra!$B$19)-COLUMN(Tech_Specs_Infra!$A$19)+1,FALSE),0)</f>
        <v>0.57999999999999996</v>
      </c>
      <c r="EG69" s="21" t="s">
        <v>82</v>
      </c>
    </row>
    <row r="70" spans="1:137" x14ac:dyDescent="0.3">
      <c r="A70" s="21" t="s">
        <v>807</v>
      </c>
      <c r="D70" s="567">
        <f>IFERROR(VLOOKUP(D$6,Tech_Specs_Infra!$A$20:$B$25,COLUMN(Tech_Specs_Infra!$B$19)-COLUMN(Tech_Specs_Infra!$A$19)+1,FALSE),0)/SUM(IFERROR(VLOOKUP(D$6,Tech_Specs_Infra!$A$20:$B$25,COLUMN(Tech_Specs_Infra!$B$19)-COLUMN(Tech_Specs_Infra!$A$19)+1,FALSE),0),(1-IFERROR(VLOOKUP(D$6,Tech_Specs_Infra!$A$20:$B$25,COLUMN(Tech_Specs_Infra!$B$19)-COLUMN(Tech_Specs_Infra!$A$19)+1,FALSE),0))*'0_Total'!D$10/'0_Total'!$AO$10)</f>
        <v>0.99643300837760918</v>
      </c>
      <c r="E70" s="567">
        <f>IFERROR(VLOOKUP(E$6,Tech_Specs_Infra!$A$20:$B$25,COLUMN(Tech_Specs_Infra!$B$19)-COLUMN(Tech_Specs_Infra!$A$19)+1,FALSE),0)/SUM(IFERROR(VLOOKUP(E$6,Tech_Specs_Infra!$A$20:$B$25,COLUMN(Tech_Specs_Infra!$B$19)-COLUMN(Tech_Specs_Infra!$A$19)+1,FALSE),0),(1-IFERROR(VLOOKUP(E$6,Tech_Specs_Infra!$A$20:$B$25,COLUMN(Tech_Specs_Infra!$B$19)-COLUMN(Tech_Specs_Infra!$A$19)+1,FALSE),0))*'0_Total'!E$10/'0_Total'!$AO$10)</f>
        <v>0.99554523300115261</v>
      </c>
      <c r="F70" s="567">
        <f>IFERROR(VLOOKUP(F$6,Tech_Specs_Infra!$A$20:$B$25,COLUMN(Tech_Specs_Infra!$B$19)-COLUMN(Tech_Specs_Infra!$A$19)+1,FALSE),0)/SUM(IFERROR(VLOOKUP(F$6,Tech_Specs_Infra!$A$20:$B$25,COLUMN(Tech_Specs_Infra!$B$19)-COLUMN(Tech_Specs_Infra!$A$19)+1,FALSE),0),(1-IFERROR(VLOOKUP(F$6,Tech_Specs_Infra!$A$20:$B$25,COLUMN(Tech_Specs_Infra!$B$19)-COLUMN(Tech_Specs_Infra!$A$19)+1,FALSE),0))*'0_Total'!F$10/'0_Total'!$AO$10)</f>
        <v>0.99643300837760918</v>
      </c>
      <c r="G70" s="567">
        <f>IFERROR(VLOOKUP(G$6,Tech_Specs_Infra!$A$20:$B$25,COLUMN(Tech_Specs_Infra!$B$19)-COLUMN(Tech_Specs_Infra!$A$19)+1,FALSE),0)/SUM(IFERROR(VLOOKUP(G$6,Tech_Specs_Infra!$A$20:$B$25,COLUMN(Tech_Specs_Infra!$B$19)-COLUMN(Tech_Specs_Infra!$A$19)+1,FALSE),0),(1-IFERROR(VLOOKUP(G$6,Tech_Specs_Infra!$A$20:$B$25,COLUMN(Tech_Specs_Infra!$B$19)-COLUMN(Tech_Specs_Infra!$A$19)+1,FALSE),0))*'0_Total'!G$10/'0_Total'!$AO$10)</f>
        <v>0.99643300837760918</v>
      </c>
      <c r="H70" s="567">
        <f>IFERROR(VLOOKUP(H$6,Tech_Specs_Infra!$A$20:$B$25,COLUMN(Tech_Specs_Infra!$B$19)-COLUMN(Tech_Specs_Infra!$A$19)+1,FALSE),0)/SUM(IFERROR(VLOOKUP(H$6,Tech_Specs_Infra!$A$20:$B$25,COLUMN(Tech_Specs_Infra!$B$19)-COLUMN(Tech_Specs_Infra!$A$19)+1,FALSE),0),(1-IFERROR(VLOOKUP(H$6,Tech_Specs_Infra!$A$20:$B$25,COLUMN(Tech_Specs_Infra!$B$19)-COLUMN(Tech_Specs_Infra!$A$19)+1,FALSE),0))*'0_Total'!H$10/'0_Total'!$AO$10)</f>
        <v>0.99643300837760918</v>
      </c>
      <c r="I70" s="567">
        <f>IFERROR(VLOOKUP(I$6,Tech_Specs_Infra!$A$20:$B$25,COLUMN(Tech_Specs_Infra!$B$19)-COLUMN(Tech_Specs_Infra!$A$19)+1,FALSE),0)/SUM(IFERROR(VLOOKUP(I$6,Tech_Specs_Infra!$A$20:$B$25,COLUMN(Tech_Specs_Infra!$B$19)-COLUMN(Tech_Specs_Infra!$A$19)+1,FALSE),0),(1-IFERROR(VLOOKUP(I$6,Tech_Specs_Infra!$A$20:$B$25,COLUMN(Tech_Specs_Infra!$B$19)-COLUMN(Tech_Specs_Infra!$A$19)+1,FALSE),0))*'0_Total'!I$10/'0_Total'!$AO$10)</f>
        <v>0.99643300837760918</v>
      </c>
      <c r="J70" s="567">
        <f>IFERROR(VLOOKUP(J$6,Tech_Specs_Infra!$A$20:$B$25,COLUMN(Tech_Specs_Infra!$B$19)-COLUMN(Tech_Specs_Infra!$A$19)+1,FALSE),0)/SUM(IFERROR(VLOOKUP(J$6,Tech_Specs_Infra!$A$20:$B$25,COLUMN(Tech_Specs_Infra!$B$19)-COLUMN(Tech_Specs_Infra!$A$19)+1,FALSE),0),(1-IFERROR(VLOOKUP(J$6,Tech_Specs_Infra!$A$20:$B$25,COLUMN(Tech_Specs_Infra!$B$19)-COLUMN(Tech_Specs_Infra!$A$19)+1,FALSE),0))*'0_Total'!J$10/'0_Total'!$AO$10)</f>
        <v>0.99643300837760918</v>
      </c>
      <c r="K70" s="567">
        <f>IFERROR(VLOOKUP(K$6,Tech_Specs_Infra!$A$20:$B$25,COLUMN(Tech_Specs_Infra!$B$19)-COLUMN(Tech_Specs_Infra!$A$19)+1,FALSE),0)/SUM(IFERROR(VLOOKUP(K$6,Tech_Specs_Infra!$A$20:$B$25,COLUMN(Tech_Specs_Infra!$B$19)-COLUMN(Tech_Specs_Infra!$A$19)+1,FALSE),0),(1-IFERROR(VLOOKUP(K$6,Tech_Specs_Infra!$A$20:$B$25,COLUMN(Tech_Specs_Infra!$B$19)-COLUMN(Tech_Specs_Infra!$A$19)+1,FALSE),0))*'0_Total'!K$10/'0_Total'!$AO$10)</f>
        <v>0.99643300837760918</v>
      </c>
      <c r="L70" s="567">
        <f>IFERROR(VLOOKUP(L$6,Tech_Specs_Infra!$A$20:$B$25,COLUMN(Tech_Specs_Infra!$B$19)-COLUMN(Tech_Specs_Infra!$A$19)+1,FALSE),0)/SUM(IFERROR(VLOOKUP(L$6,Tech_Specs_Infra!$A$20:$B$25,COLUMN(Tech_Specs_Infra!$B$19)-COLUMN(Tech_Specs_Infra!$A$19)+1,FALSE),0),(1-IFERROR(VLOOKUP(L$6,Tech_Specs_Infra!$A$20:$B$25,COLUMN(Tech_Specs_Infra!$B$19)-COLUMN(Tech_Specs_Infra!$A$19)+1,FALSE),0))*'0_Total'!L$10/'0_Total'!$AO$10)</f>
        <v>0.99643300837760918</v>
      </c>
      <c r="M70" s="567">
        <f>IFERROR(VLOOKUP(M$6,Tech_Specs_Infra!$A$20:$B$25,COLUMN(Tech_Specs_Infra!$B$19)-COLUMN(Tech_Specs_Infra!$A$19)+1,FALSE),0)/SUM(IFERROR(VLOOKUP(M$6,Tech_Specs_Infra!$A$20:$B$25,COLUMN(Tech_Specs_Infra!$B$19)-COLUMN(Tech_Specs_Infra!$A$19)+1,FALSE),0),(1-IFERROR(VLOOKUP(M$6,Tech_Specs_Infra!$A$20:$B$25,COLUMN(Tech_Specs_Infra!$B$19)-COLUMN(Tech_Specs_Infra!$A$19)+1,FALSE),0))*'0_Total'!M$10/'0_Total'!$AO$10)</f>
        <v>0.99643300837760918</v>
      </c>
      <c r="N70" s="567">
        <f>IFERROR(VLOOKUP(N$6,Tech_Specs_Infra!$A$20:$B$25,COLUMN(Tech_Specs_Infra!$B$19)-COLUMN(Tech_Specs_Infra!$A$19)+1,FALSE),0)/SUM(IFERROR(VLOOKUP(N$6,Tech_Specs_Infra!$A$20:$B$25,COLUMN(Tech_Specs_Infra!$B$19)-COLUMN(Tech_Specs_Infra!$A$19)+1,FALSE),0),(1-IFERROR(VLOOKUP(N$6,Tech_Specs_Infra!$A$20:$B$25,COLUMN(Tech_Specs_Infra!$B$19)-COLUMN(Tech_Specs_Infra!$A$19)+1,FALSE),0))*'0_Total'!N$10/'0_Total'!$AO$10)</f>
        <v>0.99643300837760918</v>
      </c>
      <c r="O70" s="567">
        <f>IFERROR(VLOOKUP(O$6,Tech_Specs_Infra!$A$20:$B$25,COLUMN(Tech_Specs_Infra!$B$19)-COLUMN(Tech_Specs_Infra!$A$19)+1,FALSE),0)/SUM(IFERROR(VLOOKUP(O$6,Tech_Specs_Infra!$A$20:$B$25,COLUMN(Tech_Specs_Infra!$B$19)-COLUMN(Tech_Specs_Infra!$A$19)+1,FALSE),0),(1-IFERROR(VLOOKUP(O$6,Tech_Specs_Infra!$A$20:$B$25,COLUMN(Tech_Specs_Infra!$B$19)-COLUMN(Tech_Specs_Infra!$A$19)+1,FALSE),0))*'0_Total'!O$10/'0_Total'!$AO$10)</f>
        <v>0.99643300837760918</v>
      </c>
      <c r="P70" s="567">
        <f>IFERROR(VLOOKUP(P$6,Tech_Specs_Infra!$A$20:$B$25,COLUMN(Tech_Specs_Infra!$B$19)-COLUMN(Tech_Specs_Infra!$A$19)+1,FALSE),0)/SUM(IFERROR(VLOOKUP(P$6,Tech_Specs_Infra!$A$20:$B$25,COLUMN(Tech_Specs_Infra!$B$19)-COLUMN(Tech_Specs_Infra!$A$19)+1,FALSE),0),(1-IFERROR(VLOOKUP(P$6,Tech_Specs_Infra!$A$20:$B$25,COLUMN(Tech_Specs_Infra!$B$19)-COLUMN(Tech_Specs_Infra!$A$19)+1,FALSE),0))*'0_Total'!P$10/'0_Total'!$AO$10)</f>
        <v>0.99643300837760918</v>
      </c>
      <c r="Q70" s="567">
        <f>IFERROR(VLOOKUP(Q$6,Tech_Specs_Infra!$A$20:$B$25,COLUMN(Tech_Specs_Infra!$B$19)-COLUMN(Tech_Specs_Infra!$A$19)+1,FALSE),0)/SUM(IFERROR(VLOOKUP(Q$6,Tech_Specs_Infra!$A$20:$B$25,COLUMN(Tech_Specs_Infra!$B$19)-COLUMN(Tech_Specs_Infra!$A$19)+1,FALSE),0),(1-IFERROR(VLOOKUP(Q$6,Tech_Specs_Infra!$A$20:$B$25,COLUMN(Tech_Specs_Infra!$B$19)-COLUMN(Tech_Specs_Infra!$A$19)+1,FALSE),0))*'0_Total'!Q$10/'0_Total'!$AO$10)</f>
        <v>0.99643300837760918</v>
      </c>
      <c r="R70" s="567">
        <f>IFERROR(VLOOKUP(R$6,Tech_Specs_Infra!$A$20:$B$25,COLUMN(Tech_Specs_Infra!$B$19)-COLUMN(Tech_Specs_Infra!$A$19)+1,FALSE),0)/SUM(IFERROR(VLOOKUP(R$6,Tech_Specs_Infra!$A$20:$B$25,COLUMN(Tech_Specs_Infra!$B$19)-COLUMN(Tech_Specs_Infra!$A$19)+1,FALSE),0),(1-IFERROR(VLOOKUP(R$6,Tech_Specs_Infra!$A$20:$B$25,COLUMN(Tech_Specs_Infra!$B$19)-COLUMN(Tech_Specs_Infra!$A$19)+1,FALSE),0))*'0_Total'!R$10/'0_Total'!$AO$10)</f>
        <v>0.99643300837760918</v>
      </c>
      <c r="S70" s="567">
        <f>IFERROR(VLOOKUP(S$6,Tech_Specs_Infra!$A$20:$B$25,COLUMN(Tech_Specs_Infra!$B$19)-COLUMN(Tech_Specs_Infra!$A$19)+1,FALSE),0)/SUM(IFERROR(VLOOKUP(S$6,Tech_Specs_Infra!$A$20:$B$25,COLUMN(Tech_Specs_Infra!$B$19)-COLUMN(Tech_Specs_Infra!$A$19)+1,FALSE),0),(1-IFERROR(VLOOKUP(S$6,Tech_Specs_Infra!$A$20:$B$25,COLUMN(Tech_Specs_Infra!$B$19)-COLUMN(Tech_Specs_Infra!$A$19)+1,FALSE),0))*'0_Total'!S$10/'0_Total'!$AO$10)</f>
        <v>0.99554523300115261</v>
      </c>
      <c r="T70" s="567">
        <f>IFERROR(VLOOKUP(T$6,Tech_Specs_Infra!$A$20:$B$25,COLUMN(Tech_Specs_Infra!$B$19)-COLUMN(Tech_Specs_Infra!$A$19)+1,FALSE),0)/SUM(IFERROR(VLOOKUP(T$6,Tech_Specs_Infra!$A$20:$B$25,COLUMN(Tech_Specs_Infra!$B$19)-COLUMN(Tech_Specs_Infra!$A$19)+1,FALSE),0),(1-IFERROR(VLOOKUP(T$6,Tech_Specs_Infra!$A$20:$B$25,COLUMN(Tech_Specs_Infra!$B$19)-COLUMN(Tech_Specs_Infra!$A$19)+1,FALSE),0))*'0_Total'!T$10/'0_Total'!$AO$10)</f>
        <v>0.99643300837760918</v>
      </c>
      <c r="U70" s="567">
        <f>IFERROR(VLOOKUP(U$6,Tech_Specs_Infra!$A$20:$B$25,COLUMN(Tech_Specs_Infra!$B$19)-COLUMN(Tech_Specs_Infra!$A$19)+1,FALSE),0)/SUM(IFERROR(VLOOKUP(U$6,Tech_Specs_Infra!$A$20:$B$25,COLUMN(Tech_Specs_Infra!$B$19)-COLUMN(Tech_Specs_Infra!$A$19)+1,FALSE),0),(1-IFERROR(VLOOKUP(U$6,Tech_Specs_Infra!$A$20:$B$25,COLUMN(Tech_Specs_Infra!$B$19)-COLUMN(Tech_Specs_Infra!$A$19)+1,FALSE),0))*'0_Total'!U$10/'0_Total'!$AO$10)</f>
        <v>0.99643300837760918</v>
      </c>
      <c r="V70" s="567">
        <f>IFERROR(VLOOKUP(V$6,Tech_Specs_Infra!$A$20:$B$25,COLUMN(Tech_Specs_Infra!$B$19)-COLUMN(Tech_Specs_Infra!$A$19)+1,FALSE),0)/SUM(IFERROR(VLOOKUP(V$6,Tech_Specs_Infra!$A$20:$B$25,COLUMN(Tech_Specs_Infra!$B$19)-COLUMN(Tech_Specs_Infra!$A$19)+1,FALSE),0),(1-IFERROR(VLOOKUP(V$6,Tech_Specs_Infra!$A$20:$B$25,COLUMN(Tech_Specs_Infra!$B$19)-COLUMN(Tech_Specs_Infra!$A$19)+1,FALSE),0))*'0_Total'!V$10/'0_Total'!$AO$10)</f>
        <v>0.99643300837760918</v>
      </c>
      <c r="W70" s="567">
        <f>IFERROR(VLOOKUP(W$6,Tech_Specs_Infra!$A$20:$B$25,COLUMN(Tech_Specs_Infra!$B$19)-COLUMN(Tech_Specs_Infra!$A$19)+1,FALSE),0)/SUM(IFERROR(VLOOKUP(W$6,Tech_Specs_Infra!$A$20:$B$25,COLUMN(Tech_Specs_Infra!$B$19)-COLUMN(Tech_Specs_Infra!$A$19)+1,FALSE),0),(1-IFERROR(VLOOKUP(W$6,Tech_Specs_Infra!$A$20:$B$25,COLUMN(Tech_Specs_Infra!$B$19)-COLUMN(Tech_Specs_Infra!$A$19)+1,FALSE),0))*'0_Total'!W$10/'0_Total'!$AO$10)</f>
        <v>0.99643300837760918</v>
      </c>
      <c r="X70" s="567">
        <f>IFERROR(VLOOKUP(X$6,Tech_Specs_Infra!$A$20:$B$25,COLUMN(Tech_Specs_Infra!$B$19)-COLUMN(Tech_Specs_Infra!$A$19)+1,FALSE),0)/SUM(IFERROR(VLOOKUP(X$6,Tech_Specs_Infra!$A$20:$B$25,COLUMN(Tech_Specs_Infra!$B$19)-COLUMN(Tech_Specs_Infra!$A$19)+1,FALSE),0),(1-IFERROR(VLOOKUP(X$6,Tech_Specs_Infra!$A$20:$B$25,COLUMN(Tech_Specs_Infra!$B$19)-COLUMN(Tech_Specs_Infra!$A$19)+1,FALSE),0))*'0_Total'!X$10/'0_Total'!$AO$10)</f>
        <v>0.99196025489784689</v>
      </c>
      <c r="Y70" s="567">
        <f>IFERROR(VLOOKUP(Y$6,Tech_Specs_Infra!$A$20:$B$25,COLUMN(Tech_Specs_Infra!$B$19)-COLUMN(Tech_Specs_Infra!$A$19)+1,FALSE),0)/SUM(IFERROR(VLOOKUP(Y$6,Tech_Specs_Infra!$A$20:$B$25,COLUMN(Tech_Specs_Infra!$B$19)-COLUMN(Tech_Specs_Infra!$A$19)+1,FALSE),0),(1-IFERROR(VLOOKUP(Y$6,Tech_Specs_Infra!$A$20:$B$25,COLUMN(Tech_Specs_Infra!$B$19)-COLUMN(Tech_Specs_Infra!$A$19)+1,FALSE),0))*'0_Total'!Y$10/'0_Total'!$AO$10)</f>
        <v>0.99196025489784689</v>
      </c>
      <c r="Z70" s="567">
        <f>IFERROR(VLOOKUP(Z$6,Tech_Specs_Infra!$A$20:$B$25,COLUMN(Tech_Specs_Infra!$B$19)-COLUMN(Tech_Specs_Infra!$A$19)+1,FALSE),0)/SUM(IFERROR(VLOOKUP(Z$6,Tech_Specs_Infra!$A$20:$B$25,COLUMN(Tech_Specs_Infra!$B$19)-COLUMN(Tech_Specs_Infra!$A$19)+1,FALSE),0),(1-IFERROR(VLOOKUP(Z$6,Tech_Specs_Infra!$A$20:$B$25,COLUMN(Tech_Specs_Infra!$B$19)-COLUMN(Tech_Specs_Infra!$A$19)+1,FALSE),0))*'0_Total'!Z$10/'0_Total'!$AO$10)</f>
        <v>0.99196025489784689</v>
      </c>
      <c r="AA70" s="567">
        <f>IFERROR(VLOOKUP(AA$6,Tech_Specs_Infra!$A$20:$B$25,COLUMN(Tech_Specs_Infra!$B$19)-COLUMN(Tech_Specs_Infra!$A$19)+1,FALSE),0)/SUM(IFERROR(VLOOKUP(AA$6,Tech_Specs_Infra!$A$20:$B$25,COLUMN(Tech_Specs_Infra!$B$19)-COLUMN(Tech_Specs_Infra!$A$19)+1,FALSE),0),(1-IFERROR(VLOOKUP(AA$6,Tech_Specs_Infra!$A$20:$B$25,COLUMN(Tech_Specs_Infra!$B$19)-COLUMN(Tech_Specs_Infra!$A$19)+1,FALSE),0))*'0_Total'!AA$10/'0_Total'!$AO$10)</f>
        <v>0.99196025489784689</v>
      </c>
      <c r="AB70" s="567">
        <f>IFERROR(VLOOKUP(AB$6,Tech_Specs_Infra!$A$20:$B$25,COLUMN(Tech_Specs_Infra!$B$19)-COLUMN(Tech_Specs_Infra!$A$19)+1,FALSE),0)/SUM(IFERROR(VLOOKUP(AB$6,Tech_Specs_Infra!$A$20:$B$25,COLUMN(Tech_Specs_Infra!$B$19)-COLUMN(Tech_Specs_Infra!$A$19)+1,FALSE),0),(1-IFERROR(VLOOKUP(AB$6,Tech_Specs_Infra!$A$20:$B$25,COLUMN(Tech_Specs_Infra!$B$19)-COLUMN(Tech_Specs_Infra!$A$19)+1,FALSE),0))*'0_Total'!AB$10/'0_Total'!$AO$10)</f>
        <v>0.99196025489784689</v>
      </c>
      <c r="AC70" s="567">
        <f>IFERROR(VLOOKUP(AC$6,Tech_Specs_Infra!$A$20:$B$25,COLUMN(Tech_Specs_Infra!$B$19)-COLUMN(Tech_Specs_Infra!$A$19)+1,FALSE),0)/SUM(IFERROR(VLOOKUP(AC$6,Tech_Specs_Infra!$A$20:$B$25,COLUMN(Tech_Specs_Infra!$B$19)-COLUMN(Tech_Specs_Infra!$A$19)+1,FALSE),0),(1-IFERROR(VLOOKUP(AC$6,Tech_Specs_Infra!$A$20:$B$25,COLUMN(Tech_Specs_Infra!$B$19)-COLUMN(Tech_Specs_Infra!$A$19)+1,FALSE),0))*'0_Total'!AC$10/'0_Total'!$AO$10)</f>
        <v>0.99196025489784689</v>
      </c>
      <c r="AD70" s="567">
        <f>IFERROR(VLOOKUP(AD$6,Tech_Specs_Infra!$A$20:$B$25,COLUMN(Tech_Specs_Infra!$B$19)-COLUMN(Tech_Specs_Infra!$A$19)+1,FALSE),0)/SUM(IFERROR(VLOOKUP(AD$6,Tech_Specs_Infra!$A$20:$B$25,COLUMN(Tech_Specs_Infra!$B$19)-COLUMN(Tech_Specs_Infra!$A$19)+1,FALSE),0),(1-IFERROR(VLOOKUP(AD$6,Tech_Specs_Infra!$A$20:$B$25,COLUMN(Tech_Specs_Infra!$B$19)-COLUMN(Tech_Specs_Infra!$A$19)+1,FALSE),0))*'0_Total'!AD$10/'0_Total'!$AO$10)</f>
        <v>0.99196025489784689</v>
      </c>
      <c r="AE70" s="567">
        <f>IFERROR(VLOOKUP(AE$6,Tech_Specs_Infra!$A$20:$B$25,COLUMN(Tech_Specs_Infra!$B$19)-COLUMN(Tech_Specs_Infra!$A$19)+1,FALSE),0)/SUM(IFERROR(VLOOKUP(AE$6,Tech_Specs_Infra!$A$20:$B$25,COLUMN(Tech_Specs_Infra!$B$19)-COLUMN(Tech_Specs_Infra!$A$19)+1,FALSE),0),(1-IFERROR(VLOOKUP(AE$6,Tech_Specs_Infra!$A$20:$B$25,COLUMN(Tech_Specs_Infra!$B$19)-COLUMN(Tech_Specs_Infra!$A$19)+1,FALSE),0))*'0_Total'!AE$10/'0_Total'!$AO$10)</f>
        <v>0.99196025489784689</v>
      </c>
      <c r="AF70" s="567">
        <f>IFERROR(VLOOKUP(AF$6,Tech_Specs_Infra!$A$20:$B$25,COLUMN(Tech_Specs_Infra!$B$19)-COLUMN(Tech_Specs_Infra!$A$19)+1,FALSE),0)/SUM(IFERROR(VLOOKUP(AF$6,Tech_Specs_Infra!$A$20:$B$25,COLUMN(Tech_Specs_Infra!$B$19)-COLUMN(Tech_Specs_Infra!$A$19)+1,FALSE),0),(1-IFERROR(VLOOKUP(AF$6,Tech_Specs_Infra!$A$20:$B$25,COLUMN(Tech_Specs_Infra!$B$19)-COLUMN(Tech_Specs_Infra!$A$19)+1,FALSE),0))*'0_Total'!AF$10/'0_Total'!$AO$10)</f>
        <v>0.99643300837760918</v>
      </c>
      <c r="AG70" s="567">
        <f>IFERROR(VLOOKUP(AG$6,Tech_Specs_Infra!$A$20:$B$25,COLUMN(Tech_Specs_Infra!$B$19)-COLUMN(Tech_Specs_Infra!$A$19)+1,FALSE),0)/SUM(IFERROR(VLOOKUP(AG$6,Tech_Specs_Infra!$A$20:$B$25,COLUMN(Tech_Specs_Infra!$B$19)-COLUMN(Tech_Specs_Infra!$A$19)+1,FALSE),0),(1-IFERROR(VLOOKUP(AG$6,Tech_Specs_Infra!$A$20:$B$25,COLUMN(Tech_Specs_Infra!$B$19)-COLUMN(Tech_Specs_Infra!$A$19)+1,FALSE),0))*'0_Total'!AG$10/'0_Total'!$AO$10)</f>
        <v>0.99325414369770471</v>
      </c>
      <c r="AH70" s="567">
        <f>IFERROR(VLOOKUP(AH$6,Tech_Specs_Infra!$A$20:$B$25,COLUMN(Tech_Specs_Infra!$B$19)-COLUMN(Tech_Specs_Infra!$A$19)+1,FALSE),0)/SUM(IFERROR(VLOOKUP(AH$6,Tech_Specs_Infra!$A$20:$B$25,COLUMN(Tech_Specs_Infra!$B$19)-COLUMN(Tech_Specs_Infra!$A$19)+1,FALSE),0),(1-IFERROR(VLOOKUP(AH$6,Tech_Specs_Infra!$A$20:$B$25,COLUMN(Tech_Specs_Infra!$B$19)-COLUMN(Tech_Specs_Infra!$A$19)+1,FALSE),0))*'0_Total'!AH$10/'0_Total'!$AO$10)</f>
        <v>0.9923943405708443</v>
      </c>
      <c r="AI70" s="567">
        <f>IFERROR(VLOOKUP(AI$6,Tech_Specs_Infra!$A$20:$B$25,COLUMN(Tech_Specs_Infra!$B$19)-COLUMN(Tech_Specs_Infra!$A$19)+1,FALSE),0)/SUM(IFERROR(VLOOKUP(AI$6,Tech_Specs_Infra!$A$20:$B$25,COLUMN(Tech_Specs_Infra!$B$19)-COLUMN(Tech_Specs_Infra!$A$19)+1,FALSE),0),(1-IFERROR(VLOOKUP(AI$6,Tech_Specs_Infra!$A$20:$B$25,COLUMN(Tech_Specs_Infra!$B$19)-COLUMN(Tech_Specs_Infra!$A$19)+1,FALSE),0))*'0_Total'!AI$10/'0_Total'!$AO$10)</f>
        <v>0.99131425163768572</v>
      </c>
      <c r="AJ70" s="567">
        <f>IFERROR(VLOOKUP(AJ$6,Tech_Specs_Infra!$A$20:$B$25,COLUMN(Tech_Specs_Infra!$B$19)-COLUMN(Tech_Specs_Infra!$A$19)+1,FALSE),0)/SUM(IFERROR(VLOOKUP(AJ$6,Tech_Specs_Infra!$A$20:$B$25,COLUMN(Tech_Specs_Infra!$B$19)-COLUMN(Tech_Specs_Infra!$A$19)+1,FALSE),0),(1-IFERROR(VLOOKUP(AJ$6,Tech_Specs_Infra!$A$20:$B$25,COLUMN(Tech_Specs_Infra!$B$19)-COLUMN(Tech_Specs_Infra!$A$19)+1,FALSE),0))*'0_Total'!AJ$10/'0_Total'!$AO$10)</f>
        <v>0.98995830198983026</v>
      </c>
      <c r="AK70" s="567">
        <f>IFERROR(VLOOKUP(AK$6,Tech_Specs_Infra!$A$20:$B$25,COLUMN(Tech_Specs_Infra!$B$19)-COLUMN(Tech_Specs_Infra!$A$19)+1,FALSE),0)/SUM(IFERROR(VLOOKUP(AK$6,Tech_Specs_Infra!$A$20:$B$25,COLUMN(Tech_Specs_Infra!$B$19)-COLUMN(Tech_Specs_Infra!$A$19)+1,FALSE),0),(1-IFERROR(VLOOKUP(AK$6,Tech_Specs_Infra!$A$20:$B$25,COLUMN(Tech_Specs_Infra!$B$19)-COLUMN(Tech_Specs_Infra!$A$19)+1,FALSE),0))*'0_Total'!AK$10/'0_Total'!$AO$10)</f>
        <v>0</v>
      </c>
      <c r="AL70" s="567">
        <f>IFERROR(VLOOKUP(AL$6,Tech_Specs_Infra!$A$20:$B$25,COLUMN(Tech_Specs_Infra!$B$19)-COLUMN(Tech_Specs_Infra!$A$19)+1,FALSE),0)/SUM(IFERROR(VLOOKUP(AL$6,Tech_Specs_Infra!$A$20:$B$25,COLUMN(Tech_Specs_Infra!$B$19)-COLUMN(Tech_Specs_Infra!$A$19)+1,FALSE),0),(1-IFERROR(VLOOKUP(AL$6,Tech_Specs_Infra!$A$20:$B$25,COLUMN(Tech_Specs_Infra!$B$19)-COLUMN(Tech_Specs_Infra!$A$19)+1,FALSE),0))*'0_Total'!AL$10/'0_Total'!$AO$10)</f>
        <v>0</v>
      </c>
      <c r="AM70" s="567">
        <f>IFERROR(VLOOKUP(AM$6,Tech_Specs_Infra!$A$20:$B$25,COLUMN(Tech_Specs_Infra!$B$19)-COLUMN(Tech_Specs_Infra!$A$19)+1,FALSE),0)/SUM(IFERROR(VLOOKUP(AM$6,Tech_Specs_Infra!$A$20:$B$25,COLUMN(Tech_Specs_Infra!$B$19)-COLUMN(Tech_Specs_Infra!$A$19)+1,FALSE),0),(1-IFERROR(VLOOKUP(AM$6,Tech_Specs_Infra!$A$20:$B$25,COLUMN(Tech_Specs_Infra!$B$19)-COLUMN(Tech_Specs_Infra!$A$19)+1,FALSE),0))*'0_Total'!AM$10/'0_Total'!$AO$10)</f>
        <v>0</v>
      </c>
      <c r="AN70" s="567">
        <f>IFERROR(VLOOKUP(AN$6,Tech_Specs_Infra!$A$20:$B$25,COLUMN(Tech_Specs_Infra!$B$19)-COLUMN(Tech_Specs_Infra!$A$19)+1,FALSE),0)/SUM(IFERROR(VLOOKUP(AN$6,Tech_Specs_Infra!$A$20:$B$25,COLUMN(Tech_Specs_Infra!$B$19)-COLUMN(Tech_Specs_Infra!$A$19)+1,FALSE),0),(1-IFERROR(VLOOKUP(AN$6,Tech_Specs_Infra!$A$20:$B$25,COLUMN(Tech_Specs_Infra!$B$19)-COLUMN(Tech_Specs_Infra!$A$19)+1,FALSE),0))*'0_Total'!AN$10/'0_Total'!$AO$10)</f>
        <v>0</v>
      </c>
      <c r="AO70" s="567">
        <f>IFERROR(VLOOKUP(AO$6,Tech_Specs_Infra!$A$20:$B$25,COLUMN(Tech_Specs_Infra!$B$19)-COLUMN(Tech_Specs_Infra!$A$19)+1,FALSE),0)/SUM(IFERROR(VLOOKUP(AO$6,Tech_Specs_Infra!$A$20:$B$25,COLUMN(Tech_Specs_Infra!$B$19)-COLUMN(Tech_Specs_Infra!$A$19)+1,FALSE),0),(1-IFERROR(VLOOKUP(AO$6,Tech_Specs_Infra!$A$20:$B$25,COLUMN(Tech_Specs_Infra!$B$19)-COLUMN(Tech_Specs_Infra!$A$19)+1,FALSE),0))*'0_Total'!AO$10/'0_Total'!$AO$10)</f>
        <v>0</v>
      </c>
      <c r="AP70" s="567">
        <f>IFERROR(VLOOKUP(AP$6,Tech_Specs_Infra!$A$20:$B$25,COLUMN(Tech_Specs_Infra!$B$19)-COLUMN(Tech_Specs_Infra!$A$19)+1,FALSE),0)/SUM(IFERROR(VLOOKUP(AP$6,Tech_Specs_Infra!$A$20:$B$25,COLUMN(Tech_Specs_Infra!$B$19)-COLUMN(Tech_Specs_Infra!$A$19)+1,FALSE),0),(1-IFERROR(VLOOKUP(AP$6,Tech_Specs_Infra!$A$20:$B$25,COLUMN(Tech_Specs_Infra!$B$19)-COLUMN(Tech_Specs_Infra!$A$19)+1,FALSE),0))*'0_Total'!AP$10/'0_Total'!$AO$10)</f>
        <v>0</v>
      </c>
      <c r="AQ70" s="567">
        <f>IFERROR(VLOOKUP(AQ$6,Tech_Specs_Infra!$A$20:$B$25,COLUMN(Tech_Specs_Infra!$B$19)-COLUMN(Tech_Specs_Infra!$A$19)+1,FALSE),0)/SUM(IFERROR(VLOOKUP(AQ$6,Tech_Specs_Infra!$A$20:$B$25,COLUMN(Tech_Specs_Infra!$B$19)-COLUMN(Tech_Specs_Infra!$A$19)+1,FALSE),0),(1-IFERROR(VLOOKUP(AQ$6,Tech_Specs_Infra!$A$20:$B$25,COLUMN(Tech_Specs_Infra!$B$19)-COLUMN(Tech_Specs_Infra!$A$19)+1,FALSE),0))*'0_Total'!AQ$10/'0_Total'!$AO$10)</f>
        <v>0</v>
      </c>
      <c r="AR70" s="567">
        <f>IFERROR(VLOOKUP(AR$6,Tech_Specs_Infra!$A$20:$B$25,COLUMN(Tech_Specs_Infra!$B$19)-COLUMN(Tech_Specs_Infra!$A$19)+1,FALSE),0)/SUM(IFERROR(VLOOKUP(AR$6,Tech_Specs_Infra!$A$20:$B$25,COLUMN(Tech_Specs_Infra!$B$19)-COLUMN(Tech_Specs_Infra!$A$19)+1,FALSE),0),(1-IFERROR(VLOOKUP(AR$6,Tech_Specs_Infra!$A$20:$B$25,COLUMN(Tech_Specs_Infra!$B$19)-COLUMN(Tech_Specs_Infra!$A$19)+1,FALSE),0))*'0_Total'!AR$10/'0_Total'!$AO$10)</f>
        <v>0</v>
      </c>
      <c r="AS70" s="567">
        <f>IFERROR(VLOOKUP(AS$6,Tech_Specs_Infra!$A$20:$B$25,COLUMN(Tech_Specs_Infra!$B$19)-COLUMN(Tech_Specs_Infra!$A$19)+1,FALSE),0)/SUM(IFERROR(VLOOKUP(AS$6,Tech_Specs_Infra!$A$20:$B$25,COLUMN(Tech_Specs_Infra!$B$19)-COLUMN(Tech_Specs_Infra!$A$19)+1,FALSE),0),(1-IFERROR(VLOOKUP(AS$6,Tech_Specs_Infra!$A$20:$B$25,COLUMN(Tech_Specs_Infra!$B$19)-COLUMN(Tech_Specs_Infra!$A$19)+1,FALSE),0))*'0_Total'!AS$10/'0_Total'!$AO$10)</f>
        <v>0</v>
      </c>
      <c r="AT70" s="567">
        <f>IFERROR(VLOOKUP(AT$6,Tech_Specs_Infra!$A$20:$B$25,COLUMN(Tech_Specs_Infra!$B$19)-COLUMN(Tech_Specs_Infra!$A$19)+1,FALSE),0)/SUM(IFERROR(VLOOKUP(AT$6,Tech_Specs_Infra!$A$20:$B$25,COLUMN(Tech_Specs_Infra!$B$19)-COLUMN(Tech_Specs_Infra!$A$19)+1,FALSE),0),(1-IFERROR(VLOOKUP(AT$6,Tech_Specs_Infra!$A$20:$B$25,COLUMN(Tech_Specs_Infra!$B$19)-COLUMN(Tech_Specs_Infra!$A$19)+1,FALSE),0))*'0_Total'!AT$10/'0_Total'!$AO$10)</f>
        <v>0</v>
      </c>
      <c r="AU70" s="567">
        <f>IFERROR(VLOOKUP(AU$6,Tech_Specs_Infra!$A$20:$B$25,COLUMN(Tech_Specs_Infra!$B$19)-COLUMN(Tech_Specs_Infra!$A$19)+1,FALSE),0)/SUM(IFERROR(VLOOKUP(AU$6,Tech_Specs_Infra!$A$20:$B$25,COLUMN(Tech_Specs_Infra!$B$19)-COLUMN(Tech_Specs_Infra!$A$19)+1,FALSE),0),(1-IFERROR(VLOOKUP(AU$6,Tech_Specs_Infra!$A$20:$B$25,COLUMN(Tech_Specs_Infra!$B$19)-COLUMN(Tech_Specs_Infra!$A$19)+1,FALSE),0))*'0_Total'!AU$10/'0_Total'!$AO$10)</f>
        <v>0</v>
      </c>
      <c r="AV70" s="567">
        <f>IFERROR(VLOOKUP(AV$6,Tech_Specs_Infra!$A$20:$B$25,COLUMN(Tech_Specs_Infra!$B$19)-COLUMN(Tech_Specs_Infra!$A$19)+1,FALSE),0)/SUM(IFERROR(VLOOKUP(AV$6,Tech_Specs_Infra!$A$20:$B$25,COLUMN(Tech_Specs_Infra!$B$19)-COLUMN(Tech_Specs_Infra!$A$19)+1,FALSE),0),(1-IFERROR(VLOOKUP(AV$6,Tech_Specs_Infra!$A$20:$B$25,COLUMN(Tech_Specs_Infra!$B$19)-COLUMN(Tech_Specs_Infra!$A$19)+1,FALSE),0))*'0_Total'!AV$10/'0_Total'!$AO$10)</f>
        <v>0</v>
      </c>
      <c r="AW70" s="567">
        <f>IFERROR(VLOOKUP(AW$6,Tech_Specs_Infra!$A$20:$B$25,COLUMN(Tech_Specs_Infra!$B$19)-COLUMN(Tech_Specs_Infra!$A$19)+1,FALSE),0)/SUM(IFERROR(VLOOKUP(AW$6,Tech_Specs_Infra!$A$20:$B$25,COLUMN(Tech_Specs_Infra!$B$19)-COLUMN(Tech_Specs_Infra!$A$19)+1,FALSE),0),(1-IFERROR(VLOOKUP(AW$6,Tech_Specs_Infra!$A$20:$B$25,COLUMN(Tech_Specs_Infra!$B$19)-COLUMN(Tech_Specs_Infra!$A$19)+1,FALSE),0))*'0_Total'!AW$10/'0_Total'!$AO$10)</f>
        <v>0</v>
      </c>
      <c r="AX70" s="567">
        <f>IFERROR(VLOOKUP(AX$6,Tech_Specs_Infra!$A$20:$B$25,COLUMN(Tech_Specs_Infra!$B$19)-COLUMN(Tech_Specs_Infra!$A$19)+1,FALSE),0)/SUM(IFERROR(VLOOKUP(AX$6,Tech_Specs_Infra!$A$20:$B$25,COLUMN(Tech_Specs_Infra!$B$19)-COLUMN(Tech_Specs_Infra!$A$19)+1,FALSE),0),(1-IFERROR(VLOOKUP(AX$6,Tech_Specs_Infra!$A$20:$B$25,COLUMN(Tech_Specs_Infra!$B$19)-COLUMN(Tech_Specs_Infra!$A$19)+1,FALSE),0))*'0_Total'!AX$10/'0_Total'!$AO$10)</f>
        <v>0</v>
      </c>
      <c r="AY70" s="567">
        <f>IFERROR(VLOOKUP(AY$6,Tech_Specs_Infra!$A$20:$B$25,COLUMN(Tech_Specs_Infra!$B$19)-COLUMN(Tech_Specs_Infra!$A$19)+1,FALSE),0)/SUM(IFERROR(VLOOKUP(AY$6,Tech_Specs_Infra!$A$20:$B$25,COLUMN(Tech_Specs_Infra!$B$19)-COLUMN(Tech_Specs_Infra!$A$19)+1,FALSE),0),(1-IFERROR(VLOOKUP(AY$6,Tech_Specs_Infra!$A$20:$B$25,COLUMN(Tech_Specs_Infra!$B$19)-COLUMN(Tech_Specs_Infra!$A$19)+1,FALSE),0))*'0_Total'!AY$10/'0_Total'!$AO$10)</f>
        <v>0</v>
      </c>
      <c r="AZ70" s="567">
        <f>IFERROR(VLOOKUP(AZ$6,Tech_Specs_Infra!$A$20:$B$25,COLUMN(Tech_Specs_Infra!$B$19)-COLUMN(Tech_Specs_Infra!$A$19)+1,FALSE),0)/SUM(IFERROR(VLOOKUP(AZ$6,Tech_Specs_Infra!$A$20:$B$25,COLUMN(Tech_Specs_Infra!$B$19)-COLUMN(Tech_Specs_Infra!$A$19)+1,FALSE),0),(1-IFERROR(VLOOKUP(AZ$6,Tech_Specs_Infra!$A$20:$B$25,COLUMN(Tech_Specs_Infra!$B$19)-COLUMN(Tech_Specs_Infra!$A$19)+1,FALSE),0))*'0_Total'!AZ$10/'0_Total'!$AO$10)</f>
        <v>0</v>
      </c>
      <c r="BA70" s="567">
        <f>IFERROR(VLOOKUP(BA$6,Tech_Specs_Infra!$A$20:$B$25,COLUMN(Tech_Specs_Infra!$B$19)-COLUMN(Tech_Specs_Infra!$A$19)+1,FALSE),0)/SUM(IFERROR(VLOOKUP(BA$6,Tech_Specs_Infra!$A$20:$B$25,COLUMN(Tech_Specs_Infra!$B$19)-COLUMN(Tech_Specs_Infra!$A$19)+1,FALSE),0),(1-IFERROR(VLOOKUP(BA$6,Tech_Specs_Infra!$A$20:$B$25,COLUMN(Tech_Specs_Infra!$B$19)-COLUMN(Tech_Specs_Infra!$A$19)+1,FALSE),0))*'0_Total'!BA$10/'0_Total'!$AO$10)</f>
        <v>0</v>
      </c>
      <c r="BB70" s="567">
        <f>IFERROR(VLOOKUP(BB$6,Tech_Specs_Infra!$A$20:$B$25,COLUMN(Tech_Specs_Infra!$B$19)-COLUMN(Tech_Specs_Infra!$A$19)+1,FALSE),0)/SUM(IFERROR(VLOOKUP(BB$6,Tech_Specs_Infra!$A$20:$B$25,COLUMN(Tech_Specs_Infra!$B$19)-COLUMN(Tech_Specs_Infra!$A$19)+1,FALSE),0),(1-IFERROR(VLOOKUP(BB$6,Tech_Specs_Infra!$A$20:$B$25,COLUMN(Tech_Specs_Infra!$B$19)-COLUMN(Tech_Specs_Infra!$A$19)+1,FALSE),0))*'0_Total'!BB$10/'0_Total'!$AO$10)</f>
        <v>0</v>
      </c>
      <c r="BC70" s="567">
        <f>IFERROR(VLOOKUP(BC$6,Tech_Specs_Infra!$A$20:$B$25,COLUMN(Tech_Specs_Infra!$B$19)-COLUMN(Tech_Specs_Infra!$A$19)+1,FALSE),0)/SUM(IFERROR(VLOOKUP(BC$6,Tech_Specs_Infra!$A$20:$B$25,COLUMN(Tech_Specs_Infra!$B$19)-COLUMN(Tech_Specs_Infra!$A$19)+1,FALSE),0),(1-IFERROR(VLOOKUP(BC$6,Tech_Specs_Infra!$A$20:$B$25,COLUMN(Tech_Specs_Infra!$B$19)-COLUMN(Tech_Specs_Infra!$A$19)+1,FALSE),0))*'0_Total'!BC$10/'0_Total'!$AO$10)</f>
        <v>0</v>
      </c>
      <c r="BD70" s="567">
        <f>IFERROR(VLOOKUP(BD$6,Tech_Specs_Infra!$A$20:$B$25,COLUMN(Tech_Specs_Infra!$B$19)-COLUMN(Tech_Specs_Infra!$A$19)+1,FALSE),0)/SUM(IFERROR(VLOOKUP(BD$6,Tech_Specs_Infra!$A$20:$B$25,COLUMN(Tech_Specs_Infra!$B$19)-COLUMN(Tech_Specs_Infra!$A$19)+1,FALSE),0),(1-IFERROR(VLOOKUP(BD$6,Tech_Specs_Infra!$A$20:$B$25,COLUMN(Tech_Specs_Infra!$B$19)-COLUMN(Tech_Specs_Infra!$A$19)+1,FALSE),0))*'0_Total'!BD$10/'0_Total'!$AO$10)</f>
        <v>0</v>
      </c>
      <c r="BE70" s="567">
        <f>IFERROR(VLOOKUP(BE$6,Tech_Specs_Infra!$A$20:$B$25,COLUMN(Tech_Specs_Infra!$B$19)-COLUMN(Tech_Specs_Infra!$A$19)+1,FALSE),0)/SUM(IFERROR(VLOOKUP(BE$6,Tech_Specs_Infra!$A$20:$B$25,COLUMN(Tech_Specs_Infra!$B$19)-COLUMN(Tech_Specs_Infra!$A$19)+1,FALSE),0),(1-IFERROR(VLOOKUP(BE$6,Tech_Specs_Infra!$A$20:$B$25,COLUMN(Tech_Specs_Infra!$B$19)-COLUMN(Tech_Specs_Infra!$A$19)+1,FALSE),0))*'0_Total'!BE$10/'0_Total'!$AO$10)</f>
        <v>0</v>
      </c>
      <c r="BF70" s="567">
        <f>IFERROR(VLOOKUP(BF$6,Tech_Specs_Infra!$A$20:$B$25,COLUMN(Tech_Specs_Infra!$B$19)-COLUMN(Tech_Specs_Infra!$A$19)+1,FALSE),0)/SUM(IFERROR(VLOOKUP(BF$6,Tech_Specs_Infra!$A$20:$B$25,COLUMN(Tech_Specs_Infra!$B$19)-COLUMN(Tech_Specs_Infra!$A$19)+1,FALSE),0),(1-IFERROR(VLOOKUP(BF$6,Tech_Specs_Infra!$A$20:$B$25,COLUMN(Tech_Specs_Infra!$B$19)-COLUMN(Tech_Specs_Infra!$A$19)+1,FALSE),0))*'0_Total'!BF$10/'0_Total'!$AO$10)</f>
        <v>0</v>
      </c>
      <c r="BG70" s="567">
        <f>IFERROR(VLOOKUP(BG$6,Tech_Specs_Infra!$A$20:$B$25,COLUMN(Tech_Specs_Infra!$B$19)-COLUMN(Tech_Specs_Infra!$A$19)+1,FALSE),0)/SUM(IFERROR(VLOOKUP(BG$6,Tech_Specs_Infra!$A$20:$B$25,COLUMN(Tech_Specs_Infra!$B$19)-COLUMN(Tech_Specs_Infra!$A$19)+1,FALSE),0),(1-IFERROR(VLOOKUP(BG$6,Tech_Specs_Infra!$A$20:$B$25,COLUMN(Tech_Specs_Infra!$B$19)-COLUMN(Tech_Specs_Infra!$A$19)+1,FALSE),0))*'0_Total'!BG$10/'0_Total'!$AO$10)</f>
        <v>0</v>
      </c>
      <c r="BH70" s="567">
        <f>IFERROR(VLOOKUP(BH$6,Tech_Specs_Infra!$A$20:$B$25,COLUMN(Tech_Specs_Infra!$B$19)-COLUMN(Tech_Specs_Infra!$A$19)+1,FALSE),0)/SUM(IFERROR(VLOOKUP(BH$6,Tech_Specs_Infra!$A$20:$B$25,COLUMN(Tech_Specs_Infra!$B$19)-COLUMN(Tech_Specs_Infra!$A$19)+1,FALSE),0),(1-IFERROR(VLOOKUP(BH$6,Tech_Specs_Infra!$A$20:$B$25,COLUMN(Tech_Specs_Infra!$B$19)-COLUMN(Tech_Specs_Infra!$A$19)+1,FALSE),0))*'0_Total'!BH$10/'0_Total'!$AO$10)</f>
        <v>0</v>
      </c>
      <c r="BI70" s="567">
        <f>IFERROR(VLOOKUP(BI$6,Tech_Specs_Infra!$A$20:$B$25,COLUMN(Tech_Specs_Infra!$B$19)-COLUMN(Tech_Specs_Infra!$A$19)+1,FALSE),0)/SUM(IFERROR(VLOOKUP(BI$6,Tech_Specs_Infra!$A$20:$B$25,COLUMN(Tech_Specs_Infra!$B$19)-COLUMN(Tech_Specs_Infra!$A$19)+1,FALSE),0),(1-IFERROR(VLOOKUP(BI$6,Tech_Specs_Infra!$A$20:$B$25,COLUMN(Tech_Specs_Infra!$B$19)-COLUMN(Tech_Specs_Infra!$A$19)+1,FALSE),0))*'0_Total'!BI$10/'0_Total'!$AO$10)</f>
        <v>0</v>
      </c>
      <c r="BJ70" s="567">
        <f>IFERROR(VLOOKUP(BJ$6,Tech_Specs_Infra!$A$20:$B$25,COLUMN(Tech_Specs_Infra!$B$19)-COLUMN(Tech_Specs_Infra!$A$19)+1,FALSE),0)/SUM(IFERROR(VLOOKUP(BJ$6,Tech_Specs_Infra!$A$20:$B$25,COLUMN(Tech_Specs_Infra!$B$19)-COLUMN(Tech_Specs_Infra!$A$19)+1,FALSE),0),(1-IFERROR(VLOOKUP(BJ$6,Tech_Specs_Infra!$A$20:$B$25,COLUMN(Tech_Specs_Infra!$B$19)-COLUMN(Tech_Specs_Infra!$A$19)+1,FALSE),0))*'0_Total'!BJ$10/'0_Total'!$AO$10)</f>
        <v>0</v>
      </c>
      <c r="BK70" s="567">
        <f>IFERROR(VLOOKUP(BK$6,Tech_Specs_Infra!$A$20:$B$25,COLUMN(Tech_Specs_Infra!$B$19)-COLUMN(Tech_Specs_Infra!$A$19)+1,FALSE),0)/SUM(IFERROR(VLOOKUP(BK$6,Tech_Specs_Infra!$A$20:$B$25,COLUMN(Tech_Specs_Infra!$B$19)-COLUMN(Tech_Specs_Infra!$A$19)+1,FALSE),0),(1-IFERROR(VLOOKUP(BK$6,Tech_Specs_Infra!$A$20:$B$25,COLUMN(Tech_Specs_Infra!$B$19)-COLUMN(Tech_Specs_Infra!$A$19)+1,FALSE),0))*'0_Total'!BK$10/'0_Total'!$AO$10)</f>
        <v>0</v>
      </c>
      <c r="BL70" s="567">
        <f>IFERROR(VLOOKUP(BL$6,Tech_Specs_Infra!$A$20:$B$25,COLUMN(Tech_Specs_Infra!$B$19)-COLUMN(Tech_Specs_Infra!$A$19)+1,FALSE),0)/SUM(IFERROR(VLOOKUP(BL$6,Tech_Specs_Infra!$A$20:$B$25,COLUMN(Tech_Specs_Infra!$B$19)-COLUMN(Tech_Specs_Infra!$A$19)+1,FALSE),0),(1-IFERROR(VLOOKUP(BL$6,Tech_Specs_Infra!$A$20:$B$25,COLUMN(Tech_Specs_Infra!$B$19)-COLUMN(Tech_Specs_Infra!$A$19)+1,FALSE),0))*'0_Total'!BL$10/'0_Total'!$AO$10)</f>
        <v>0</v>
      </c>
      <c r="BM70" s="567">
        <f>IFERROR(VLOOKUP(BM$6,Tech_Specs_Infra!$A$20:$B$25,COLUMN(Tech_Specs_Infra!$B$19)-COLUMN(Tech_Specs_Infra!$A$19)+1,FALSE),0)/SUM(IFERROR(VLOOKUP(BM$6,Tech_Specs_Infra!$A$20:$B$25,COLUMN(Tech_Specs_Infra!$B$19)-COLUMN(Tech_Specs_Infra!$A$19)+1,FALSE),0),(1-IFERROR(VLOOKUP(BM$6,Tech_Specs_Infra!$A$20:$B$25,COLUMN(Tech_Specs_Infra!$B$19)-COLUMN(Tech_Specs_Infra!$A$19)+1,FALSE),0))*'0_Total'!BM$10/'0_Total'!$AO$10)</f>
        <v>0</v>
      </c>
      <c r="BN70" s="567">
        <f>IFERROR(VLOOKUP(BN$6,Tech_Specs_Infra!$A$20:$B$25,COLUMN(Tech_Specs_Infra!$B$19)-COLUMN(Tech_Specs_Infra!$A$19)+1,FALSE),0)/SUM(IFERROR(VLOOKUP(BN$6,Tech_Specs_Infra!$A$20:$B$25,COLUMN(Tech_Specs_Infra!$B$19)-COLUMN(Tech_Specs_Infra!$A$19)+1,FALSE),0),(1-IFERROR(VLOOKUP(BN$6,Tech_Specs_Infra!$A$20:$B$25,COLUMN(Tech_Specs_Infra!$B$19)-COLUMN(Tech_Specs_Infra!$A$19)+1,FALSE),0))*'0_Total'!BN$10/'0_Total'!$AO$10)</f>
        <v>0</v>
      </c>
      <c r="BO70" s="567">
        <f>IFERROR(VLOOKUP(BO$6,Tech_Specs_Infra!$A$20:$B$25,COLUMN(Tech_Specs_Infra!$B$19)-COLUMN(Tech_Specs_Infra!$A$19)+1,FALSE),0)/SUM(IFERROR(VLOOKUP(BO$6,Tech_Specs_Infra!$A$20:$B$25,COLUMN(Tech_Specs_Infra!$B$19)-COLUMN(Tech_Specs_Infra!$A$19)+1,FALSE),0),(1-IFERROR(VLOOKUP(BO$6,Tech_Specs_Infra!$A$20:$B$25,COLUMN(Tech_Specs_Infra!$B$19)-COLUMN(Tech_Specs_Infra!$A$19)+1,FALSE),0))*'0_Total'!BO$10/'0_Total'!$AO$10)</f>
        <v>0</v>
      </c>
      <c r="BP70" s="567">
        <f>IFERROR(VLOOKUP(BP$6,Tech_Specs_Infra!$A$20:$B$25,COLUMN(Tech_Specs_Infra!$B$19)-COLUMN(Tech_Specs_Infra!$A$19)+1,FALSE),0)/SUM(IFERROR(VLOOKUP(BP$6,Tech_Specs_Infra!$A$20:$B$25,COLUMN(Tech_Specs_Infra!$B$19)-COLUMN(Tech_Specs_Infra!$A$19)+1,FALSE),0),(1-IFERROR(VLOOKUP(BP$6,Tech_Specs_Infra!$A$20:$B$25,COLUMN(Tech_Specs_Infra!$B$19)-COLUMN(Tech_Specs_Infra!$A$19)+1,FALSE),0))*'0_Total'!BP$10/'0_Total'!$AO$10)</f>
        <v>0</v>
      </c>
      <c r="BQ70" s="567">
        <f>IFERROR(VLOOKUP(BQ$6,Tech_Specs_Infra!$A$20:$B$25,COLUMN(Tech_Specs_Infra!$B$19)-COLUMN(Tech_Specs_Infra!$A$19)+1,FALSE),0)/SUM(IFERROR(VLOOKUP(BQ$6,Tech_Specs_Infra!$A$20:$B$25,COLUMN(Tech_Specs_Infra!$B$19)-COLUMN(Tech_Specs_Infra!$A$19)+1,FALSE),0),(1-IFERROR(VLOOKUP(BQ$6,Tech_Specs_Infra!$A$20:$B$25,COLUMN(Tech_Specs_Infra!$B$19)-COLUMN(Tech_Specs_Infra!$A$19)+1,FALSE),0))*'0_Total'!BQ$10/'0_Total'!$AO$10)</f>
        <v>0</v>
      </c>
      <c r="BR70" s="567">
        <f>IFERROR(VLOOKUP(BR$6,Tech_Specs_Infra!$A$20:$B$25,COLUMN(Tech_Specs_Infra!$B$19)-COLUMN(Tech_Specs_Infra!$A$19)+1,FALSE),0)/SUM(IFERROR(VLOOKUP(BR$6,Tech_Specs_Infra!$A$20:$B$25,COLUMN(Tech_Specs_Infra!$B$19)-COLUMN(Tech_Specs_Infra!$A$19)+1,FALSE),0),(1-IFERROR(VLOOKUP(BR$6,Tech_Specs_Infra!$A$20:$B$25,COLUMN(Tech_Specs_Infra!$B$19)-COLUMN(Tech_Specs_Infra!$A$19)+1,FALSE),0))*'0_Total'!BR$10/'0_Total'!$AO$10)</f>
        <v>0</v>
      </c>
      <c r="BS70" s="567">
        <f>IFERROR(VLOOKUP(BS$6,Tech_Specs_Infra!$A$20:$B$25,COLUMN(Tech_Specs_Infra!$B$19)-COLUMN(Tech_Specs_Infra!$A$19)+1,FALSE),0)/SUM(IFERROR(VLOOKUP(BS$6,Tech_Specs_Infra!$A$20:$B$25,COLUMN(Tech_Specs_Infra!$B$19)-COLUMN(Tech_Specs_Infra!$A$19)+1,FALSE),0),(1-IFERROR(VLOOKUP(BS$6,Tech_Specs_Infra!$A$20:$B$25,COLUMN(Tech_Specs_Infra!$B$19)-COLUMN(Tech_Specs_Infra!$A$19)+1,FALSE),0))*'0_Total'!BS$10/'0_Total'!$AO$10)</f>
        <v>0</v>
      </c>
      <c r="BT70" s="567">
        <f>IFERROR(VLOOKUP(BT$6,Tech_Specs_Infra!$A$20:$B$25,COLUMN(Tech_Specs_Infra!$B$19)-COLUMN(Tech_Specs_Infra!$A$19)+1,FALSE),0)/SUM(IFERROR(VLOOKUP(BT$6,Tech_Specs_Infra!$A$20:$B$25,COLUMN(Tech_Specs_Infra!$B$19)-COLUMN(Tech_Specs_Infra!$A$19)+1,FALSE),0),(1-IFERROR(VLOOKUP(BT$6,Tech_Specs_Infra!$A$20:$B$25,COLUMN(Tech_Specs_Infra!$B$19)-COLUMN(Tech_Specs_Infra!$A$19)+1,FALSE),0))*'0_Total'!BT$10/'0_Total'!$AO$10)</f>
        <v>0</v>
      </c>
      <c r="BU70" s="567">
        <f>IFERROR(VLOOKUP(BU$6,Tech_Specs_Infra!$A$20:$B$25,COLUMN(Tech_Specs_Infra!$B$19)-COLUMN(Tech_Specs_Infra!$A$19)+1,FALSE),0)/SUM(IFERROR(VLOOKUP(BU$6,Tech_Specs_Infra!$A$20:$B$25,COLUMN(Tech_Specs_Infra!$B$19)-COLUMN(Tech_Specs_Infra!$A$19)+1,FALSE),0),(1-IFERROR(VLOOKUP(BU$6,Tech_Specs_Infra!$A$20:$B$25,COLUMN(Tech_Specs_Infra!$B$19)-COLUMN(Tech_Specs_Infra!$A$19)+1,FALSE),0))*'0_Total'!BU$10/'0_Total'!$AO$10)</f>
        <v>0</v>
      </c>
      <c r="BV70" s="567">
        <f>IFERROR(VLOOKUP(BV$6,Tech_Specs_Infra!$A$20:$B$25,COLUMN(Tech_Specs_Infra!$B$19)-COLUMN(Tech_Specs_Infra!$A$19)+1,FALSE),0)/SUM(IFERROR(VLOOKUP(BV$6,Tech_Specs_Infra!$A$20:$B$25,COLUMN(Tech_Specs_Infra!$B$19)-COLUMN(Tech_Specs_Infra!$A$19)+1,FALSE),0),(1-IFERROR(VLOOKUP(BV$6,Tech_Specs_Infra!$A$20:$B$25,COLUMN(Tech_Specs_Infra!$B$19)-COLUMN(Tech_Specs_Infra!$A$19)+1,FALSE),0))*'0_Total'!BV$10/'0_Total'!$AO$10)</f>
        <v>0</v>
      </c>
      <c r="BW70" s="567">
        <f>IFERROR(VLOOKUP(BW$6,Tech_Specs_Infra!$A$20:$B$25,COLUMN(Tech_Specs_Infra!$B$19)-COLUMN(Tech_Specs_Infra!$A$19)+1,FALSE),0)/SUM(IFERROR(VLOOKUP(BW$6,Tech_Specs_Infra!$A$20:$B$25,COLUMN(Tech_Specs_Infra!$B$19)-COLUMN(Tech_Specs_Infra!$A$19)+1,FALSE),0),(1-IFERROR(VLOOKUP(BW$6,Tech_Specs_Infra!$A$20:$B$25,COLUMN(Tech_Specs_Infra!$B$19)-COLUMN(Tech_Specs_Infra!$A$19)+1,FALSE),0))*'0_Total'!BW$10/'0_Total'!$AO$10)</f>
        <v>0</v>
      </c>
      <c r="BX70" s="567">
        <f>IFERROR(VLOOKUP(BX$6,Tech_Specs_Infra!$A$20:$B$25,COLUMN(Tech_Specs_Infra!$B$19)-COLUMN(Tech_Specs_Infra!$A$19)+1,FALSE),0)/SUM(IFERROR(VLOOKUP(BX$6,Tech_Specs_Infra!$A$20:$B$25,COLUMN(Tech_Specs_Infra!$B$19)-COLUMN(Tech_Specs_Infra!$A$19)+1,FALSE),0),(1-IFERROR(VLOOKUP(BX$6,Tech_Specs_Infra!$A$20:$B$25,COLUMN(Tech_Specs_Infra!$B$19)-COLUMN(Tech_Specs_Infra!$A$19)+1,FALSE),0))*'0_Total'!BX$10/'0_Total'!$AO$10)</f>
        <v>0</v>
      </c>
      <c r="BY70" s="567">
        <f>IFERROR(VLOOKUP(BY$6,Tech_Specs_Infra!$A$20:$B$25,COLUMN(Tech_Specs_Infra!$B$19)-COLUMN(Tech_Specs_Infra!$A$19)+1,FALSE),0)/SUM(IFERROR(VLOOKUP(BY$6,Tech_Specs_Infra!$A$20:$B$25,COLUMN(Tech_Specs_Infra!$B$19)-COLUMN(Tech_Specs_Infra!$A$19)+1,FALSE),0),(1-IFERROR(VLOOKUP(BY$6,Tech_Specs_Infra!$A$20:$B$25,COLUMN(Tech_Specs_Infra!$B$19)-COLUMN(Tech_Specs_Infra!$A$19)+1,FALSE),0))*'0_Total'!BY$10/'0_Total'!$AO$10)</f>
        <v>0</v>
      </c>
      <c r="BZ70" s="567">
        <f>IFERROR(VLOOKUP(BZ$6,Tech_Specs_Infra!$A$20:$B$25,COLUMN(Tech_Specs_Infra!$B$19)-COLUMN(Tech_Specs_Infra!$A$19)+1,FALSE),0)/SUM(IFERROR(VLOOKUP(BZ$6,Tech_Specs_Infra!$A$20:$B$25,COLUMN(Tech_Specs_Infra!$B$19)-COLUMN(Tech_Specs_Infra!$A$19)+1,FALSE),0),(1-IFERROR(VLOOKUP(BZ$6,Tech_Specs_Infra!$A$20:$B$25,COLUMN(Tech_Specs_Infra!$B$19)-COLUMN(Tech_Specs_Infra!$A$19)+1,FALSE),0))*'0_Total'!BZ$10/'0_Total'!$AO$10)</f>
        <v>0</v>
      </c>
      <c r="CA70" s="567">
        <f>IFERROR(VLOOKUP(CA$6,Tech_Specs_Infra!$A$20:$B$25,COLUMN(Tech_Specs_Infra!$B$19)-COLUMN(Tech_Specs_Infra!$A$19)+1,FALSE),0)/SUM(IFERROR(VLOOKUP(CA$6,Tech_Specs_Infra!$A$20:$B$25,COLUMN(Tech_Specs_Infra!$B$19)-COLUMN(Tech_Specs_Infra!$A$19)+1,FALSE),0),(1-IFERROR(VLOOKUP(CA$6,Tech_Specs_Infra!$A$20:$B$25,COLUMN(Tech_Specs_Infra!$B$19)-COLUMN(Tech_Specs_Infra!$A$19)+1,FALSE),0))*'0_Total'!CA$10/'0_Total'!$AO$10)</f>
        <v>0</v>
      </c>
      <c r="CB70" s="567">
        <f>IFERROR(VLOOKUP(CB$6,Tech_Specs_Infra!$A$20:$B$25,COLUMN(Tech_Specs_Infra!$B$19)-COLUMN(Tech_Specs_Infra!$A$19)+1,FALSE),0)/SUM(IFERROR(VLOOKUP(CB$6,Tech_Specs_Infra!$A$20:$B$25,COLUMN(Tech_Specs_Infra!$B$19)-COLUMN(Tech_Specs_Infra!$A$19)+1,FALSE),0),(1-IFERROR(VLOOKUP(CB$6,Tech_Specs_Infra!$A$20:$B$25,COLUMN(Tech_Specs_Infra!$B$19)-COLUMN(Tech_Specs_Infra!$A$19)+1,FALSE),0))*'0_Total'!CB$10/'0_Total'!$AO$10)</f>
        <v>0</v>
      </c>
      <c r="CC70" s="567">
        <f>IFERROR(VLOOKUP(CC$6,Tech_Specs_Infra!$A$20:$B$25,COLUMN(Tech_Specs_Infra!$B$19)-COLUMN(Tech_Specs_Infra!$A$19)+1,FALSE),0)/SUM(IFERROR(VLOOKUP(CC$6,Tech_Specs_Infra!$A$20:$B$25,COLUMN(Tech_Specs_Infra!$B$19)-COLUMN(Tech_Specs_Infra!$A$19)+1,FALSE),0),(1-IFERROR(VLOOKUP(CC$6,Tech_Specs_Infra!$A$20:$B$25,COLUMN(Tech_Specs_Infra!$B$19)-COLUMN(Tech_Specs_Infra!$A$19)+1,FALSE),0))*'0_Total'!CC$10/'0_Total'!$AO$10)</f>
        <v>0</v>
      </c>
      <c r="CD70" s="567">
        <f>IFERROR(VLOOKUP(CD$6,Tech_Specs_Infra!$A$20:$B$25,COLUMN(Tech_Specs_Infra!$B$19)-COLUMN(Tech_Specs_Infra!$A$19)+1,FALSE),0)/SUM(IFERROR(VLOOKUP(CD$6,Tech_Specs_Infra!$A$20:$B$25,COLUMN(Tech_Specs_Infra!$B$19)-COLUMN(Tech_Specs_Infra!$A$19)+1,FALSE),0),(1-IFERROR(VLOOKUP(CD$6,Tech_Specs_Infra!$A$20:$B$25,COLUMN(Tech_Specs_Infra!$B$19)-COLUMN(Tech_Specs_Infra!$A$19)+1,FALSE),0))*'0_Total'!CD$10/'0_Total'!$AO$10)</f>
        <v>0</v>
      </c>
      <c r="CE70" s="567">
        <f>IFERROR(VLOOKUP(CE$6,Tech_Specs_Infra!$A$20:$B$25,COLUMN(Tech_Specs_Infra!$B$19)-COLUMN(Tech_Specs_Infra!$A$19)+1,FALSE),0)/SUM(IFERROR(VLOOKUP(CE$6,Tech_Specs_Infra!$A$20:$B$25,COLUMN(Tech_Specs_Infra!$B$19)-COLUMN(Tech_Specs_Infra!$A$19)+1,FALSE),0),(1-IFERROR(VLOOKUP(CE$6,Tech_Specs_Infra!$A$20:$B$25,COLUMN(Tech_Specs_Infra!$B$19)-COLUMN(Tech_Specs_Infra!$A$19)+1,FALSE),0))*'0_Total'!CE$10/'0_Total'!$AO$10)</f>
        <v>0</v>
      </c>
      <c r="CF70" s="567">
        <f>IFERROR(VLOOKUP(CF$6,Tech_Specs_Infra!$A$20:$B$25,COLUMN(Tech_Specs_Infra!$B$19)-COLUMN(Tech_Specs_Infra!$A$19)+1,FALSE),0)/SUM(IFERROR(VLOOKUP(CF$6,Tech_Specs_Infra!$A$20:$B$25,COLUMN(Tech_Specs_Infra!$B$19)-COLUMN(Tech_Specs_Infra!$A$19)+1,FALSE),0),(1-IFERROR(VLOOKUP(CF$6,Tech_Specs_Infra!$A$20:$B$25,COLUMN(Tech_Specs_Infra!$B$19)-COLUMN(Tech_Specs_Infra!$A$19)+1,FALSE),0))*'0_Total'!CF$10/'0_Total'!$AO$10)</f>
        <v>0</v>
      </c>
      <c r="CG70" s="567">
        <f>IFERROR(VLOOKUP(CG$6,Tech_Specs_Infra!$A$20:$B$25,COLUMN(Tech_Specs_Infra!$B$19)-COLUMN(Tech_Specs_Infra!$A$19)+1,FALSE),0)/SUM(IFERROR(VLOOKUP(CG$6,Tech_Specs_Infra!$A$20:$B$25,COLUMN(Tech_Specs_Infra!$B$19)-COLUMN(Tech_Specs_Infra!$A$19)+1,FALSE),0),(1-IFERROR(VLOOKUP(CG$6,Tech_Specs_Infra!$A$20:$B$25,COLUMN(Tech_Specs_Infra!$B$19)-COLUMN(Tech_Specs_Infra!$A$19)+1,FALSE),0))*'0_Total'!CG$10/'0_Total'!$AO$10)</f>
        <v>0</v>
      </c>
      <c r="CH70" s="567">
        <f>IFERROR(VLOOKUP(CH$6,Tech_Specs_Infra!$A$20:$B$25,COLUMN(Tech_Specs_Infra!$B$19)-COLUMN(Tech_Specs_Infra!$A$19)+1,FALSE),0)/SUM(IFERROR(VLOOKUP(CH$6,Tech_Specs_Infra!$A$20:$B$25,COLUMN(Tech_Specs_Infra!$B$19)-COLUMN(Tech_Specs_Infra!$A$19)+1,FALSE),0),(1-IFERROR(VLOOKUP(CH$6,Tech_Specs_Infra!$A$20:$B$25,COLUMN(Tech_Specs_Infra!$B$19)-COLUMN(Tech_Specs_Infra!$A$19)+1,FALSE),0))*'0_Total'!CH$10/'0_Total'!$AO$10)</f>
        <v>0</v>
      </c>
      <c r="CI70" s="567">
        <f>IFERROR(VLOOKUP(CI$6,Tech_Specs_Infra!$A$20:$B$25,COLUMN(Tech_Specs_Infra!$B$19)-COLUMN(Tech_Specs_Infra!$A$19)+1,FALSE),0)/SUM(IFERROR(VLOOKUP(CI$6,Tech_Specs_Infra!$A$20:$B$25,COLUMN(Tech_Specs_Infra!$B$19)-COLUMN(Tech_Specs_Infra!$A$19)+1,FALSE),0),(1-IFERROR(VLOOKUP(CI$6,Tech_Specs_Infra!$A$20:$B$25,COLUMN(Tech_Specs_Infra!$B$19)-COLUMN(Tech_Specs_Infra!$A$19)+1,FALSE),0))*'0_Total'!CI$10/'0_Total'!$AO$10)</f>
        <v>0</v>
      </c>
      <c r="CJ70" s="567">
        <f>IFERROR(VLOOKUP(CJ$6,Tech_Specs_Infra!$A$20:$B$25,COLUMN(Tech_Specs_Infra!$B$19)-COLUMN(Tech_Specs_Infra!$A$19)+1,FALSE),0)/SUM(IFERROR(VLOOKUP(CJ$6,Tech_Specs_Infra!$A$20:$B$25,COLUMN(Tech_Specs_Infra!$B$19)-COLUMN(Tech_Specs_Infra!$A$19)+1,FALSE),0),(1-IFERROR(VLOOKUP(CJ$6,Tech_Specs_Infra!$A$20:$B$25,COLUMN(Tech_Specs_Infra!$B$19)-COLUMN(Tech_Specs_Infra!$A$19)+1,FALSE),0))*'0_Total'!CJ$10/'0_Total'!$AO$10)</f>
        <v>0</v>
      </c>
      <c r="CK70" s="567">
        <f>IFERROR(VLOOKUP(CK$6,Tech_Specs_Infra!$A$20:$B$25,COLUMN(Tech_Specs_Infra!$B$19)-COLUMN(Tech_Specs_Infra!$A$19)+1,FALSE),0)/SUM(IFERROR(VLOOKUP(CK$6,Tech_Specs_Infra!$A$20:$B$25,COLUMN(Tech_Specs_Infra!$B$19)-COLUMN(Tech_Specs_Infra!$A$19)+1,FALSE),0),(1-IFERROR(VLOOKUP(CK$6,Tech_Specs_Infra!$A$20:$B$25,COLUMN(Tech_Specs_Infra!$B$19)-COLUMN(Tech_Specs_Infra!$A$19)+1,FALSE),0))*'0_Total'!CK$10/'0_Total'!$AO$10)</f>
        <v>0</v>
      </c>
      <c r="CL70" s="567">
        <f>IFERROR(VLOOKUP(CL$6,Tech_Specs_Infra!$A$20:$B$25,COLUMN(Tech_Specs_Infra!$B$19)-COLUMN(Tech_Specs_Infra!$A$19)+1,FALSE),0)/SUM(IFERROR(VLOOKUP(CL$6,Tech_Specs_Infra!$A$20:$B$25,COLUMN(Tech_Specs_Infra!$B$19)-COLUMN(Tech_Specs_Infra!$A$19)+1,FALSE),0),(1-IFERROR(VLOOKUP(CL$6,Tech_Specs_Infra!$A$20:$B$25,COLUMN(Tech_Specs_Infra!$B$19)-COLUMN(Tech_Specs_Infra!$A$19)+1,FALSE),0))*'0_Total'!CL$10/'0_Total'!$AO$10)</f>
        <v>0</v>
      </c>
      <c r="CM70" s="567">
        <f>IFERROR(VLOOKUP(CM$6,Tech_Specs_Infra!$A$20:$B$25,COLUMN(Tech_Specs_Infra!$B$19)-COLUMN(Tech_Specs_Infra!$A$19)+1,FALSE),0)/SUM(IFERROR(VLOOKUP(CM$6,Tech_Specs_Infra!$A$20:$B$25,COLUMN(Tech_Specs_Infra!$B$19)-COLUMN(Tech_Specs_Infra!$A$19)+1,FALSE),0),(1-IFERROR(VLOOKUP(CM$6,Tech_Specs_Infra!$A$20:$B$25,COLUMN(Tech_Specs_Infra!$B$19)-COLUMN(Tech_Specs_Infra!$A$19)+1,FALSE),0))*'0_Total'!CM$10/'0_Total'!$AO$10)</f>
        <v>0</v>
      </c>
      <c r="CN70" s="567">
        <f>IFERROR(VLOOKUP(CN$6,Tech_Specs_Infra!$A$20:$B$25,COLUMN(Tech_Specs_Infra!$B$19)-COLUMN(Tech_Specs_Infra!$A$19)+1,FALSE),0)/SUM(IFERROR(VLOOKUP(CN$6,Tech_Specs_Infra!$A$20:$B$25,COLUMN(Tech_Specs_Infra!$B$19)-COLUMN(Tech_Specs_Infra!$A$19)+1,FALSE),0),(1-IFERROR(VLOOKUP(CN$6,Tech_Specs_Infra!$A$20:$B$25,COLUMN(Tech_Specs_Infra!$B$19)-COLUMN(Tech_Specs_Infra!$A$19)+1,FALSE),0))*'0_Total'!CN$10/'0_Total'!$AO$10)</f>
        <v>0</v>
      </c>
      <c r="CO70" s="567">
        <f>IFERROR(VLOOKUP(CO$6,Tech_Specs_Infra!$A$20:$B$25,COLUMN(Tech_Specs_Infra!$B$19)-COLUMN(Tech_Specs_Infra!$A$19)+1,FALSE),0)/SUM(IFERROR(VLOOKUP(CO$6,Tech_Specs_Infra!$A$20:$B$25,COLUMN(Tech_Specs_Infra!$B$19)-COLUMN(Tech_Specs_Infra!$A$19)+1,FALSE),0),(1-IFERROR(VLOOKUP(CO$6,Tech_Specs_Infra!$A$20:$B$25,COLUMN(Tech_Specs_Infra!$B$19)-COLUMN(Tech_Specs_Infra!$A$19)+1,FALSE),0))*'0_Total'!CO$10/'0_Total'!$AO$10)</f>
        <v>0</v>
      </c>
      <c r="CP70" s="567">
        <f>IFERROR(VLOOKUP(CP$6,Tech_Specs_Infra!$A$20:$B$25,COLUMN(Tech_Specs_Infra!$B$19)-COLUMN(Tech_Specs_Infra!$A$19)+1,FALSE),0)/SUM(IFERROR(VLOOKUP(CP$6,Tech_Specs_Infra!$A$20:$B$25,COLUMN(Tech_Specs_Infra!$B$19)-COLUMN(Tech_Specs_Infra!$A$19)+1,FALSE),0),(1-IFERROR(VLOOKUP(CP$6,Tech_Specs_Infra!$A$20:$B$25,COLUMN(Tech_Specs_Infra!$B$19)-COLUMN(Tech_Specs_Infra!$A$19)+1,FALSE),0))*'0_Total'!CP$10/'0_Total'!$AO$10)</f>
        <v>0</v>
      </c>
      <c r="CQ70" s="567">
        <f>IFERROR(VLOOKUP(CQ$6,Tech_Specs_Infra!$A$20:$B$25,COLUMN(Tech_Specs_Infra!$B$19)-COLUMN(Tech_Specs_Infra!$A$19)+1,FALSE),0)/SUM(IFERROR(VLOOKUP(CQ$6,Tech_Specs_Infra!$A$20:$B$25,COLUMN(Tech_Specs_Infra!$B$19)-COLUMN(Tech_Specs_Infra!$A$19)+1,FALSE),0),(1-IFERROR(VLOOKUP(CQ$6,Tech_Specs_Infra!$A$20:$B$25,COLUMN(Tech_Specs_Infra!$B$19)-COLUMN(Tech_Specs_Infra!$A$19)+1,FALSE),0))*'0_Total'!CQ$10/'0_Total'!$AO$10)</f>
        <v>0</v>
      </c>
      <c r="CR70" s="567">
        <f>IFERROR(VLOOKUP(CR$6,Tech_Specs_Infra!$A$20:$B$25,COLUMN(Tech_Specs_Infra!$B$19)-COLUMN(Tech_Specs_Infra!$A$19)+1,FALSE),0)/SUM(IFERROR(VLOOKUP(CR$6,Tech_Specs_Infra!$A$20:$B$25,COLUMN(Tech_Specs_Infra!$B$19)-COLUMN(Tech_Specs_Infra!$A$19)+1,FALSE),0),(1-IFERROR(VLOOKUP(CR$6,Tech_Specs_Infra!$A$20:$B$25,COLUMN(Tech_Specs_Infra!$B$19)-COLUMN(Tech_Specs_Infra!$A$19)+1,FALSE),0))*'0_Total'!CR$10/'0_Total'!$AO$10)</f>
        <v>0</v>
      </c>
      <c r="CS70" s="567">
        <f>IFERROR(VLOOKUP(CS$6,Tech_Specs_Infra!$A$20:$B$25,COLUMN(Tech_Specs_Infra!$B$19)-COLUMN(Tech_Specs_Infra!$A$19)+1,FALSE),0)/SUM(IFERROR(VLOOKUP(CS$6,Tech_Specs_Infra!$A$20:$B$25,COLUMN(Tech_Specs_Infra!$B$19)-COLUMN(Tech_Specs_Infra!$A$19)+1,FALSE),0),(1-IFERROR(VLOOKUP(CS$6,Tech_Specs_Infra!$A$20:$B$25,COLUMN(Tech_Specs_Infra!$B$19)-COLUMN(Tech_Specs_Infra!$A$19)+1,FALSE),0))*'0_Total'!CS$10/'0_Total'!$AO$10)</f>
        <v>0</v>
      </c>
      <c r="CT70" s="567">
        <f>IFERROR(VLOOKUP(CT$6,Tech_Specs_Infra!$A$20:$B$25,COLUMN(Tech_Specs_Infra!$B$19)-COLUMN(Tech_Specs_Infra!$A$19)+1,FALSE),0)/SUM(IFERROR(VLOOKUP(CT$6,Tech_Specs_Infra!$A$20:$B$25,COLUMN(Tech_Specs_Infra!$B$19)-COLUMN(Tech_Specs_Infra!$A$19)+1,FALSE),0),(1-IFERROR(VLOOKUP(CT$6,Tech_Specs_Infra!$A$20:$B$25,COLUMN(Tech_Specs_Infra!$B$19)-COLUMN(Tech_Specs_Infra!$A$19)+1,FALSE),0))*'0_Total'!CT$10/'0_Total'!$AO$10)</f>
        <v>0</v>
      </c>
      <c r="CU70" s="567">
        <f>IFERROR(VLOOKUP(CU$6,Tech_Specs_Infra!$A$20:$B$25,COLUMN(Tech_Specs_Infra!$B$19)-COLUMN(Tech_Specs_Infra!$A$19)+1,FALSE),0)/SUM(IFERROR(VLOOKUP(CU$6,Tech_Specs_Infra!$A$20:$B$25,COLUMN(Tech_Specs_Infra!$B$19)-COLUMN(Tech_Specs_Infra!$A$19)+1,FALSE),0),(1-IFERROR(VLOOKUP(CU$6,Tech_Specs_Infra!$A$20:$B$25,COLUMN(Tech_Specs_Infra!$B$19)-COLUMN(Tech_Specs_Infra!$A$19)+1,FALSE),0))*'0_Total'!CU$10/'0_Total'!$AO$10)</f>
        <v>0</v>
      </c>
      <c r="CV70" s="567">
        <f>IFERROR(VLOOKUP(CV$6,Tech_Specs_Infra!$A$20:$B$25,COLUMN(Tech_Specs_Infra!$B$19)-COLUMN(Tech_Specs_Infra!$A$19)+1,FALSE),0)/SUM(IFERROR(VLOOKUP(CV$6,Tech_Specs_Infra!$A$20:$B$25,COLUMN(Tech_Specs_Infra!$B$19)-COLUMN(Tech_Specs_Infra!$A$19)+1,FALSE),0),(1-IFERROR(VLOOKUP(CV$6,Tech_Specs_Infra!$A$20:$B$25,COLUMN(Tech_Specs_Infra!$B$19)-COLUMN(Tech_Specs_Infra!$A$19)+1,FALSE),0))*'0_Total'!CV$10/'0_Total'!$AO$10)</f>
        <v>0</v>
      </c>
      <c r="CW70" s="567">
        <f>IFERROR(VLOOKUP(CW$6,Tech_Specs_Infra!$A$20:$B$25,COLUMN(Tech_Specs_Infra!$B$19)-COLUMN(Tech_Specs_Infra!$A$19)+1,FALSE),0)/SUM(IFERROR(VLOOKUP(CW$6,Tech_Specs_Infra!$A$20:$B$25,COLUMN(Tech_Specs_Infra!$B$19)-COLUMN(Tech_Specs_Infra!$A$19)+1,FALSE),0),(1-IFERROR(VLOOKUP(CW$6,Tech_Specs_Infra!$A$20:$B$25,COLUMN(Tech_Specs_Infra!$B$19)-COLUMN(Tech_Specs_Infra!$A$19)+1,FALSE),0))*'0_Total'!CW$10/'0_Total'!$AO$10)</f>
        <v>0</v>
      </c>
      <c r="CX70" s="567">
        <f>IFERROR(VLOOKUP(CX$6,Tech_Specs_Infra!$A$20:$B$25,COLUMN(Tech_Specs_Infra!$B$19)-COLUMN(Tech_Specs_Infra!$A$19)+1,FALSE),0)/SUM(IFERROR(VLOOKUP(CX$6,Tech_Specs_Infra!$A$20:$B$25,COLUMN(Tech_Specs_Infra!$B$19)-COLUMN(Tech_Specs_Infra!$A$19)+1,FALSE),0),(1-IFERROR(VLOOKUP(CX$6,Tech_Specs_Infra!$A$20:$B$25,COLUMN(Tech_Specs_Infra!$B$19)-COLUMN(Tech_Specs_Infra!$A$19)+1,FALSE),0))*'0_Total'!CX$10/'0_Total'!$AO$10)</f>
        <v>0</v>
      </c>
      <c r="CY70" s="567">
        <f>IFERROR(VLOOKUP(CY$6,Tech_Specs_Infra!$A$20:$B$25,COLUMN(Tech_Specs_Infra!$B$19)-COLUMN(Tech_Specs_Infra!$A$19)+1,FALSE),0)/SUM(IFERROR(VLOOKUP(CY$6,Tech_Specs_Infra!$A$20:$B$25,COLUMN(Tech_Specs_Infra!$B$19)-COLUMN(Tech_Specs_Infra!$A$19)+1,FALSE),0),(1-IFERROR(VLOOKUP(CY$6,Tech_Specs_Infra!$A$20:$B$25,COLUMN(Tech_Specs_Infra!$B$19)-COLUMN(Tech_Specs_Infra!$A$19)+1,FALSE),0))*'0_Total'!CY$10/'0_Total'!$AO$10)</f>
        <v>0</v>
      </c>
      <c r="CZ70" s="567">
        <f>IFERROR(VLOOKUP(CZ$6,Tech_Specs_Infra!$A$20:$B$25,COLUMN(Tech_Specs_Infra!$B$19)-COLUMN(Tech_Specs_Infra!$A$19)+1,FALSE),0)/SUM(IFERROR(VLOOKUP(CZ$6,Tech_Specs_Infra!$A$20:$B$25,COLUMN(Tech_Specs_Infra!$B$19)-COLUMN(Tech_Specs_Infra!$A$19)+1,FALSE),0),(1-IFERROR(VLOOKUP(CZ$6,Tech_Specs_Infra!$A$20:$B$25,COLUMN(Tech_Specs_Infra!$B$19)-COLUMN(Tech_Specs_Infra!$A$19)+1,FALSE),0))*'0_Total'!CZ$10/'0_Total'!$AO$10)</f>
        <v>0</v>
      </c>
      <c r="DA70" s="567">
        <f>IFERROR(VLOOKUP(DA$6,Tech_Specs_Infra!$A$20:$B$25,COLUMN(Tech_Specs_Infra!$B$19)-COLUMN(Tech_Specs_Infra!$A$19)+1,FALSE),0)/SUM(IFERROR(VLOOKUP(DA$6,Tech_Specs_Infra!$A$20:$B$25,COLUMN(Tech_Specs_Infra!$B$19)-COLUMN(Tech_Specs_Infra!$A$19)+1,FALSE),0),(1-IFERROR(VLOOKUP(DA$6,Tech_Specs_Infra!$A$20:$B$25,COLUMN(Tech_Specs_Infra!$B$19)-COLUMN(Tech_Specs_Infra!$A$19)+1,FALSE),0))*'0_Total'!DA$10/'0_Total'!$AO$10)</f>
        <v>0</v>
      </c>
      <c r="DB70" s="567">
        <f>IFERROR(VLOOKUP(DB$6,Tech_Specs_Infra!$A$20:$B$25,COLUMN(Tech_Specs_Infra!$B$19)-COLUMN(Tech_Specs_Infra!$A$19)+1,FALSE),0)/SUM(IFERROR(VLOOKUP(DB$6,Tech_Specs_Infra!$A$20:$B$25,COLUMN(Tech_Specs_Infra!$B$19)-COLUMN(Tech_Specs_Infra!$A$19)+1,FALSE),0),(1-IFERROR(VLOOKUP(DB$6,Tech_Specs_Infra!$A$20:$B$25,COLUMN(Tech_Specs_Infra!$B$19)-COLUMN(Tech_Specs_Infra!$A$19)+1,FALSE),0))*'0_Total'!DB$10/'0_Total'!$AO$10)</f>
        <v>0</v>
      </c>
      <c r="DC70" s="567">
        <f>IFERROR(VLOOKUP(DC$6,Tech_Specs_Infra!$A$20:$B$25,COLUMN(Tech_Specs_Infra!$B$19)-COLUMN(Tech_Specs_Infra!$A$19)+1,FALSE),0)/SUM(IFERROR(VLOOKUP(DC$6,Tech_Specs_Infra!$A$20:$B$25,COLUMN(Tech_Specs_Infra!$B$19)-COLUMN(Tech_Specs_Infra!$A$19)+1,FALSE),0),(1-IFERROR(VLOOKUP(DC$6,Tech_Specs_Infra!$A$20:$B$25,COLUMN(Tech_Specs_Infra!$B$19)-COLUMN(Tech_Specs_Infra!$A$19)+1,FALSE),0))*'0_Total'!DC$10/'0_Total'!$AO$10)</f>
        <v>0</v>
      </c>
      <c r="DD70" s="567">
        <f>IFERROR(VLOOKUP(DD$6,Tech_Specs_Infra!$A$20:$B$25,COLUMN(Tech_Specs_Infra!$B$19)-COLUMN(Tech_Specs_Infra!$A$19)+1,FALSE),0)/SUM(IFERROR(VLOOKUP(DD$6,Tech_Specs_Infra!$A$20:$B$25,COLUMN(Tech_Specs_Infra!$B$19)-COLUMN(Tech_Specs_Infra!$A$19)+1,FALSE),0),(1-IFERROR(VLOOKUP(DD$6,Tech_Specs_Infra!$A$20:$B$25,COLUMN(Tech_Specs_Infra!$B$19)-COLUMN(Tech_Specs_Infra!$A$19)+1,FALSE),0))*'0_Total'!DD$10/'0_Total'!$AO$10)</f>
        <v>0</v>
      </c>
      <c r="DE70" s="567">
        <f>IFERROR(VLOOKUP(DE$6,Tech_Specs_Infra!$A$20:$B$25,COLUMN(Tech_Specs_Infra!$B$19)-COLUMN(Tech_Specs_Infra!$A$19)+1,FALSE),0)/SUM(IFERROR(VLOOKUP(DE$6,Tech_Specs_Infra!$A$20:$B$25,COLUMN(Tech_Specs_Infra!$B$19)-COLUMN(Tech_Specs_Infra!$A$19)+1,FALSE),0),(1-IFERROR(VLOOKUP(DE$6,Tech_Specs_Infra!$A$20:$B$25,COLUMN(Tech_Specs_Infra!$B$19)-COLUMN(Tech_Specs_Infra!$A$19)+1,FALSE),0))*'0_Total'!DE$10/'0_Total'!$AO$10)</f>
        <v>0</v>
      </c>
      <c r="DF70" s="567">
        <f>IFERROR(VLOOKUP(DF$6,Tech_Specs_Infra!$A$20:$B$25,COLUMN(Tech_Specs_Infra!$B$19)-COLUMN(Tech_Specs_Infra!$A$19)+1,FALSE),0)/SUM(IFERROR(VLOOKUP(DF$6,Tech_Specs_Infra!$A$20:$B$25,COLUMN(Tech_Specs_Infra!$B$19)-COLUMN(Tech_Specs_Infra!$A$19)+1,FALSE),0),(1-IFERROR(VLOOKUP(DF$6,Tech_Specs_Infra!$A$20:$B$25,COLUMN(Tech_Specs_Infra!$B$19)-COLUMN(Tech_Specs_Infra!$A$19)+1,FALSE),0))*'0_Total'!DF$10/'0_Total'!$AO$10)</f>
        <v>0</v>
      </c>
      <c r="DG70" s="266"/>
      <c r="DH70" s="567">
        <f>IFERROR(VLOOKUP(DH$6,Tech_Specs_Infra!$A$20:$B$25,COLUMN(Tech_Specs_Infra!$B$19)-COLUMN(Tech_Specs_Infra!$A$19)+1,FALSE),0)/SUM(IFERROR(VLOOKUP(DH$6,Tech_Specs_Infra!$A$20:$B$25,COLUMN(Tech_Specs_Infra!$B$19)-COLUMN(Tech_Specs_Infra!$A$19)+1,FALSE),0),(1-IFERROR(VLOOKUP(DH$6,Tech_Specs_Infra!$A$20:$B$25,COLUMN(Tech_Specs_Infra!$B$19)-COLUMN(Tech_Specs_Infra!$A$19)+1,FALSE),0))*'0_Total'!DH$10/'0_Total'!$AO$10)</f>
        <v>0</v>
      </c>
      <c r="DI70" s="567">
        <f>IFERROR(VLOOKUP(DI$6,Tech_Specs_Infra!$A$20:$B$25,COLUMN(Tech_Specs_Infra!$B$19)-COLUMN(Tech_Specs_Infra!$A$19)+1,FALSE),0)/SUM(IFERROR(VLOOKUP(DI$6,Tech_Specs_Infra!$A$20:$B$25,COLUMN(Tech_Specs_Infra!$B$19)-COLUMN(Tech_Specs_Infra!$A$19)+1,FALSE),0),(1-IFERROR(VLOOKUP(DI$6,Tech_Specs_Infra!$A$20:$B$25,COLUMN(Tech_Specs_Infra!$B$19)-COLUMN(Tech_Specs_Infra!$A$19)+1,FALSE),0))*'0_Total'!DI$10/'0_Total'!$AO$10)</f>
        <v>0</v>
      </c>
      <c r="DJ70" s="567">
        <f>IFERROR(VLOOKUP(DJ$6,Tech_Specs_Infra!$A$20:$B$25,COLUMN(Tech_Specs_Infra!$B$19)-COLUMN(Tech_Specs_Infra!$A$19)+1,FALSE),0)/SUM(IFERROR(VLOOKUP(DJ$6,Tech_Specs_Infra!$A$20:$B$25,COLUMN(Tech_Specs_Infra!$B$19)-COLUMN(Tech_Specs_Infra!$A$19)+1,FALSE),0),(1-IFERROR(VLOOKUP(DJ$6,Tech_Specs_Infra!$A$20:$B$25,COLUMN(Tech_Specs_Infra!$B$19)-COLUMN(Tech_Specs_Infra!$A$19)+1,FALSE),0))*'0_Total'!DJ$10/'0_Total'!$AO$10)</f>
        <v>0</v>
      </c>
      <c r="DK70" s="567">
        <f>IFERROR(VLOOKUP(DK$6,Tech_Specs_Infra!$A$20:$B$25,COLUMN(Tech_Specs_Infra!$B$19)-COLUMN(Tech_Specs_Infra!$A$19)+1,FALSE),0)/SUM(IFERROR(VLOOKUP(DK$6,Tech_Specs_Infra!$A$20:$B$25,COLUMN(Tech_Specs_Infra!$B$19)-COLUMN(Tech_Specs_Infra!$A$19)+1,FALSE),0),(1-IFERROR(VLOOKUP(DK$6,Tech_Specs_Infra!$A$20:$B$25,COLUMN(Tech_Specs_Infra!$B$19)-COLUMN(Tech_Specs_Infra!$A$19)+1,FALSE),0))*'0_Total'!DK$10/'0_Total'!$AO$10)</f>
        <v>0.22620817813797597</v>
      </c>
      <c r="DL70" s="567">
        <f>IFERROR(VLOOKUP(DL$6,Tech_Specs_Infra!$A$20:$B$25,COLUMN(Tech_Specs_Infra!$B$19)-COLUMN(Tech_Specs_Infra!$A$19)+1,FALSE),0)/SUM(IFERROR(VLOOKUP(DL$6,Tech_Specs_Infra!$A$20:$B$25,COLUMN(Tech_Specs_Infra!$B$19)-COLUMN(Tech_Specs_Infra!$A$19)+1,FALSE),0),(1-IFERROR(VLOOKUP(DL$6,Tech_Specs_Infra!$A$20:$B$25,COLUMN(Tech_Specs_Infra!$B$19)-COLUMN(Tech_Specs_Infra!$A$19)+1,FALSE),0))*'0_Total'!DL$10/'0_Total'!$AO$10)</f>
        <v>0.22620817813797597</v>
      </c>
      <c r="DM70" s="567">
        <f>IFERROR(VLOOKUP(DM$6,Tech_Specs_Infra!$A$20:$B$25,COLUMN(Tech_Specs_Infra!$B$19)-COLUMN(Tech_Specs_Infra!$A$19)+1,FALSE),0)/SUM(IFERROR(VLOOKUP(DM$6,Tech_Specs_Infra!$A$20:$B$25,COLUMN(Tech_Specs_Infra!$B$19)-COLUMN(Tech_Specs_Infra!$A$19)+1,FALSE),0),(1-IFERROR(VLOOKUP(DM$6,Tech_Specs_Infra!$A$20:$B$25,COLUMN(Tech_Specs_Infra!$B$19)-COLUMN(Tech_Specs_Infra!$A$19)+1,FALSE),0))*'0_Total'!DM$10/'0_Total'!$AO$10)</f>
        <v>0.22620817813797597</v>
      </c>
      <c r="DN70" s="567">
        <f>IFERROR(VLOOKUP(DN$6,Tech_Specs_Infra!$A$20:$B$25,COLUMN(Tech_Specs_Infra!$B$19)-COLUMN(Tech_Specs_Infra!$A$19)+1,FALSE),0)/SUM(IFERROR(VLOOKUP(DN$6,Tech_Specs_Infra!$A$20:$B$25,COLUMN(Tech_Specs_Infra!$B$19)-COLUMN(Tech_Specs_Infra!$A$19)+1,FALSE),0),(1-IFERROR(VLOOKUP(DN$6,Tech_Specs_Infra!$A$20:$B$25,COLUMN(Tech_Specs_Infra!$B$19)-COLUMN(Tech_Specs_Infra!$A$19)+1,FALSE),0))*'0_Total'!DN$10/'0_Total'!$AO$10)</f>
        <v>0.22620817813797597</v>
      </c>
      <c r="DO70" s="567">
        <f>IFERROR(VLOOKUP(DO$6,Tech_Specs_Infra!$A$20:$B$25,COLUMN(Tech_Specs_Infra!$B$19)-COLUMN(Tech_Specs_Infra!$A$19)+1,FALSE),0)/SUM(IFERROR(VLOOKUP(DO$6,Tech_Specs_Infra!$A$20:$B$25,COLUMN(Tech_Specs_Infra!$B$19)-COLUMN(Tech_Specs_Infra!$A$19)+1,FALSE),0),(1-IFERROR(VLOOKUP(DO$6,Tech_Specs_Infra!$A$20:$B$25,COLUMN(Tech_Specs_Infra!$B$19)-COLUMN(Tech_Specs_Infra!$A$19)+1,FALSE),0))*'0_Total'!DO$10/'0_Total'!$AO$10)</f>
        <v>0.22620817813797597</v>
      </c>
      <c r="DP70" s="567">
        <f>IFERROR(VLOOKUP(DP$6,Tech_Specs_Infra!$A$20:$B$25,COLUMN(Tech_Specs_Infra!$B$19)-COLUMN(Tech_Specs_Infra!$A$19)+1,FALSE),0)/SUM(IFERROR(VLOOKUP(DP$6,Tech_Specs_Infra!$A$20:$B$25,COLUMN(Tech_Specs_Infra!$B$19)-COLUMN(Tech_Specs_Infra!$A$19)+1,FALSE),0),(1-IFERROR(VLOOKUP(DP$6,Tech_Specs_Infra!$A$20:$B$25,COLUMN(Tech_Specs_Infra!$B$19)-COLUMN(Tech_Specs_Infra!$A$19)+1,FALSE),0))*'0_Total'!DP$10/'0_Total'!$AO$10)</f>
        <v>0.22620817813797597</v>
      </c>
      <c r="DQ70" s="567">
        <f>IFERROR(VLOOKUP(DQ$6,Tech_Specs_Infra!$A$20:$B$25,COLUMN(Tech_Specs_Infra!$B$19)-COLUMN(Tech_Specs_Infra!$A$19)+1,FALSE),0)/SUM(IFERROR(VLOOKUP(DQ$6,Tech_Specs_Infra!$A$20:$B$25,COLUMN(Tech_Specs_Infra!$B$19)-COLUMN(Tech_Specs_Infra!$A$19)+1,FALSE),0),(1-IFERROR(VLOOKUP(DQ$6,Tech_Specs_Infra!$A$20:$B$25,COLUMN(Tech_Specs_Infra!$B$19)-COLUMN(Tech_Specs_Infra!$A$19)+1,FALSE),0))*'0_Total'!DQ$10/'0_Total'!$AO$10)</f>
        <v>0.22620817813797597</v>
      </c>
      <c r="DR70" s="567">
        <f>IFERROR(VLOOKUP(DR$6,Tech_Specs_Infra!$A$20:$B$25,COLUMN(Tech_Specs_Infra!$B$19)-COLUMN(Tech_Specs_Infra!$A$19)+1,FALSE),0)/SUM(IFERROR(VLOOKUP(DR$6,Tech_Specs_Infra!$A$20:$B$25,COLUMN(Tech_Specs_Infra!$B$19)-COLUMN(Tech_Specs_Infra!$A$19)+1,FALSE),0),(1-IFERROR(VLOOKUP(DR$6,Tech_Specs_Infra!$A$20:$B$25,COLUMN(Tech_Specs_Infra!$B$19)-COLUMN(Tech_Specs_Infra!$A$19)+1,FALSE),0))*'0_Total'!DR$10/'0_Total'!$AO$10)</f>
        <v>0.22907206418338885</v>
      </c>
      <c r="DS70" s="567">
        <f>IFERROR(VLOOKUP(DS$6,Tech_Specs_Infra!$A$20:$B$25,COLUMN(Tech_Specs_Infra!$B$19)-COLUMN(Tech_Specs_Infra!$A$19)+1,FALSE),0)/SUM(IFERROR(VLOOKUP(DS$6,Tech_Specs_Infra!$A$20:$B$25,COLUMN(Tech_Specs_Infra!$B$19)-COLUMN(Tech_Specs_Infra!$A$19)+1,FALSE),0),(1-IFERROR(VLOOKUP(DS$6,Tech_Specs_Infra!$A$20:$B$25,COLUMN(Tech_Specs_Infra!$B$19)-COLUMN(Tech_Specs_Infra!$A$19)+1,FALSE),0))*'0_Total'!DS$10/'0_Total'!$AO$10)</f>
        <v>0.2075429109021151</v>
      </c>
      <c r="DT70" s="567">
        <f>IFERROR(VLOOKUP(DT$6,Tech_Specs_Infra!$A$20:$B$25,COLUMN(Tech_Specs_Infra!$B$19)-COLUMN(Tech_Specs_Infra!$A$19)+1,FALSE),0)/SUM(IFERROR(VLOOKUP(DT$6,Tech_Specs_Infra!$A$20:$B$25,COLUMN(Tech_Specs_Infra!$B$19)-COLUMN(Tech_Specs_Infra!$A$19)+1,FALSE),0),(1-IFERROR(VLOOKUP(DT$6,Tech_Specs_Infra!$A$20:$B$25,COLUMN(Tech_Specs_Infra!$B$19)-COLUMN(Tech_Specs_Infra!$A$19)+1,FALSE),0))*'0_Total'!DT$10/'0_Total'!$AO$10)</f>
        <v>0.2075429109021151</v>
      </c>
      <c r="DU70" s="567">
        <f>IFERROR(VLOOKUP(DU$6,Tech_Specs_Infra!$A$20:$B$25,COLUMN(Tech_Specs_Infra!$B$19)-COLUMN(Tech_Specs_Infra!$A$19)+1,FALSE),0)/SUM(IFERROR(VLOOKUP(DU$6,Tech_Specs_Infra!$A$20:$B$25,COLUMN(Tech_Specs_Infra!$B$19)-COLUMN(Tech_Specs_Infra!$A$19)+1,FALSE),0),(1-IFERROR(VLOOKUP(DU$6,Tech_Specs_Infra!$A$20:$B$25,COLUMN(Tech_Specs_Infra!$B$19)-COLUMN(Tech_Specs_Infra!$A$19)+1,FALSE),0))*'0_Total'!DU$10/'0_Total'!$AO$10)</f>
        <v>0.2075429109021151</v>
      </c>
      <c r="DV70" s="567">
        <f>IFERROR(VLOOKUP(DV$6,Tech_Specs_Infra!$A$20:$B$25,COLUMN(Tech_Specs_Infra!$B$19)-COLUMN(Tech_Specs_Infra!$A$19)+1,FALSE),0)/SUM(IFERROR(VLOOKUP(DV$6,Tech_Specs_Infra!$A$20:$B$25,COLUMN(Tech_Specs_Infra!$B$19)-COLUMN(Tech_Specs_Infra!$A$19)+1,FALSE),0),(1-IFERROR(VLOOKUP(DV$6,Tech_Specs_Infra!$A$20:$B$25,COLUMN(Tech_Specs_Infra!$B$19)-COLUMN(Tech_Specs_Infra!$A$19)+1,FALSE),0))*'0_Total'!DV$10/'0_Total'!$AO$10)</f>
        <v>0.20058905641100355</v>
      </c>
      <c r="DW70" s="567">
        <f>IFERROR(VLOOKUP(DW$6,Tech_Specs_Infra!$A$20:$B$25,COLUMN(Tech_Specs_Infra!$B$19)-COLUMN(Tech_Specs_Infra!$A$19)+1,FALSE),0)/SUM(IFERROR(VLOOKUP(DW$6,Tech_Specs_Infra!$A$20:$B$25,COLUMN(Tech_Specs_Infra!$B$19)-COLUMN(Tech_Specs_Infra!$A$19)+1,FALSE),0),(1-IFERROR(VLOOKUP(DW$6,Tech_Specs_Infra!$A$20:$B$25,COLUMN(Tech_Specs_Infra!$B$19)-COLUMN(Tech_Specs_Infra!$A$19)+1,FALSE),0))*'0_Total'!DW$10/'0_Total'!$AO$10)</f>
        <v>0.20058905641100355</v>
      </c>
      <c r="DX70" s="266">
        <f>IFERROR(VLOOKUP(DX$6,Tech_Specs_Infra!$A$20:$B$25,COLUMN(Tech_Specs_Infra!$B$19)-COLUMN(Tech_Specs_Infra!$A$19)+1,FALSE),0)</f>
        <v>0</v>
      </c>
      <c r="DY70" s="266">
        <f>IFERROR(VLOOKUP(DY$6,Tech_Specs_Infra!$A$20:$B$25,COLUMN(Tech_Specs_Infra!$B$19)-COLUMN(Tech_Specs_Infra!$A$19)+1,FALSE),0)</f>
        <v>0</v>
      </c>
      <c r="DZ70" s="266">
        <f>IFERROR(VLOOKUP(DZ$6,Tech_Specs_Infra!$A$20:$B$25,COLUMN(Tech_Specs_Infra!$B$19)-COLUMN(Tech_Specs_Infra!$A$19)+1,FALSE),0)</f>
        <v>0</v>
      </c>
      <c r="EA70" s="266">
        <f>IFERROR(VLOOKUP(EA$6,Tech_Specs_Infra!$A$20:$B$25,COLUMN(Tech_Specs_Infra!$B$19)-COLUMN(Tech_Specs_Infra!$A$19)+1,FALSE),0)</f>
        <v>0</v>
      </c>
      <c r="EB70" s="266">
        <f>IFERROR(VLOOKUP(EB$6,Tech_Specs_Infra!$A$20:$B$25,COLUMN(Tech_Specs_Infra!$B$19)-COLUMN(Tech_Specs_Infra!$A$19)+1,FALSE),0)</f>
        <v>0</v>
      </c>
      <c r="EC70" s="266">
        <f>IFERROR(VLOOKUP(EC$6,Tech_Specs_Infra!$A$20:$B$25,COLUMN(Tech_Specs_Infra!$B$19)-COLUMN(Tech_Specs_Infra!$A$19)+1,FALSE),0)</f>
        <v>0</v>
      </c>
      <c r="ED70" s="266">
        <f>IFERROR(VLOOKUP(ED$6,Tech_Specs_Infra!$A$20:$B$25,COLUMN(Tech_Specs_Infra!$B$19)-COLUMN(Tech_Specs_Infra!$A$19)+1,FALSE),0)</f>
        <v>0</v>
      </c>
      <c r="EG70" s="262" t="s">
        <v>912</v>
      </c>
    </row>
    <row r="71" spans="1:137" x14ac:dyDescent="0.3">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row>
    <row r="72" spans="1:137" x14ac:dyDescent="0.3">
      <c r="A72" s="21" t="s">
        <v>820</v>
      </c>
      <c r="B72" s="21" t="str">
        <f>B64</f>
        <v>[kg CO2/km of one-way lane or track]</v>
      </c>
    </row>
    <row r="73" spans="1:137" x14ac:dyDescent="0.3">
      <c r="A73" s="21" t="str">
        <f>A50</f>
        <v xml:space="preserve">   Infrastructure 1</v>
      </c>
      <c r="D73" s="21">
        <f>IFERROR(D65/D69,0)</f>
        <v>39112.175543693404</v>
      </c>
      <c r="E73" s="21">
        <f t="shared" ref="E73:AX73" si="166">IFERROR(E65/E69,0)</f>
        <v>39147.053744317862</v>
      </c>
      <c r="F73" s="21">
        <f t="shared" si="166"/>
        <v>39112.175543693404</v>
      </c>
      <c r="G73" s="21">
        <f t="shared" si="166"/>
        <v>39112.175543693404</v>
      </c>
      <c r="H73" s="21">
        <f t="shared" si="166"/>
        <v>39112.175543693404</v>
      </c>
      <c r="I73" s="21">
        <f t="shared" ref="I73" si="167">IFERROR(I65/I69,0)</f>
        <v>39112.175543693404</v>
      </c>
      <c r="J73" s="21">
        <f t="shared" si="166"/>
        <v>39112.175543693404</v>
      </c>
      <c r="K73" s="21">
        <f t="shared" si="166"/>
        <v>39112.175543693404</v>
      </c>
      <c r="L73" s="21">
        <f t="shared" si="166"/>
        <v>39112.175543693404</v>
      </c>
      <c r="M73" s="21">
        <f t="shared" si="166"/>
        <v>39112.175543693404</v>
      </c>
      <c r="N73" s="21">
        <f t="shared" si="166"/>
        <v>39112.175543693404</v>
      </c>
      <c r="O73" s="21">
        <f t="shared" si="166"/>
        <v>39112.175543693404</v>
      </c>
      <c r="P73" s="21">
        <f t="shared" si="166"/>
        <v>39112.175543693404</v>
      </c>
      <c r="Q73" s="21">
        <f t="shared" si="166"/>
        <v>39112.175543693404</v>
      </c>
      <c r="R73" s="21">
        <f t="shared" si="166"/>
        <v>39112.175543693404</v>
      </c>
      <c r="S73" s="21">
        <f t="shared" si="166"/>
        <v>39147.053744317862</v>
      </c>
      <c r="T73" s="21">
        <f t="shared" si="166"/>
        <v>39112.175543693404</v>
      </c>
      <c r="U73" s="21">
        <f t="shared" si="166"/>
        <v>39112.175543693404</v>
      </c>
      <c r="V73" s="21">
        <f t="shared" si="166"/>
        <v>39112.175543693404</v>
      </c>
      <c r="W73" s="21">
        <f t="shared" si="166"/>
        <v>39112.175543693404</v>
      </c>
      <c r="X73" s="21">
        <f t="shared" ref="X73:Y73" si="168">IFERROR(X65/X69,0)</f>
        <v>39288.532528159623</v>
      </c>
      <c r="Y73" s="21">
        <f t="shared" si="168"/>
        <v>39288.532528159623</v>
      </c>
      <c r="Z73" s="21">
        <f t="shared" si="166"/>
        <v>39288.532528159623</v>
      </c>
      <c r="AA73" s="21">
        <f t="shared" ref="AA73" si="169">IFERROR(AA65/AA69,0)</f>
        <v>39288.532528159623</v>
      </c>
      <c r="AB73" s="21">
        <f t="shared" ref="AB73:AC73" si="170">IFERROR(AB65/AB69,0)</f>
        <v>39288.532528159623</v>
      </c>
      <c r="AC73" s="21">
        <f t="shared" si="170"/>
        <v>39288.532528159623</v>
      </c>
      <c r="AD73" s="21">
        <f t="shared" ref="AD73" si="171">IFERROR(AD65/AD69,0)</f>
        <v>39288.532528159623</v>
      </c>
      <c r="AE73" s="21">
        <f t="shared" ref="AE73" si="172">IFERROR(AE65/AE69,0)</f>
        <v>39288.532528159623</v>
      </c>
      <c r="AF73" s="21">
        <f t="shared" si="166"/>
        <v>39112.175543693404</v>
      </c>
      <c r="AG73" s="21">
        <f t="shared" si="166"/>
        <v>39237.352281368221</v>
      </c>
      <c r="AH73" s="21">
        <f t="shared" si="166"/>
        <v>39271.347233578286</v>
      </c>
      <c r="AI73" s="21">
        <f t="shared" si="166"/>
        <v>39314.135428610425</v>
      </c>
      <c r="AJ73" s="21">
        <f t="shared" si="166"/>
        <v>39367.984149291908</v>
      </c>
      <c r="AK73" s="21">
        <f t="shared" si="166"/>
        <v>379660.67685852991</v>
      </c>
      <c r="AL73" s="21">
        <f t="shared" si="166"/>
        <v>378312.02417533461</v>
      </c>
      <c r="AM73" s="21">
        <f t="shared" si="166"/>
        <v>379660.67685852991</v>
      </c>
      <c r="AN73" s="21">
        <f t="shared" si="166"/>
        <v>378312.02417533461</v>
      </c>
      <c r="AO73" s="21">
        <f t="shared" si="166"/>
        <v>623563.50971123716</v>
      </c>
      <c r="AP73" s="21">
        <f t="shared" si="166"/>
        <v>635580.047969835</v>
      </c>
      <c r="AQ73" s="21">
        <f t="shared" si="166"/>
        <v>646582.89737465209</v>
      </c>
      <c r="AR73" s="21">
        <f t="shared" si="166"/>
        <v>609604.32353113079</v>
      </c>
      <c r="AS73" s="21">
        <f t="shared" si="166"/>
        <v>609604.32353113079</v>
      </c>
      <c r="AT73" s="21">
        <f t="shared" si="166"/>
        <v>609604.32353113079</v>
      </c>
      <c r="AU73" s="21">
        <f t="shared" si="166"/>
        <v>609604.32353113079</v>
      </c>
      <c r="AV73" s="21">
        <f t="shared" si="166"/>
        <v>609604.32353113079</v>
      </c>
      <c r="AW73" s="21">
        <f t="shared" si="166"/>
        <v>609604.32353113079</v>
      </c>
      <c r="AX73" s="21">
        <f t="shared" si="166"/>
        <v>609604.32353113079</v>
      </c>
      <c r="AY73" s="21">
        <f t="shared" ref="AY73:BH74" si="173">IFERROR(AY65/AY69,0)</f>
        <v>648939.51015335252</v>
      </c>
      <c r="AZ73" s="21">
        <f t="shared" si="173"/>
        <v>648939.51015335252</v>
      </c>
      <c r="BA73" s="21">
        <f t="shared" si="173"/>
        <v>648939.51015335252</v>
      </c>
      <c r="BB73" s="21">
        <f t="shared" si="173"/>
        <v>648939.51015335252</v>
      </c>
      <c r="BC73" s="21">
        <f t="shared" ref="BC73:BE74" si="174">IFERROR(BC65/BC69,0)</f>
        <v>549287.4566526874</v>
      </c>
      <c r="BD73" s="21">
        <f t="shared" si="174"/>
        <v>549287.4566526874</v>
      </c>
      <c r="BE73" s="21">
        <f t="shared" si="174"/>
        <v>549287.4566526874</v>
      </c>
      <c r="BF73" s="21">
        <f t="shared" si="173"/>
        <v>549287.4566526874</v>
      </c>
      <c r="BG73" s="21">
        <f t="shared" si="173"/>
        <v>549287.4566526874</v>
      </c>
      <c r="BH73" s="21">
        <f t="shared" si="173"/>
        <v>549287.4566526874</v>
      </c>
      <c r="BI73" s="21">
        <f t="shared" ref="BI73:BU73" si="175">IFERROR(BI65/BI69,0)</f>
        <v>549287.4566526874</v>
      </c>
      <c r="BJ73" s="21">
        <f t="shared" si="175"/>
        <v>559872.63945289899</v>
      </c>
      <c r="BK73" s="21">
        <f t="shared" si="175"/>
        <v>569564.87941142905</v>
      </c>
      <c r="BL73" s="21">
        <f t="shared" si="175"/>
        <v>536991.02532789309</v>
      </c>
      <c r="BM73" s="21">
        <f t="shared" si="175"/>
        <v>536991.02532789309</v>
      </c>
      <c r="BN73" s="21">
        <f t="shared" si="175"/>
        <v>536991.02532789309</v>
      </c>
      <c r="BO73" s="21">
        <f t="shared" si="175"/>
        <v>536991.02532789309</v>
      </c>
      <c r="BP73" s="21">
        <f t="shared" si="175"/>
        <v>536991.02532789309</v>
      </c>
      <c r="BQ73" s="21">
        <f t="shared" si="175"/>
        <v>536991.02532789309</v>
      </c>
      <c r="BR73" s="21">
        <f t="shared" si="175"/>
        <v>536991.02532789309</v>
      </c>
      <c r="BS73" s="21">
        <f t="shared" si="175"/>
        <v>536991.02532789309</v>
      </c>
      <c r="BT73" s="21">
        <f t="shared" si="175"/>
        <v>536991.02532789309</v>
      </c>
      <c r="BU73" s="21">
        <f t="shared" si="175"/>
        <v>536991.02532789309</v>
      </c>
      <c r="BV73" s="21">
        <f t="shared" ref="BV73:CC74" si="176">IFERROR(BV65/BV69,0)</f>
        <v>536991.02532789309</v>
      </c>
      <c r="BW73" s="21">
        <f t="shared" si="176"/>
        <v>536991.02532789309</v>
      </c>
      <c r="BX73" s="21">
        <f t="shared" si="176"/>
        <v>536991.02532789309</v>
      </c>
      <c r="BY73" s="21">
        <f t="shared" si="176"/>
        <v>536991.02532789309</v>
      </c>
      <c r="BZ73" s="21">
        <f t="shared" si="176"/>
        <v>536991.02532789309</v>
      </c>
      <c r="CA73" s="21">
        <f t="shared" si="176"/>
        <v>536991.02532789309</v>
      </c>
      <c r="CB73" s="21">
        <f t="shared" si="176"/>
        <v>536991.02532789309</v>
      </c>
      <c r="CC73" s="21">
        <f t="shared" si="176"/>
        <v>536991.02532789309</v>
      </c>
      <c r="CD73" s="21">
        <f t="shared" ref="CD73:CG74" si="177">IFERROR(CD65/CD69,0)</f>
        <v>571640.78317963867</v>
      </c>
      <c r="CE73" s="21">
        <f t="shared" si="177"/>
        <v>571640.78317963867</v>
      </c>
      <c r="CF73" s="21">
        <f t="shared" si="177"/>
        <v>571640.78317963867</v>
      </c>
      <c r="CG73" s="21">
        <f t="shared" si="177"/>
        <v>571640.78317963867</v>
      </c>
      <c r="CH73" s="21">
        <f t="shared" ref="CH73:CL74" si="178">IFERROR(CH65/CH69,0)</f>
        <v>549287.4566526874</v>
      </c>
      <c r="CI73" s="21">
        <f t="shared" si="178"/>
        <v>559872.63945289899</v>
      </c>
      <c r="CJ73" s="21">
        <f t="shared" si="178"/>
        <v>569564.87941142905</v>
      </c>
      <c r="CK73" s="21">
        <f t="shared" si="178"/>
        <v>536991.02532789309</v>
      </c>
      <c r="CL73" s="21">
        <f t="shared" si="178"/>
        <v>536991.02532789309</v>
      </c>
      <c r="CM73" s="21">
        <f t="shared" ref="CM73:CX73" si="179">IFERROR(CM65/CM69,0)</f>
        <v>571640.78317963867</v>
      </c>
      <c r="CN73" s="21">
        <f t="shared" si="179"/>
        <v>679142.72921737854</v>
      </c>
      <c r="CO73" s="21">
        <f t="shared" si="179"/>
        <v>693465.33490575629</v>
      </c>
      <c r="CP73" s="21">
        <f t="shared" si="179"/>
        <v>706531.21857397677</v>
      </c>
      <c r="CQ73" s="21">
        <f t="shared" si="179"/>
        <v>662529.70401506906</v>
      </c>
      <c r="CR73" s="21">
        <f t="shared" si="179"/>
        <v>712180.0619543069</v>
      </c>
      <c r="CS73" s="21">
        <f t="shared" si="179"/>
        <v>598246.33197142975</v>
      </c>
      <c r="CT73" s="21">
        <f t="shared" si="179"/>
        <v>610862.89392331743</v>
      </c>
      <c r="CU73" s="21">
        <f t="shared" si="179"/>
        <v>622372.42887407204</v>
      </c>
      <c r="CV73" s="21">
        <f t="shared" si="179"/>
        <v>583612.1748750509</v>
      </c>
      <c r="CW73" s="21">
        <f t="shared" si="179"/>
        <v>583612.1748750509</v>
      </c>
      <c r="CX73" s="21">
        <f t="shared" si="179"/>
        <v>627348.40768791863</v>
      </c>
      <c r="CY73" s="21">
        <f t="shared" ref="CY73:DC74" si="180">IFERROR(CY65/CY69,0)</f>
        <v>598246.33197142975</v>
      </c>
      <c r="CZ73" s="21">
        <f t="shared" si="180"/>
        <v>610862.89392331743</v>
      </c>
      <c r="DA73" s="21">
        <f t="shared" si="180"/>
        <v>622372.42887407204</v>
      </c>
      <c r="DB73" s="21">
        <f t="shared" si="180"/>
        <v>583612.1748750509</v>
      </c>
      <c r="DC73" s="21">
        <f t="shared" si="180"/>
        <v>583612.1748750509</v>
      </c>
      <c r="DD73" s="21">
        <f t="shared" ref="DD73:DF74" si="181">IFERROR(DD65/DD69,0)</f>
        <v>627348.40768791863</v>
      </c>
      <c r="DE73" s="21">
        <f t="shared" si="181"/>
        <v>798872.67725480464</v>
      </c>
      <c r="DF73" s="21">
        <f t="shared" si="181"/>
        <v>805065.80009914842</v>
      </c>
      <c r="DH73" s="21">
        <f t="shared" ref="DH73:DJ74" si="182">IFERROR(DH65/DH69,0)</f>
        <v>815615.01347322308</v>
      </c>
      <c r="DI73" s="21">
        <f t="shared" si="182"/>
        <v>815615.01347322308</v>
      </c>
      <c r="DJ73" s="21">
        <f t="shared" si="182"/>
        <v>862814.9514237683</v>
      </c>
      <c r="DK73" s="21">
        <f t="shared" ref="DK73:DP73" si="183">IFERROR(DK65/DK69,0)</f>
        <v>1628023.6864351239</v>
      </c>
      <c r="DL73" s="21">
        <f t="shared" si="183"/>
        <v>1628023.6864351239</v>
      </c>
      <c r="DM73" s="21">
        <f>IFERROR(DM65/DM69,0)</f>
        <v>1628023.6864351239</v>
      </c>
      <c r="DN73" s="21">
        <f t="shared" si="183"/>
        <v>1628023.6864351239</v>
      </c>
      <c r="DO73" s="21">
        <f t="shared" si="183"/>
        <v>1628023.6864351239</v>
      </c>
      <c r="DP73" s="21">
        <f t="shared" si="183"/>
        <v>1628023.6864351239</v>
      </c>
      <c r="DQ73" s="21">
        <f>IFERROR(DQ65/DQ69,0)</f>
        <v>1628023.6864351239</v>
      </c>
      <c r="DR73" s="21">
        <f>IFERROR(DR65/DR69,0)</f>
        <v>1607669.9417137662</v>
      </c>
      <c r="DS73" s="21">
        <f t="shared" ref="DS73" si="184">IFERROR(DS65/DS69,0)</f>
        <v>1774439.1772921199</v>
      </c>
      <c r="DT73" s="21">
        <f t="shared" ref="DT73:DW74" si="185">IFERROR(DT65/DT69,0)</f>
        <v>1774439.1772921199</v>
      </c>
      <c r="DU73" s="21">
        <f t="shared" si="185"/>
        <v>1774439.1772921199</v>
      </c>
      <c r="DV73" s="21">
        <f t="shared" ref="DV73" si="186">IFERROR(DV65/DV69,0)</f>
        <v>1835953.9581231056</v>
      </c>
      <c r="DW73" s="21">
        <f t="shared" si="185"/>
        <v>1835953.9581231056</v>
      </c>
      <c r="DX73" s="21">
        <f t="shared" ref="DX73:EC73" si="187">IFERROR(DX65/DX69,0)</f>
        <v>10869283.156998804</v>
      </c>
      <c r="DY73" s="21">
        <f t="shared" si="187"/>
        <v>10869283.156998804</v>
      </c>
      <c r="DZ73" s="21">
        <f t="shared" si="187"/>
        <v>10869283.156998804</v>
      </c>
      <c r="EA73" s="21">
        <f t="shared" si="187"/>
        <v>10869283.156998804</v>
      </c>
      <c r="EB73" s="21">
        <f t="shared" si="187"/>
        <v>10869283.156998804</v>
      </c>
      <c r="EC73" s="21">
        <f t="shared" si="187"/>
        <v>10869283.156998804</v>
      </c>
      <c r="ED73" s="21">
        <f>IFERROR(ED65/ED69,0)</f>
        <v>10869283.156998804</v>
      </c>
    </row>
    <row r="74" spans="1:137" x14ac:dyDescent="0.3">
      <c r="A74" s="21" t="str">
        <f>A51</f>
        <v xml:space="preserve">   Infrastructure 2</v>
      </c>
      <c r="D74" s="21">
        <f>IFERROR(D66/D70,0)</f>
        <v>369590.59864303499</v>
      </c>
      <c r="E74" s="21">
        <f t="shared" ref="E74:AX74" si="188">IFERROR(E66/E70,0)</f>
        <v>369920.1802853035</v>
      </c>
      <c r="F74" s="21">
        <f t="shared" si="188"/>
        <v>369590.59864303499</v>
      </c>
      <c r="G74" s="21">
        <f t="shared" si="188"/>
        <v>369590.59864303499</v>
      </c>
      <c r="H74" s="21">
        <f t="shared" si="188"/>
        <v>369590.59864303499</v>
      </c>
      <c r="I74" s="21">
        <f t="shared" ref="I74" si="189">IFERROR(I66/I70,0)</f>
        <v>369590.59864303499</v>
      </c>
      <c r="J74" s="21">
        <f t="shared" si="188"/>
        <v>369590.59864303499</v>
      </c>
      <c r="K74" s="21">
        <f t="shared" si="188"/>
        <v>369590.59864303499</v>
      </c>
      <c r="L74" s="21">
        <f t="shared" si="188"/>
        <v>369590.59864303499</v>
      </c>
      <c r="M74" s="21">
        <f t="shared" si="188"/>
        <v>369590.59864303499</v>
      </c>
      <c r="N74" s="21">
        <f t="shared" si="188"/>
        <v>369590.59864303499</v>
      </c>
      <c r="O74" s="21">
        <f t="shared" si="188"/>
        <v>369590.59864303499</v>
      </c>
      <c r="P74" s="21">
        <f t="shared" si="188"/>
        <v>369590.59864303499</v>
      </c>
      <c r="Q74" s="21">
        <f t="shared" si="188"/>
        <v>369590.59864303499</v>
      </c>
      <c r="R74" s="21">
        <f t="shared" si="188"/>
        <v>369590.59864303499</v>
      </c>
      <c r="S74" s="21">
        <f t="shared" si="188"/>
        <v>369920.1802853035</v>
      </c>
      <c r="T74" s="21">
        <f t="shared" si="188"/>
        <v>369590.59864303499</v>
      </c>
      <c r="U74" s="21">
        <f t="shared" si="188"/>
        <v>369590.59864303499</v>
      </c>
      <c r="V74" s="21">
        <f t="shared" si="188"/>
        <v>369590.59864303499</v>
      </c>
      <c r="W74" s="21">
        <f t="shared" si="188"/>
        <v>369590.59864303499</v>
      </c>
      <c r="X74" s="21">
        <f t="shared" ref="X74:Y74" si="190">IFERROR(X66/X70,0)</f>
        <v>371257.08439990465</v>
      </c>
      <c r="Y74" s="21">
        <f t="shared" si="190"/>
        <v>371257.08439990465</v>
      </c>
      <c r="Z74" s="21">
        <f t="shared" si="188"/>
        <v>371257.08439990465</v>
      </c>
      <c r="AA74" s="21">
        <f t="shared" ref="AA74" si="191">IFERROR(AA66/AA70,0)</f>
        <v>371257.08439990465</v>
      </c>
      <c r="AB74" s="21">
        <f t="shared" ref="AB74:AC74" si="192">IFERROR(AB66/AB70,0)</f>
        <v>371257.08439990465</v>
      </c>
      <c r="AC74" s="21">
        <f t="shared" si="192"/>
        <v>371257.08439990465</v>
      </c>
      <c r="AD74" s="21">
        <f t="shared" ref="AD74" si="193">IFERROR(AD66/AD70,0)</f>
        <v>371257.08439990465</v>
      </c>
      <c r="AE74" s="21">
        <f t="shared" ref="AE74" si="194">IFERROR(AE66/AE70,0)</f>
        <v>371257.08439990465</v>
      </c>
      <c r="AF74" s="21">
        <f t="shared" si="188"/>
        <v>369590.59864303499</v>
      </c>
      <c r="AG74" s="21">
        <f t="shared" si="188"/>
        <v>370773.45653243398</v>
      </c>
      <c r="AH74" s="21">
        <f t="shared" si="188"/>
        <v>371094.69191664632</v>
      </c>
      <c r="AI74" s="21">
        <f t="shared" si="188"/>
        <v>371499.01907045342</v>
      </c>
      <c r="AJ74" s="21">
        <f t="shared" si="188"/>
        <v>372007.86268848734</v>
      </c>
      <c r="AK74" s="21">
        <f t="shared" si="188"/>
        <v>0</v>
      </c>
      <c r="AL74" s="21">
        <f t="shared" si="188"/>
        <v>0</v>
      </c>
      <c r="AM74" s="21">
        <f t="shared" si="188"/>
        <v>0</v>
      </c>
      <c r="AN74" s="21">
        <f t="shared" si="188"/>
        <v>0</v>
      </c>
      <c r="AO74" s="21">
        <f t="shared" si="188"/>
        <v>0</v>
      </c>
      <c r="AP74" s="21">
        <f t="shared" si="188"/>
        <v>0</v>
      </c>
      <c r="AQ74" s="21">
        <f t="shared" si="188"/>
        <v>0</v>
      </c>
      <c r="AR74" s="21">
        <f t="shared" si="188"/>
        <v>0</v>
      </c>
      <c r="AS74" s="21">
        <f t="shared" si="188"/>
        <v>0</v>
      </c>
      <c r="AT74" s="21">
        <f t="shared" si="188"/>
        <v>0</v>
      </c>
      <c r="AU74" s="21">
        <f t="shared" si="188"/>
        <v>0</v>
      </c>
      <c r="AV74" s="21">
        <f t="shared" si="188"/>
        <v>0</v>
      </c>
      <c r="AW74" s="21">
        <f t="shared" si="188"/>
        <v>0</v>
      </c>
      <c r="AX74" s="21">
        <f t="shared" si="188"/>
        <v>0</v>
      </c>
      <c r="AY74" s="21">
        <f t="shared" si="173"/>
        <v>0</v>
      </c>
      <c r="AZ74" s="21">
        <f t="shared" si="173"/>
        <v>0</v>
      </c>
      <c r="BA74" s="21">
        <f t="shared" si="173"/>
        <v>0</v>
      </c>
      <c r="BB74" s="21">
        <f t="shared" si="173"/>
        <v>0</v>
      </c>
      <c r="BC74" s="21">
        <f t="shared" si="174"/>
        <v>0</v>
      </c>
      <c r="BD74" s="21">
        <f t="shared" si="174"/>
        <v>0</v>
      </c>
      <c r="BE74" s="21">
        <f t="shared" si="174"/>
        <v>0</v>
      </c>
      <c r="BF74" s="21">
        <f t="shared" si="173"/>
        <v>0</v>
      </c>
      <c r="BG74" s="21">
        <f t="shared" si="173"/>
        <v>0</v>
      </c>
      <c r="BH74" s="21">
        <f t="shared" si="173"/>
        <v>0</v>
      </c>
      <c r="BI74" s="21">
        <f t="shared" ref="BI74:BU74" si="195">IFERROR(BI66/BI70,0)</f>
        <v>0</v>
      </c>
      <c r="BJ74" s="21">
        <f t="shared" si="195"/>
        <v>0</v>
      </c>
      <c r="BK74" s="21">
        <f t="shared" si="195"/>
        <v>0</v>
      </c>
      <c r="BL74" s="21">
        <f t="shared" si="195"/>
        <v>0</v>
      </c>
      <c r="BM74" s="21">
        <f t="shared" si="195"/>
        <v>0</v>
      </c>
      <c r="BN74" s="21">
        <f t="shared" si="195"/>
        <v>0</v>
      </c>
      <c r="BO74" s="21">
        <f t="shared" si="195"/>
        <v>0</v>
      </c>
      <c r="BP74" s="21">
        <f t="shared" si="195"/>
        <v>0</v>
      </c>
      <c r="BQ74" s="21">
        <f t="shared" si="195"/>
        <v>0</v>
      </c>
      <c r="BR74" s="21">
        <f t="shared" si="195"/>
        <v>0</v>
      </c>
      <c r="BS74" s="21">
        <f t="shared" si="195"/>
        <v>0</v>
      </c>
      <c r="BT74" s="21">
        <f t="shared" si="195"/>
        <v>0</v>
      </c>
      <c r="BU74" s="21">
        <f t="shared" si="195"/>
        <v>0</v>
      </c>
      <c r="BV74" s="21">
        <f>IFERROR(BV66/BV70,0)</f>
        <v>0</v>
      </c>
      <c r="BW74" s="21">
        <f t="shared" si="176"/>
        <v>0</v>
      </c>
      <c r="BX74" s="21">
        <f t="shared" si="176"/>
        <v>0</v>
      </c>
      <c r="BY74" s="21">
        <f t="shared" si="176"/>
        <v>0</v>
      </c>
      <c r="BZ74" s="21">
        <f t="shared" si="176"/>
        <v>0</v>
      </c>
      <c r="CA74" s="21">
        <f t="shared" si="176"/>
        <v>0</v>
      </c>
      <c r="CB74" s="21">
        <f t="shared" si="176"/>
        <v>0</v>
      </c>
      <c r="CC74" s="21">
        <f t="shared" si="176"/>
        <v>0</v>
      </c>
      <c r="CD74" s="21">
        <f t="shared" si="177"/>
        <v>0</v>
      </c>
      <c r="CE74" s="21">
        <f t="shared" si="177"/>
        <v>0</v>
      </c>
      <c r="CF74" s="21">
        <f t="shared" si="177"/>
        <v>0</v>
      </c>
      <c r="CG74" s="21">
        <f t="shared" si="177"/>
        <v>0</v>
      </c>
      <c r="CH74" s="21">
        <f t="shared" ref="CH74:CK74" si="196">IFERROR(CH66/CH70,0)</f>
        <v>0</v>
      </c>
      <c r="CI74" s="21">
        <f t="shared" si="196"/>
        <v>0</v>
      </c>
      <c r="CJ74" s="21">
        <f t="shared" si="196"/>
        <v>0</v>
      </c>
      <c r="CK74" s="21">
        <f t="shared" si="196"/>
        <v>0</v>
      </c>
      <c r="CL74" s="21">
        <f t="shared" si="178"/>
        <v>0</v>
      </c>
      <c r="CM74" s="21">
        <f t="shared" ref="CM74:CX74" si="197">IFERROR(CM66/CM70,0)</f>
        <v>0</v>
      </c>
      <c r="CN74" s="21">
        <f t="shared" si="197"/>
        <v>0</v>
      </c>
      <c r="CO74" s="21">
        <f t="shared" si="197"/>
        <v>0</v>
      </c>
      <c r="CP74" s="21">
        <f t="shared" si="197"/>
        <v>0</v>
      </c>
      <c r="CQ74" s="21">
        <f t="shared" si="197"/>
        <v>0</v>
      </c>
      <c r="CR74" s="21">
        <f t="shared" si="197"/>
        <v>0</v>
      </c>
      <c r="CS74" s="21">
        <f t="shared" si="197"/>
        <v>0</v>
      </c>
      <c r="CT74" s="21">
        <f t="shared" si="197"/>
        <v>0</v>
      </c>
      <c r="CU74" s="21">
        <f t="shared" si="197"/>
        <v>0</v>
      </c>
      <c r="CV74" s="21">
        <f t="shared" si="197"/>
        <v>0</v>
      </c>
      <c r="CW74" s="21">
        <f t="shared" si="197"/>
        <v>0</v>
      </c>
      <c r="CX74" s="21">
        <f t="shared" si="197"/>
        <v>0</v>
      </c>
      <c r="CY74" s="21">
        <f>IFERROR(CY66/CY70,0)</f>
        <v>0</v>
      </c>
      <c r="CZ74" s="21">
        <f>IFERROR(CZ66/CZ70,0)</f>
        <v>0</v>
      </c>
      <c r="DA74" s="21">
        <f>IFERROR(DA66/DA70,0)</f>
        <v>0</v>
      </c>
      <c r="DB74" s="21">
        <f>IFERROR(DB66/DB70,0)</f>
        <v>0</v>
      </c>
      <c r="DC74" s="21">
        <f t="shared" si="180"/>
        <v>0</v>
      </c>
      <c r="DD74" s="21">
        <f t="shared" si="181"/>
        <v>0</v>
      </c>
      <c r="DE74" s="21">
        <f t="shared" si="181"/>
        <v>0</v>
      </c>
      <c r="DF74" s="21">
        <f t="shared" si="181"/>
        <v>0</v>
      </c>
      <c r="DH74" s="21">
        <f t="shared" si="182"/>
        <v>0</v>
      </c>
      <c r="DI74" s="21">
        <f t="shared" si="182"/>
        <v>0</v>
      </c>
      <c r="DJ74" s="21">
        <f t="shared" si="182"/>
        <v>0</v>
      </c>
      <c r="DK74" s="21">
        <f t="shared" ref="DK74:DP74" si="198">IFERROR(DK66/DK70,0)</f>
        <v>1628023.6864351239</v>
      </c>
      <c r="DL74" s="21">
        <f t="shared" si="198"/>
        <v>1628023.6864351239</v>
      </c>
      <c r="DM74" s="21">
        <f>IFERROR(DM66/DM70,0)</f>
        <v>1628023.6864351239</v>
      </c>
      <c r="DN74" s="21">
        <f t="shared" si="198"/>
        <v>1628023.6864351239</v>
      </c>
      <c r="DO74" s="21">
        <f t="shared" si="198"/>
        <v>1628023.6864351239</v>
      </c>
      <c r="DP74" s="21">
        <f t="shared" si="198"/>
        <v>1628023.6864351239</v>
      </c>
      <c r="DQ74" s="21">
        <f>IFERROR(DQ66/DQ70,0)</f>
        <v>1628023.6864351239</v>
      </c>
      <c r="DR74" s="21">
        <f>IFERROR(DR66/DR70,0)</f>
        <v>1607669.9417137662</v>
      </c>
      <c r="DS74" s="21">
        <f t="shared" ref="DS74" si="199">IFERROR(DS66/DS70,0)</f>
        <v>1774439.1772921199</v>
      </c>
      <c r="DT74" s="21">
        <f t="shared" si="185"/>
        <v>1774439.1772921199</v>
      </c>
      <c r="DU74" s="21">
        <f t="shared" si="185"/>
        <v>1774439.1772921199</v>
      </c>
      <c r="DV74" s="21">
        <f t="shared" ref="DV74" si="200">IFERROR(DV66/DV70,0)</f>
        <v>1835953.9581231056</v>
      </c>
      <c r="DW74" s="21">
        <f t="shared" si="185"/>
        <v>1835953.9581231056</v>
      </c>
      <c r="DX74" s="21">
        <f t="shared" ref="DX74:EC74" si="201">IFERROR(DX66/DX70,0)</f>
        <v>0</v>
      </c>
      <c r="DY74" s="21">
        <f t="shared" si="201"/>
        <v>0</v>
      </c>
      <c r="DZ74" s="21">
        <f t="shared" si="201"/>
        <v>0</v>
      </c>
      <c r="EA74" s="21">
        <f t="shared" si="201"/>
        <v>0</v>
      </c>
      <c r="EB74" s="21">
        <f t="shared" si="201"/>
        <v>0</v>
      </c>
      <c r="EC74" s="21">
        <f t="shared" si="201"/>
        <v>0</v>
      </c>
      <c r="ED74" s="21">
        <f>IFERROR(ED66/ED70,0)</f>
        <v>0</v>
      </c>
    </row>
    <row r="75" spans="1:137" x14ac:dyDescent="0.3">
      <c r="A75" s="74"/>
    </row>
    <row r="76" spans="1:137" x14ac:dyDescent="0.3">
      <c r="A76" s="21" t="s">
        <v>828</v>
      </c>
      <c r="B76" s="21" t="s">
        <v>829</v>
      </c>
    </row>
    <row r="77" spans="1:137" x14ac:dyDescent="0.3">
      <c r="A77" s="21" t="str">
        <f>A54</f>
        <v xml:space="preserve">   Infrastructure 1</v>
      </c>
      <c r="D77" s="45">
        <f>IFERROR(D73*1000/(D29*10^6),0)</f>
        <v>2.8353779479564474</v>
      </c>
      <c r="E77" s="45">
        <f t="shared" ref="E77:BY77" si="202">IFERROR(E73*1000/(E29*10^6),0)</f>
        <v>2.8379063903031154</v>
      </c>
      <c r="F77" s="45">
        <f t="shared" si="202"/>
        <v>2.8353779479564474</v>
      </c>
      <c r="G77" s="45">
        <f t="shared" si="202"/>
        <v>2.8353779479564474</v>
      </c>
      <c r="H77" s="45">
        <f t="shared" si="202"/>
        <v>2.8353779479564474</v>
      </c>
      <c r="I77" s="45">
        <f t="shared" ref="I77" si="203">IFERROR(I73*1000/(I29*10^6),0)</f>
        <v>2.8353779479564474</v>
      </c>
      <c r="J77" s="45">
        <f t="shared" si="202"/>
        <v>2.8353779479564474</v>
      </c>
      <c r="K77" s="45">
        <f t="shared" si="202"/>
        <v>2.8353779479564474</v>
      </c>
      <c r="L77" s="45">
        <f t="shared" si="202"/>
        <v>2.8353779479564474</v>
      </c>
      <c r="M77" s="45">
        <f t="shared" si="202"/>
        <v>2.8353779479564474</v>
      </c>
      <c r="N77" s="45">
        <f t="shared" si="202"/>
        <v>2.8353779479564474</v>
      </c>
      <c r="O77" s="45">
        <f t="shared" si="202"/>
        <v>2.8353779479564474</v>
      </c>
      <c r="P77" s="45">
        <f t="shared" si="202"/>
        <v>2.8353779479564474</v>
      </c>
      <c r="Q77" s="45">
        <f t="shared" si="202"/>
        <v>2.8353779479564474</v>
      </c>
      <c r="R77" s="45">
        <f t="shared" si="202"/>
        <v>2.8353779479564474</v>
      </c>
      <c r="S77" s="45">
        <f t="shared" si="202"/>
        <v>2.8379063903031154</v>
      </c>
      <c r="T77" s="45">
        <f t="shared" si="202"/>
        <v>2.8353779479564474</v>
      </c>
      <c r="U77" s="45">
        <f t="shared" si="202"/>
        <v>2.8353779479564474</v>
      </c>
      <c r="V77" s="45">
        <f t="shared" si="202"/>
        <v>2.8353779479564474</v>
      </c>
      <c r="W77" s="45">
        <f t="shared" si="202"/>
        <v>2.8353779479564474</v>
      </c>
      <c r="X77" s="45">
        <f t="shared" ref="X77:Y77" si="204">IFERROR(X73*1000/(X29*10^6),0)</f>
        <v>2.8481626805307076</v>
      </c>
      <c r="Y77" s="45">
        <f t="shared" si="204"/>
        <v>2.8481626805307076</v>
      </c>
      <c r="Z77" s="45">
        <f t="shared" si="202"/>
        <v>2.8481626805307076</v>
      </c>
      <c r="AA77" s="45">
        <f t="shared" ref="AA77" si="205">IFERROR(AA73*1000/(AA29*10^6),0)</f>
        <v>2.8481626805307076</v>
      </c>
      <c r="AB77" s="45">
        <f t="shared" ref="AB77:AC77" si="206">IFERROR(AB73*1000/(AB29*10^6),0)</f>
        <v>2.8481626805307076</v>
      </c>
      <c r="AC77" s="45">
        <f t="shared" si="206"/>
        <v>2.8481626805307076</v>
      </c>
      <c r="AD77" s="45">
        <f t="shared" ref="AD77" si="207">IFERROR(AD73*1000/(AD29*10^6),0)</f>
        <v>2.8481626805307076</v>
      </c>
      <c r="AE77" s="45">
        <f t="shared" ref="AE77" si="208">IFERROR(AE73*1000/(AE29*10^6),0)</f>
        <v>2.8481626805307076</v>
      </c>
      <c r="AF77" s="45">
        <f t="shared" si="202"/>
        <v>2.8353779479564474</v>
      </c>
      <c r="AG77" s="45">
        <f t="shared" si="202"/>
        <v>2.8444524460294018</v>
      </c>
      <c r="AH77" s="45">
        <f t="shared" si="202"/>
        <v>2.8469168586195579</v>
      </c>
      <c r="AI77" s="45">
        <f t="shared" si="202"/>
        <v>2.8500187240346238</v>
      </c>
      <c r="AJ77" s="45">
        <f t="shared" si="202"/>
        <v>2.8539224055103678</v>
      </c>
      <c r="AK77" s="45">
        <f t="shared" si="202"/>
        <v>11.394557604754132</v>
      </c>
      <c r="AL77" s="45">
        <f t="shared" si="202"/>
        <v>11.354081196149926</v>
      </c>
      <c r="AM77" s="45">
        <f t="shared" si="202"/>
        <v>11.394557604754132</v>
      </c>
      <c r="AN77" s="45">
        <f t="shared" si="202"/>
        <v>11.354081196149926</v>
      </c>
      <c r="AO77" s="45">
        <f t="shared" si="202"/>
        <v>18.714685941190908</v>
      </c>
      <c r="AP77" s="45">
        <f t="shared" si="202"/>
        <v>19.075332027928898</v>
      </c>
      <c r="AQ77" s="45">
        <f t="shared" si="202"/>
        <v>19.40555480052944</v>
      </c>
      <c r="AR77" s="45">
        <f t="shared" si="202"/>
        <v>18.295736176994026</v>
      </c>
      <c r="AS77" s="45">
        <f t="shared" si="202"/>
        <v>18.295736176994026</v>
      </c>
      <c r="AT77" s="45">
        <f t="shared" si="202"/>
        <v>18.295736176994026</v>
      </c>
      <c r="AU77" s="45">
        <f t="shared" si="202"/>
        <v>18.295736176994026</v>
      </c>
      <c r="AV77" s="45">
        <f t="shared" si="202"/>
        <v>18.295736176994026</v>
      </c>
      <c r="AW77" s="45">
        <f t="shared" si="202"/>
        <v>18.295736176994026</v>
      </c>
      <c r="AX77" s="45">
        <f t="shared" si="202"/>
        <v>18.295736176994026</v>
      </c>
      <c r="AY77" s="45">
        <f t="shared" si="202"/>
        <v>19.476282589040988</v>
      </c>
      <c r="AZ77" s="45">
        <f t="shared" si="202"/>
        <v>19.476282589040988</v>
      </c>
      <c r="BA77" s="45">
        <f t="shared" si="202"/>
        <v>19.476282589040988</v>
      </c>
      <c r="BB77" s="45">
        <f t="shared" si="202"/>
        <v>19.476282589040988</v>
      </c>
      <c r="BC77" s="45">
        <f t="shared" si="202"/>
        <v>16.485477553763452</v>
      </c>
      <c r="BD77" s="45">
        <f t="shared" si="202"/>
        <v>16.485477553763452</v>
      </c>
      <c r="BE77" s="45">
        <f t="shared" si="202"/>
        <v>16.485477553763452</v>
      </c>
      <c r="BF77" s="45">
        <f t="shared" si="202"/>
        <v>16.485477553763452</v>
      </c>
      <c r="BG77" s="45">
        <f t="shared" si="202"/>
        <v>16.485477553763452</v>
      </c>
      <c r="BH77" s="45">
        <f t="shared" si="202"/>
        <v>16.485477553763452</v>
      </c>
      <c r="BI77" s="45">
        <f t="shared" si="202"/>
        <v>16.485477553763452</v>
      </c>
      <c r="BJ77" s="45">
        <f t="shared" si="202"/>
        <v>16.803165116699571</v>
      </c>
      <c r="BK77" s="45">
        <f t="shared" si="202"/>
        <v>17.094053252495954</v>
      </c>
      <c r="BL77" s="45">
        <f t="shared" si="202"/>
        <v>16.116431182612718</v>
      </c>
      <c r="BM77" s="45">
        <f t="shared" si="202"/>
        <v>16.116431182612718</v>
      </c>
      <c r="BN77" s="45">
        <f t="shared" si="202"/>
        <v>16.116431182612718</v>
      </c>
      <c r="BO77" s="45">
        <f t="shared" si="202"/>
        <v>16.116431182612718</v>
      </c>
      <c r="BP77" s="45">
        <f t="shared" si="202"/>
        <v>16.116431182612718</v>
      </c>
      <c r="BQ77" s="45">
        <f t="shared" si="202"/>
        <v>16.116431182612718</v>
      </c>
      <c r="BR77" s="45">
        <f t="shared" si="202"/>
        <v>16.116431182612718</v>
      </c>
      <c r="BS77" s="45">
        <f t="shared" si="202"/>
        <v>16.116431182612718</v>
      </c>
      <c r="BT77" s="45">
        <f t="shared" si="202"/>
        <v>16.116431182612718</v>
      </c>
      <c r="BU77" s="45">
        <f t="shared" si="202"/>
        <v>16.116431182612718</v>
      </c>
      <c r="BV77" s="45">
        <f t="shared" si="202"/>
        <v>16.116431182612718</v>
      </c>
      <c r="BW77" s="45">
        <f t="shared" si="202"/>
        <v>16.116431182612718</v>
      </c>
      <c r="BX77" s="45">
        <f t="shared" si="202"/>
        <v>16.116431182612718</v>
      </c>
      <c r="BY77" s="45">
        <f t="shared" si="202"/>
        <v>16.116431182612718</v>
      </c>
      <c r="BZ77" s="45">
        <f t="shared" ref="BZ77:ED77" si="209">IFERROR(BZ73*1000/(BZ29*10^6),0)</f>
        <v>16.116431182612718</v>
      </c>
      <c r="CA77" s="45">
        <f t="shared" si="209"/>
        <v>16.116431182612718</v>
      </c>
      <c r="CB77" s="45">
        <f t="shared" si="209"/>
        <v>16.116431182612718</v>
      </c>
      <c r="CC77" s="45">
        <f t="shared" si="209"/>
        <v>16.116431182612718</v>
      </c>
      <c r="CD77" s="45">
        <f t="shared" si="209"/>
        <v>17.156356268084803</v>
      </c>
      <c r="CE77" s="45">
        <f t="shared" si="209"/>
        <v>17.156356268084803</v>
      </c>
      <c r="CF77" s="45">
        <f t="shared" si="209"/>
        <v>17.156356268084803</v>
      </c>
      <c r="CG77" s="45">
        <f t="shared" si="209"/>
        <v>17.156356268084803</v>
      </c>
      <c r="CH77" s="45">
        <f t="shared" si="209"/>
        <v>16.485477553763452</v>
      </c>
      <c r="CI77" s="45">
        <f t="shared" si="209"/>
        <v>16.803165116699571</v>
      </c>
      <c r="CJ77" s="45">
        <f t="shared" si="209"/>
        <v>17.094053252495954</v>
      </c>
      <c r="CK77" s="45">
        <f t="shared" si="209"/>
        <v>16.116431182612718</v>
      </c>
      <c r="CL77" s="45">
        <f t="shared" si="209"/>
        <v>16.116431182612718</v>
      </c>
      <c r="CM77" s="45">
        <f t="shared" si="209"/>
        <v>17.156356268084803</v>
      </c>
      <c r="CN77" s="45">
        <f t="shared" si="209"/>
        <v>20.382756028222818</v>
      </c>
      <c r="CO77" s="45">
        <f t="shared" si="209"/>
        <v>20.812612912314112</v>
      </c>
      <c r="CP77" s="45">
        <f t="shared" si="209"/>
        <v>21.204752454777264</v>
      </c>
      <c r="CQ77" s="45">
        <f t="shared" si="209"/>
        <v>19.88415797950395</v>
      </c>
      <c r="CR77" s="45">
        <f t="shared" si="209"/>
        <v>21.37428824086393</v>
      </c>
      <c r="CS77" s="45">
        <f t="shared" si="209"/>
        <v>17.954854708383174</v>
      </c>
      <c r="CT77" s="45">
        <f t="shared" si="209"/>
        <v>18.333508992846514</v>
      </c>
      <c r="CU77" s="45">
        <f t="shared" si="209"/>
        <v>18.678938654104723</v>
      </c>
      <c r="CV77" s="45">
        <f t="shared" si="209"/>
        <v>17.515647394601125</v>
      </c>
      <c r="CW77" s="45">
        <f t="shared" si="209"/>
        <v>17.515647394601125</v>
      </c>
      <c r="CX77" s="45">
        <f t="shared" si="209"/>
        <v>18.828280107382326</v>
      </c>
      <c r="CY77" s="45">
        <f t="shared" si="209"/>
        <v>17.954854708383174</v>
      </c>
      <c r="CZ77" s="45">
        <f t="shared" si="209"/>
        <v>18.333508992846514</v>
      </c>
      <c r="DA77" s="45">
        <f t="shared" si="209"/>
        <v>18.678938654104723</v>
      </c>
      <c r="DB77" s="45">
        <f t="shared" si="209"/>
        <v>17.515647394601125</v>
      </c>
      <c r="DC77" s="45">
        <f t="shared" si="209"/>
        <v>17.515647394601125</v>
      </c>
      <c r="DD77" s="45">
        <f t="shared" si="209"/>
        <v>18.828280107382326</v>
      </c>
      <c r="DE77" s="45">
        <f t="shared" si="209"/>
        <v>23.976148425916477</v>
      </c>
      <c r="DF77" s="45">
        <f t="shared" si="209"/>
        <v>24.162019387289412</v>
      </c>
      <c r="DG77" s="45"/>
      <c r="DH77" s="45">
        <f t="shared" si="209"/>
        <v>24.478627418625056</v>
      </c>
      <c r="DI77" s="45">
        <f t="shared" si="209"/>
        <v>24.478627418625056</v>
      </c>
      <c r="DJ77" s="45">
        <f t="shared" si="209"/>
        <v>25.895214504673771</v>
      </c>
      <c r="DK77" s="45">
        <f t="shared" si="209"/>
        <v>235.28372970242484</v>
      </c>
      <c r="DL77" s="45">
        <f t="shared" si="209"/>
        <v>235.28372970242484</v>
      </c>
      <c r="DM77" s="45">
        <f t="shared" si="209"/>
        <v>235.28372970242484</v>
      </c>
      <c r="DN77" s="45">
        <f t="shared" si="209"/>
        <v>235.28372970242484</v>
      </c>
      <c r="DO77" s="45">
        <f t="shared" si="209"/>
        <v>235.28372970242484</v>
      </c>
      <c r="DP77" s="45">
        <f t="shared" si="209"/>
        <v>235.28372970242484</v>
      </c>
      <c r="DQ77" s="45">
        <f t="shared" si="209"/>
        <v>235.28372970242484</v>
      </c>
      <c r="DR77" s="45">
        <f t="shared" si="209"/>
        <v>232.34218467985926</v>
      </c>
      <c r="DS77" s="45">
        <f t="shared" ref="DS77" si="210">IFERROR(DS73*1000/(DS29*10^6),0)</f>
        <v>256.44385351516775</v>
      </c>
      <c r="DT77" s="45">
        <f t="shared" si="209"/>
        <v>256.44385351516775</v>
      </c>
      <c r="DU77" s="45">
        <f t="shared" si="209"/>
        <v>256.44385351516775</v>
      </c>
      <c r="DV77" s="45">
        <f t="shared" ref="DV77" si="211">IFERROR(DV73*1000/(DV29*10^6),0)</f>
        <v>265.33403563373008</v>
      </c>
      <c r="DW77" s="45">
        <f t="shared" si="209"/>
        <v>265.33403563373008</v>
      </c>
      <c r="DX77" s="45">
        <f t="shared" si="209"/>
        <v>1672.5174465506295</v>
      </c>
      <c r="DY77" s="45">
        <f t="shared" si="209"/>
        <v>2787.5290775843823</v>
      </c>
      <c r="DZ77" s="45">
        <f t="shared" si="209"/>
        <v>2787.5290775843823</v>
      </c>
      <c r="EA77" s="45">
        <f t="shared" si="209"/>
        <v>1672.5174465506295</v>
      </c>
      <c r="EB77" s="45">
        <f t="shared" si="209"/>
        <v>2090.6468081882867</v>
      </c>
      <c r="EC77" s="45">
        <f t="shared" si="209"/>
        <v>2090.6468081882867</v>
      </c>
      <c r="ED77" s="45">
        <f t="shared" si="209"/>
        <v>2090.6468081882867</v>
      </c>
    </row>
    <row r="78" spans="1:137" x14ac:dyDescent="0.3">
      <c r="A78" s="21" t="str">
        <f>A55</f>
        <v xml:space="preserve">   Infrastructure 2</v>
      </c>
      <c r="D78" s="45">
        <f>IFERROR(D74*1000/(D30*10^6),0)</f>
        <v>11.092329606689447</v>
      </c>
      <c r="E78" s="45">
        <f t="shared" ref="E78:BY78" si="212">IFERROR(E74*1000/(E30*10^6),0)</f>
        <v>11.102221168384412</v>
      </c>
      <c r="F78" s="45">
        <f t="shared" si="212"/>
        <v>11.092329606689447</v>
      </c>
      <c r="G78" s="45">
        <f t="shared" si="212"/>
        <v>11.092329606689447</v>
      </c>
      <c r="H78" s="45">
        <f t="shared" si="212"/>
        <v>11.092329606689447</v>
      </c>
      <c r="I78" s="45">
        <f t="shared" ref="I78" si="213">IFERROR(I74*1000/(I30*10^6),0)</f>
        <v>11.092329606689447</v>
      </c>
      <c r="J78" s="45">
        <f t="shared" si="212"/>
        <v>11.092329606689447</v>
      </c>
      <c r="K78" s="45">
        <f t="shared" si="212"/>
        <v>11.092329606689447</v>
      </c>
      <c r="L78" s="45">
        <f t="shared" si="212"/>
        <v>11.092329606689447</v>
      </c>
      <c r="M78" s="45">
        <f t="shared" si="212"/>
        <v>11.092329606689447</v>
      </c>
      <c r="N78" s="45">
        <f t="shared" si="212"/>
        <v>11.092329606689447</v>
      </c>
      <c r="O78" s="45">
        <f t="shared" si="212"/>
        <v>11.092329606689447</v>
      </c>
      <c r="P78" s="45">
        <f t="shared" si="212"/>
        <v>11.092329606689447</v>
      </c>
      <c r="Q78" s="45">
        <f t="shared" si="212"/>
        <v>11.092329606689447</v>
      </c>
      <c r="R78" s="45">
        <f t="shared" si="212"/>
        <v>11.092329606689447</v>
      </c>
      <c r="S78" s="45">
        <f t="shared" si="212"/>
        <v>11.102221168384412</v>
      </c>
      <c r="T78" s="45">
        <f t="shared" si="212"/>
        <v>11.092329606689447</v>
      </c>
      <c r="U78" s="45">
        <f t="shared" si="212"/>
        <v>11.092329606689447</v>
      </c>
      <c r="V78" s="45">
        <f t="shared" si="212"/>
        <v>11.092329606689447</v>
      </c>
      <c r="W78" s="45">
        <f t="shared" si="212"/>
        <v>11.092329606689447</v>
      </c>
      <c r="X78" s="45">
        <f t="shared" ref="X78:Y78" si="214">IFERROR(X74*1000/(X30*10^6),0)</f>
        <v>11.142344973335462</v>
      </c>
      <c r="Y78" s="45">
        <f t="shared" si="214"/>
        <v>11.142344973335462</v>
      </c>
      <c r="Z78" s="45">
        <f t="shared" si="212"/>
        <v>11.142344973335462</v>
      </c>
      <c r="AA78" s="45">
        <f t="shared" ref="AA78" si="215">IFERROR(AA74*1000/(AA30*10^6),0)</f>
        <v>11.142344973335462</v>
      </c>
      <c r="AB78" s="45">
        <f t="shared" ref="AB78:AC78" si="216">IFERROR(AB74*1000/(AB30*10^6),0)</f>
        <v>11.142344973335462</v>
      </c>
      <c r="AC78" s="45">
        <f t="shared" si="216"/>
        <v>11.142344973335462</v>
      </c>
      <c r="AD78" s="45">
        <f t="shared" ref="AD78" si="217">IFERROR(AD74*1000/(AD30*10^6),0)</f>
        <v>11.142344973335462</v>
      </c>
      <c r="AE78" s="45">
        <f t="shared" ref="AE78" si="218">IFERROR(AE74*1000/(AE30*10^6),0)</f>
        <v>11.142344973335462</v>
      </c>
      <c r="AF78" s="45">
        <f t="shared" si="212"/>
        <v>11.092329606689447</v>
      </c>
      <c r="AG78" s="45">
        <f t="shared" si="212"/>
        <v>11.12783010273902</v>
      </c>
      <c r="AH78" s="45">
        <f t="shared" si="212"/>
        <v>11.137471172550041</v>
      </c>
      <c r="AI78" s="45">
        <f t="shared" si="212"/>
        <v>11.149606032244606</v>
      </c>
      <c r="AJ78" s="45">
        <f t="shared" si="212"/>
        <v>11.164877689992979</v>
      </c>
      <c r="AK78" s="45">
        <f t="shared" si="212"/>
        <v>0</v>
      </c>
      <c r="AL78" s="45">
        <f t="shared" si="212"/>
        <v>0</v>
      </c>
      <c r="AM78" s="45">
        <f t="shared" si="212"/>
        <v>0</v>
      </c>
      <c r="AN78" s="45">
        <f t="shared" si="212"/>
        <v>0</v>
      </c>
      <c r="AO78" s="45">
        <f t="shared" si="212"/>
        <v>0</v>
      </c>
      <c r="AP78" s="45">
        <f t="shared" si="212"/>
        <v>0</v>
      </c>
      <c r="AQ78" s="45">
        <f t="shared" si="212"/>
        <v>0</v>
      </c>
      <c r="AR78" s="45">
        <f t="shared" si="212"/>
        <v>0</v>
      </c>
      <c r="AS78" s="45">
        <f t="shared" si="212"/>
        <v>0</v>
      </c>
      <c r="AT78" s="45">
        <f t="shared" si="212"/>
        <v>0</v>
      </c>
      <c r="AU78" s="45">
        <f t="shared" si="212"/>
        <v>0</v>
      </c>
      <c r="AV78" s="45">
        <f t="shared" si="212"/>
        <v>0</v>
      </c>
      <c r="AW78" s="45">
        <f t="shared" si="212"/>
        <v>0</v>
      </c>
      <c r="AX78" s="45">
        <f t="shared" si="212"/>
        <v>0</v>
      </c>
      <c r="AY78" s="45">
        <f t="shared" si="212"/>
        <v>0</v>
      </c>
      <c r="AZ78" s="45">
        <f t="shared" si="212"/>
        <v>0</v>
      </c>
      <c r="BA78" s="45">
        <f t="shared" si="212"/>
        <v>0</v>
      </c>
      <c r="BB78" s="45">
        <f t="shared" si="212"/>
        <v>0</v>
      </c>
      <c r="BC78" s="45">
        <f t="shared" si="212"/>
        <v>0</v>
      </c>
      <c r="BD78" s="45">
        <f t="shared" si="212"/>
        <v>0</v>
      </c>
      <c r="BE78" s="45">
        <f t="shared" si="212"/>
        <v>0</v>
      </c>
      <c r="BF78" s="45">
        <f t="shared" si="212"/>
        <v>0</v>
      </c>
      <c r="BG78" s="45">
        <f t="shared" si="212"/>
        <v>0</v>
      </c>
      <c r="BH78" s="45">
        <f t="shared" si="212"/>
        <v>0</v>
      </c>
      <c r="BI78" s="45">
        <f t="shared" si="212"/>
        <v>0</v>
      </c>
      <c r="BJ78" s="45">
        <f t="shared" si="212"/>
        <v>0</v>
      </c>
      <c r="BK78" s="45">
        <f t="shared" si="212"/>
        <v>0</v>
      </c>
      <c r="BL78" s="45">
        <f t="shared" si="212"/>
        <v>0</v>
      </c>
      <c r="BM78" s="45">
        <f t="shared" si="212"/>
        <v>0</v>
      </c>
      <c r="BN78" s="45">
        <f t="shared" si="212"/>
        <v>0</v>
      </c>
      <c r="BO78" s="45">
        <f t="shared" si="212"/>
        <v>0</v>
      </c>
      <c r="BP78" s="45">
        <f t="shared" si="212"/>
        <v>0</v>
      </c>
      <c r="BQ78" s="45">
        <f t="shared" si="212"/>
        <v>0</v>
      </c>
      <c r="BR78" s="45">
        <f t="shared" si="212"/>
        <v>0</v>
      </c>
      <c r="BS78" s="45">
        <f t="shared" si="212"/>
        <v>0</v>
      </c>
      <c r="BT78" s="45">
        <f t="shared" si="212"/>
        <v>0</v>
      </c>
      <c r="BU78" s="45">
        <f t="shared" si="212"/>
        <v>0</v>
      </c>
      <c r="BV78" s="45">
        <f t="shared" si="212"/>
        <v>0</v>
      </c>
      <c r="BW78" s="45">
        <f t="shared" si="212"/>
        <v>0</v>
      </c>
      <c r="BX78" s="45">
        <f t="shared" si="212"/>
        <v>0</v>
      </c>
      <c r="BY78" s="45">
        <f t="shared" si="212"/>
        <v>0</v>
      </c>
      <c r="BZ78" s="45">
        <f t="shared" ref="BZ78:ED78" si="219">IFERROR(BZ74*1000/(BZ30*10^6),0)</f>
        <v>0</v>
      </c>
      <c r="CA78" s="45">
        <f t="shared" si="219"/>
        <v>0</v>
      </c>
      <c r="CB78" s="45">
        <f t="shared" si="219"/>
        <v>0</v>
      </c>
      <c r="CC78" s="45">
        <f t="shared" si="219"/>
        <v>0</v>
      </c>
      <c r="CD78" s="45">
        <f t="shared" si="219"/>
        <v>0</v>
      </c>
      <c r="CE78" s="45">
        <f t="shared" si="219"/>
        <v>0</v>
      </c>
      <c r="CF78" s="45">
        <f t="shared" si="219"/>
        <v>0</v>
      </c>
      <c r="CG78" s="45">
        <f t="shared" si="219"/>
        <v>0</v>
      </c>
      <c r="CH78" s="45">
        <f t="shared" si="219"/>
        <v>0</v>
      </c>
      <c r="CI78" s="45">
        <f t="shared" si="219"/>
        <v>0</v>
      </c>
      <c r="CJ78" s="45">
        <f t="shared" si="219"/>
        <v>0</v>
      </c>
      <c r="CK78" s="45">
        <f t="shared" si="219"/>
        <v>0</v>
      </c>
      <c r="CL78" s="45">
        <f t="shared" si="219"/>
        <v>0</v>
      </c>
      <c r="CM78" s="45">
        <f t="shared" si="219"/>
        <v>0</v>
      </c>
      <c r="CN78" s="45">
        <f t="shared" si="219"/>
        <v>0</v>
      </c>
      <c r="CO78" s="45">
        <f t="shared" si="219"/>
        <v>0</v>
      </c>
      <c r="CP78" s="45">
        <f t="shared" si="219"/>
        <v>0</v>
      </c>
      <c r="CQ78" s="45">
        <f t="shared" si="219"/>
        <v>0</v>
      </c>
      <c r="CR78" s="45">
        <f t="shared" si="219"/>
        <v>0</v>
      </c>
      <c r="CS78" s="45">
        <f t="shared" si="219"/>
        <v>0</v>
      </c>
      <c r="CT78" s="45">
        <f t="shared" si="219"/>
        <v>0</v>
      </c>
      <c r="CU78" s="45">
        <f t="shared" si="219"/>
        <v>0</v>
      </c>
      <c r="CV78" s="45">
        <f t="shared" si="219"/>
        <v>0</v>
      </c>
      <c r="CW78" s="45">
        <f t="shared" si="219"/>
        <v>0</v>
      </c>
      <c r="CX78" s="45">
        <f t="shared" si="219"/>
        <v>0</v>
      </c>
      <c r="CY78" s="45">
        <f t="shared" si="219"/>
        <v>0</v>
      </c>
      <c r="CZ78" s="45">
        <f t="shared" si="219"/>
        <v>0</v>
      </c>
      <c r="DA78" s="45">
        <f t="shared" si="219"/>
        <v>0</v>
      </c>
      <c r="DB78" s="45">
        <f t="shared" si="219"/>
        <v>0</v>
      </c>
      <c r="DC78" s="45">
        <f t="shared" si="219"/>
        <v>0</v>
      </c>
      <c r="DD78" s="45">
        <f t="shared" si="219"/>
        <v>0</v>
      </c>
      <c r="DE78" s="45">
        <f t="shared" si="219"/>
        <v>0</v>
      </c>
      <c r="DF78" s="45">
        <f t="shared" si="219"/>
        <v>0</v>
      </c>
      <c r="DG78" s="45"/>
      <c r="DH78" s="45">
        <f t="shared" si="219"/>
        <v>0</v>
      </c>
      <c r="DI78" s="45">
        <f t="shared" si="219"/>
        <v>0</v>
      </c>
      <c r="DJ78" s="45">
        <f t="shared" si="219"/>
        <v>0</v>
      </c>
      <c r="DK78" s="45">
        <f t="shared" si="219"/>
        <v>48.861024614096571</v>
      </c>
      <c r="DL78" s="45">
        <f t="shared" si="219"/>
        <v>48.861024614096571</v>
      </c>
      <c r="DM78" s="45">
        <f t="shared" si="219"/>
        <v>48.861024614096571</v>
      </c>
      <c r="DN78" s="45">
        <f t="shared" si="219"/>
        <v>48.861024614096571</v>
      </c>
      <c r="DO78" s="45">
        <f t="shared" si="219"/>
        <v>48.861024614096571</v>
      </c>
      <c r="DP78" s="45">
        <f t="shared" si="219"/>
        <v>48.861024614096571</v>
      </c>
      <c r="DQ78" s="45">
        <f t="shared" si="219"/>
        <v>48.861024614096571</v>
      </c>
      <c r="DR78" s="45">
        <f t="shared" si="219"/>
        <v>48.250158304161637</v>
      </c>
      <c r="DS78" s="45">
        <f t="shared" ref="DS78" si="220">IFERROR(DS74*1000/(DS30*10^6),0)</f>
        <v>53.25531627106492</v>
      </c>
      <c r="DT78" s="45">
        <f t="shared" si="219"/>
        <v>53.25531627106492</v>
      </c>
      <c r="DU78" s="45">
        <f t="shared" si="219"/>
        <v>53.25531627106492</v>
      </c>
      <c r="DV78" s="45">
        <f t="shared" ref="DV78" si="221">IFERROR(DV74*1000/(DV30*10^6),0)</f>
        <v>55.101527260104675</v>
      </c>
      <c r="DW78" s="45">
        <f t="shared" si="219"/>
        <v>55.101527260104675</v>
      </c>
      <c r="DX78" s="45">
        <f t="shared" si="219"/>
        <v>0</v>
      </c>
      <c r="DY78" s="45">
        <f t="shared" si="219"/>
        <v>0</v>
      </c>
      <c r="DZ78" s="45">
        <f t="shared" si="219"/>
        <v>0</v>
      </c>
      <c r="EA78" s="45">
        <f t="shared" si="219"/>
        <v>0</v>
      </c>
      <c r="EB78" s="45">
        <f t="shared" si="219"/>
        <v>0</v>
      </c>
      <c r="EC78" s="45">
        <f t="shared" si="219"/>
        <v>0</v>
      </c>
      <c r="ED78" s="45">
        <f t="shared" si="219"/>
        <v>0</v>
      </c>
    </row>
    <row r="79" spans="1:137" x14ac:dyDescent="0.3">
      <c r="A79" s="21" t="s">
        <v>25</v>
      </c>
      <c r="D79" s="45">
        <f t="shared" ref="D79:AR79" si="222">D77*D7+D78*D8</f>
        <v>9.4409392749428456</v>
      </c>
      <c r="E79" s="45">
        <f t="shared" si="222"/>
        <v>9.4493582127681535</v>
      </c>
      <c r="F79" s="45">
        <f t="shared" si="222"/>
        <v>9.4409392749428456</v>
      </c>
      <c r="G79" s="45">
        <f t="shared" si="222"/>
        <v>9.4409392749428456</v>
      </c>
      <c r="H79" s="45">
        <f t="shared" si="222"/>
        <v>9.4409392749428456</v>
      </c>
      <c r="I79" s="45">
        <f t="shared" ref="I79" si="223">I77*I7+I78*I8</f>
        <v>9.4409392749428456</v>
      </c>
      <c r="J79" s="45">
        <f t="shared" si="222"/>
        <v>9.4409392749428456</v>
      </c>
      <c r="K79" s="45">
        <f t="shared" si="222"/>
        <v>9.4409392749428456</v>
      </c>
      <c r="L79" s="45">
        <f t="shared" si="222"/>
        <v>9.4409392749428456</v>
      </c>
      <c r="M79" s="45">
        <f t="shared" si="222"/>
        <v>9.4409392749428456</v>
      </c>
      <c r="N79" s="45">
        <f t="shared" si="222"/>
        <v>9.4409392749428456</v>
      </c>
      <c r="O79" s="45">
        <f t="shared" si="222"/>
        <v>9.4409392749428456</v>
      </c>
      <c r="P79" s="45">
        <f t="shared" si="222"/>
        <v>9.4409392749428456</v>
      </c>
      <c r="Q79" s="45">
        <f t="shared" si="222"/>
        <v>9.4409392749428456</v>
      </c>
      <c r="R79" s="45">
        <f t="shared" si="222"/>
        <v>9.4409392749428456</v>
      </c>
      <c r="S79" s="45">
        <f t="shared" si="222"/>
        <v>9.4493582127681535</v>
      </c>
      <c r="T79" s="45">
        <f t="shared" si="222"/>
        <v>9.4409392749428456</v>
      </c>
      <c r="U79" s="45">
        <f t="shared" si="222"/>
        <v>9.4409392749428456</v>
      </c>
      <c r="V79" s="45">
        <f t="shared" si="222"/>
        <v>9.4409392749428456</v>
      </c>
      <c r="W79" s="45">
        <f t="shared" si="222"/>
        <v>9.4409392749428456</v>
      </c>
      <c r="X79" s="45">
        <f t="shared" ref="X79:Y79" si="224">X77*X7+X78*X8</f>
        <v>9.4835085147745115</v>
      </c>
      <c r="Y79" s="45">
        <f t="shared" si="224"/>
        <v>9.4835085147745115</v>
      </c>
      <c r="Z79" s="45">
        <f t="shared" si="222"/>
        <v>9.4835085147745115</v>
      </c>
      <c r="AA79" s="45">
        <f t="shared" ref="AA79" si="225">AA77*AA7+AA78*AA8</f>
        <v>9.4835085147745115</v>
      </c>
      <c r="AB79" s="45">
        <f t="shared" ref="AB79:AC79" si="226">AB77*AB7+AB78*AB8</f>
        <v>9.4835085147745115</v>
      </c>
      <c r="AC79" s="45">
        <f t="shared" si="226"/>
        <v>9.4835085147745115</v>
      </c>
      <c r="AD79" s="45">
        <f t="shared" ref="AD79" si="227">AD77*AD7+AD78*AD8</f>
        <v>9.4835085147745115</v>
      </c>
      <c r="AE79" s="45">
        <f t="shared" ref="AE79" si="228">AE77*AE7+AE78*AE8</f>
        <v>9.4835085147745115</v>
      </c>
      <c r="AF79" s="45">
        <f t="shared" si="222"/>
        <v>9.4409392749428456</v>
      </c>
      <c r="AG79" s="45">
        <f t="shared" si="222"/>
        <v>9.471154571397097</v>
      </c>
      <c r="AH79" s="45">
        <f t="shared" si="222"/>
        <v>9.4793603097639458</v>
      </c>
      <c r="AI79" s="45">
        <f t="shared" si="222"/>
        <v>9.4896885706026097</v>
      </c>
      <c r="AJ79" s="45">
        <f t="shared" si="222"/>
        <v>9.5026866330964577</v>
      </c>
      <c r="AK79" s="45">
        <f t="shared" si="222"/>
        <v>11.394557604754132</v>
      </c>
      <c r="AL79" s="45">
        <f t="shared" si="222"/>
        <v>11.354081196149926</v>
      </c>
      <c r="AM79" s="45">
        <f t="shared" si="222"/>
        <v>11.394557604754132</v>
      </c>
      <c r="AN79" s="45">
        <f t="shared" si="222"/>
        <v>11.354081196149926</v>
      </c>
      <c r="AO79" s="45">
        <f t="shared" si="222"/>
        <v>18.714685941190908</v>
      </c>
      <c r="AP79" s="45">
        <f t="shared" si="222"/>
        <v>19.075332027928898</v>
      </c>
      <c r="AQ79" s="45">
        <f t="shared" si="222"/>
        <v>19.40555480052944</v>
      </c>
      <c r="AR79" s="45">
        <f t="shared" si="222"/>
        <v>18.295736176994026</v>
      </c>
      <c r="AS79" s="45">
        <f t="shared" ref="AS79:BX79" si="229">AS77*AS7+AS78*AS8</f>
        <v>18.295736176994026</v>
      </c>
      <c r="AT79" s="45">
        <f t="shared" si="229"/>
        <v>18.295736176994026</v>
      </c>
      <c r="AU79" s="45">
        <f t="shared" si="229"/>
        <v>18.295736176994026</v>
      </c>
      <c r="AV79" s="45">
        <f t="shared" si="229"/>
        <v>18.295736176994026</v>
      </c>
      <c r="AW79" s="45">
        <f t="shared" si="229"/>
        <v>18.295736176994026</v>
      </c>
      <c r="AX79" s="45">
        <f t="shared" si="229"/>
        <v>18.295736176994026</v>
      </c>
      <c r="AY79" s="45">
        <f t="shared" si="229"/>
        <v>19.476282589040988</v>
      </c>
      <c r="AZ79" s="45">
        <f t="shared" si="229"/>
        <v>19.476282589040988</v>
      </c>
      <c r="BA79" s="45">
        <f t="shared" si="229"/>
        <v>19.476282589040988</v>
      </c>
      <c r="BB79" s="45">
        <f t="shared" si="229"/>
        <v>19.476282589040988</v>
      </c>
      <c r="BC79" s="45">
        <f t="shared" si="229"/>
        <v>16.485477553763452</v>
      </c>
      <c r="BD79" s="45">
        <f t="shared" si="229"/>
        <v>16.485477553763452</v>
      </c>
      <c r="BE79" s="45">
        <f t="shared" si="229"/>
        <v>16.485477553763452</v>
      </c>
      <c r="BF79" s="45">
        <f t="shared" si="229"/>
        <v>16.485477553763452</v>
      </c>
      <c r="BG79" s="45">
        <f t="shared" si="229"/>
        <v>16.485477553763452</v>
      </c>
      <c r="BH79" s="45">
        <f t="shared" si="229"/>
        <v>16.485477553763452</v>
      </c>
      <c r="BI79" s="45">
        <f t="shared" si="229"/>
        <v>16.485477553763452</v>
      </c>
      <c r="BJ79" s="45">
        <f t="shared" si="229"/>
        <v>16.803165116699571</v>
      </c>
      <c r="BK79" s="45">
        <f t="shared" si="229"/>
        <v>17.094053252495954</v>
      </c>
      <c r="BL79" s="45">
        <f t="shared" si="229"/>
        <v>16.116431182612718</v>
      </c>
      <c r="BM79" s="45">
        <f t="shared" si="229"/>
        <v>16.116431182612718</v>
      </c>
      <c r="BN79" s="45">
        <f t="shared" si="229"/>
        <v>16.116431182612718</v>
      </c>
      <c r="BO79" s="45">
        <f t="shared" si="229"/>
        <v>16.116431182612718</v>
      </c>
      <c r="BP79" s="45">
        <f t="shared" si="229"/>
        <v>16.116431182612718</v>
      </c>
      <c r="BQ79" s="45">
        <f t="shared" si="229"/>
        <v>16.116431182612718</v>
      </c>
      <c r="BR79" s="45">
        <f t="shared" si="229"/>
        <v>16.116431182612718</v>
      </c>
      <c r="BS79" s="45">
        <f t="shared" si="229"/>
        <v>16.116431182612718</v>
      </c>
      <c r="BT79" s="45">
        <f t="shared" si="229"/>
        <v>16.116431182612718</v>
      </c>
      <c r="BU79" s="45">
        <f t="shared" si="229"/>
        <v>16.116431182612718</v>
      </c>
      <c r="BV79" s="45">
        <f t="shared" si="229"/>
        <v>16.116431182612718</v>
      </c>
      <c r="BW79" s="45">
        <f t="shared" si="229"/>
        <v>16.116431182612718</v>
      </c>
      <c r="BX79" s="45">
        <f t="shared" si="229"/>
        <v>16.116431182612718</v>
      </c>
      <c r="BY79" s="45">
        <f t="shared" ref="BY79:DD79" si="230">BY77*BY7+BY78*BY8</f>
        <v>16.116431182612718</v>
      </c>
      <c r="BZ79" s="45">
        <f t="shared" si="230"/>
        <v>16.116431182612718</v>
      </c>
      <c r="CA79" s="45">
        <f t="shared" si="230"/>
        <v>16.116431182612718</v>
      </c>
      <c r="CB79" s="45">
        <f t="shared" si="230"/>
        <v>16.116431182612718</v>
      </c>
      <c r="CC79" s="45">
        <f t="shared" si="230"/>
        <v>16.116431182612718</v>
      </c>
      <c r="CD79" s="45">
        <f t="shared" si="230"/>
        <v>17.156356268084803</v>
      </c>
      <c r="CE79" s="45">
        <f t="shared" si="230"/>
        <v>17.156356268084803</v>
      </c>
      <c r="CF79" s="45">
        <f t="shared" si="230"/>
        <v>17.156356268084803</v>
      </c>
      <c r="CG79" s="45">
        <f t="shared" si="230"/>
        <v>17.156356268084803</v>
      </c>
      <c r="CH79" s="45">
        <f t="shared" si="230"/>
        <v>16.485477553763452</v>
      </c>
      <c r="CI79" s="45">
        <f t="shared" si="230"/>
        <v>16.803165116699571</v>
      </c>
      <c r="CJ79" s="45">
        <f t="shared" si="230"/>
        <v>17.094053252495954</v>
      </c>
      <c r="CK79" s="45">
        <f t="shared" si="230"/>
        <v>16.116431182612718</v>
      </c>
      <c r="CL79" s="45">
        <f t="shared" si="230"/>
        <v>16.116431182612718</v>
      </c>
      <c r="CM79" s="45">
        <f t="shared" si="230"/>
        <v>17.156356268084803</v>
      </c>
      <c r="CN79" s="45">
        <f t="shared" si="230"/>
        <v>20.382756028222818</v>
      </c>
      <c r="CO79" s="45">
        <f t="shared" si="230"/>
        <v>20.812612912314112</v>
      </c>
      <c r="CP79" s="45">
        <f t="shared" si="230"/>
        <v>21.204752454777264</v>
      </c>
      <c r="CQ79" s="45">
        <f t="shared" si="230"/>
        <v>19.88415797950395</v>
      </c>
      <c r="CR79" s="45">
        <f t="shared" si="230"/>
        <v>21.37428824086393</v>
      </c>
      <c r="CS79" s="45">
        <f t="shared" si="230"/>
        <v>17.954854708383174</v>
      </c>
      <c r="CT79" s="45">
        <f t="shared" si="230"/>
        <v>18.333508992846514</v>
      </c>
      <c r="CU79" s="45">
        <f t="shared" si="230"/>
        <v>18.678938654104723</v>
      </c>
      <c r="CV79" s="45">
        <f t="shared" si="230"/>
        <v>17.515647394601125</v>
      </c>
      <c r="CW79" s="45">
        <f t="shared" si="230"/>
        <v>17.515647394601125</v>
      </c>
      <c r="CX79" s="45">
        <f t="shared" si="230"/>
        <v>18.828280107382326</v>
      </c>
      <c r="CY79" s="45">
        <f t="shared" si="230"/>
        <v>17.954854708383174</v>
      </c>
      <c r="CZ79" s="45">
        <f t="shared" si="230"/>
        <v>18.333508992846514</v>
      </c>
      <c r="DA79" s="45">
        <f t="shared" si="230"/>
        <v>18.678938654104723</v>
      </c>
      <c r="DB79" s="45">
        <f t="shared" si="230"/>
        <v>17.515647394601125</v>
      </c>
      <c r="DC79" s="45">
        <f t="shared" si="230"/>
        <v>17.515647394601125</v>
      </c>
      <c r="DD79" s="45">
        <f t="shared" si="230"/>
        <v>18.828280107382326</v>
      </c>
      <c r="DE79" s="45">
        <f t="shared" ref="DE79:DF79" si="231">DE77*DE7+DE78*DE8</f>
        <v>23.976148425916477</v>
      </c>
      <c r="DF79" s="45">
        <f t="shared" si="231"/>
        <v>24.162019387289412</v>
      </c>
      <c r="DG79" s="45"/>
      <c r="DH79" s="45">
        <f t="shared" ref="DH79:DS79" si="232">DH77*DH7+DH78*DH8</f>
        <v>24.478627418625056</v>
      </c>
      <c r="DI79" s="45">
        <f t="shared" si="232"/>
        <v>24.478627418625056</v>
      </c>
      <c r="DJ79" s="45">
        <f t="shared" si="232"/>
        <v>25.895214504673771</v>
      </c>
      <c r="DK79" s="45">
        <f t="shared" si="232"/>
        <v>55.117412150243709</v>
      </c>
      <c r="DL79" s="45">
        <f t="shared" si="232"/>
        <v>55.117412150243709</v>
      </c>
      <c r="DM79" s="45">
        <f t="shared" si="232"/>
        <v>235.28372970242484</v>
      </c>
      <c r="DN79" s="45">
        <f t="shared" si="232"/>
        <v>55.117412150243709</v>
      </c>
      <c r="DO79" s="45">
        <f t="shared" si="232"/>
        <v>55.117412150243709</v>
      </c>
      <c r="DP79" s="45">
        <f t="shared" si="232"/>
        <v>55.117412150243709</v>
      </c>
      <c r="DQ79" s="45">
        <f t="shared" si="232"/>
        <v>55.117412150243709</v>
      </c>
      <c r="DR79" s="45">
        <f t="shared" si="232"/>
        <v>54.428327743207582</v>
      </c>
      <c r="DS79" s="45">
        <f t="shared" si="232"/>
        <v>60.074368871442424</v>
      </c>
      <c r="DT79" s="45">
        <f t="shared" ref="DT79:ED79" si="233">DT77*DT7+DT78*DT8</f>
        <v>60.074368871442424</v>
      </c>
      <c r="DU79" s="45">
        <f t="shared" si="233"/>
        <v>60.074368871442424</v>
      </c>
      <c r="DV79" s="45">
        <f t="shared" ref="DV79" si="234">DV77*DV7+DV78*DV8</f>
        <v>62.156977101681122</v>
      </c>
      <c r="DW79" s="45">
        <f t="shared" si="233"/>
        <v>62.156977101681122</v>
      </c>
      <c r="DX79" s="45">
        <f t="shared" si="233"/>
        <v>1672.5174465506295</v>
      </c>
      <c r="DY79" s="45">
        <f t="shared" si="233"/>
        <v>2787.5290775843823</v>
      </c>
      <c r="DZ79" s="45">
        <f t="shared" si="233"/>
        <v>2787.5290775843823</v>
      </c>
      <c r="EA79" s="45">
        <f t="shared" si="233"/>
        <v>1672.5174465506295</v>
      </c>
      <c r="EB79" s="45">
        <f t="shared" si="233"/>
        <v>2090.6468081882867</v>
      </c>
      <c r="EC79" s="45">
        <f t="shared" si="233"/>
        <v>2090.6468081882867</v>
      </c>
      <c r="ED79" s="45">
        <f t="shared" si="233"/>
        <v>2090.6468081882867</v>
      </c>
    </row>
    <row r="80" spans="1:137" x14ac:dyDescent="0.3">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4"/>
      <c r="AO80" s="274"/>
      <c r="AP80" s="274"/>
      <c r="AQ80" s="274"/>
      <c r="AR80" s="274"/>
      <c r="AS80" s="274"/>
      <c r="AT80" s="274"/>
      <c r="AU80" s="274"/>
      <c r="AV80" s="274"/>
      <c r="AW80" s="274"/>
      <c r="AX80" s="274"/>
      <c r="AY80" s="274"/>
      <c r="AZ80" s="274"/>
      <c r="BA80" s="274"/>
      <c r="BB80" s="274"/>
      <c r="BC80" s="274"/>
      <c r="BD80" s="274"/>
      <c r="BE80" s="274"/>
      <c r="BF80" s="274"/>
      <c r="BG80" s="274"/>
      <c r="BH80" s="274"/>
      <c r="BI80" s="274"/>
      <c r="BJ80" s="274"/>
      <c r="BK80" s="274"/>
      <c r="BL80" s="274"/>
      <c r="BM80" s="274"/>
      <c r="BN80" s="274"/>
      <c r="BO80" s="274"/>
      <c r="BP80" s="274"/>
      <c r="BQ80" s="274"/>
      <c r="BR80" s="274"/>
      <c r="BS80" s="274"/>
      <c r="BT80" s="274"/>
      <c r="BU80" s="274"/>
      <c r="BV80" s="274"/>
      <c r="BW80" s="274"/>
      <c r="BX80" s="274"/>
      <c r="BY80" s="274"/>
      <c r="BZ80" s="274"/>
      <c r="CA80" s="274"/>
      <c r="CB80" s="274"/>
      <c r="CC80" s="274"/>
      <c r="CD80" s="274"/>
      <c r="CE80" s="274"/>
      <c r="CF80" s="274"/>
      <c r="CG80" s="274"/>
      <c r="CH80" s="274"/>
      <c r="CI80" s="274"/>
      <c r="CJ80" s="274"/>
      <c r="CK80" s="274"/>
      <c r="CL80" s="274"/>
      <c r="CM80" s="274"/>
      <c r="CN80" s="274"/>
      <c r="CO80" s="274"/>
      <c r="CP80" s="274"/>
      <c r="CQ80" s="274"/>
      <c r="CR80" s="274"/>
      <c r="CS80" s="274"/>
      <c r="CT80" s="274"/>
      <c r="CU80" s="274"/>
      <c r="CV80" s="274"/>
      <c r="CW80" s="274"/>
      <c r="CX80" s="274"/>
      <c r="CY80" s="274"/>
      <c r="CZ80" s="274"/>
      <c r="DA80" s="274"/>
      <c r="DB80" s="274"/>
      <c r="DC80" s="274"/>
      <c r="DD80" s="274"/>
      <c r="DE80" s="274"/>
      <c r="DF80" s="274"/>
      <c r="DG80" s="274"/>
      <c r="DH80" s="274"/>
      <c r="DI80" s="274"/>
      <c r="DJ80" s="274"/>
      <c r="DK80" s="274"/>
      <c r="DL80" s="274"/>
      <c r="DM80" s="274"/>
      <c r="DN80" s="274"/>
      <c r="DO80" s="274"/>
      <c r="DP80" s="274"/>
      <c r="DQ80" s="274"/>
      <c r="DR80" s="274"/>
      <c r="DS80" s="274"/>
      <c r="DT80" s="274"/>
      <c r="DU80" s="274"/>
      <c r="DV80" s="274"/>
      <c r="DW80" s="274"/>
      <c r="DX80" s="274"/>
      <c r="DY80" s="274"/>
      <c r="DZ80" s="274"/>
      <c r="EA80" s="274"/>
      <c r="EB80" s="274"/>
      <c r="EC80" s="274"/>
      <c r="ED80" s="274"/>
    </row>
    <row r="81" spans="1:1" x14ac:dyDescent="0.3">
      <c r="A81" s="74"/>
    </row>
  </sheetData>
  <hyperlinks>
    <hyperlink ref="EG38" r:id="rId1" xr:uid="{00000000-0004-0000-0600-000000000000}"/>
    <hyperlink ref="EG61" r:id="rId2" xr:uid="{00000000-0004-0000-06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Tech_Specs_Infra!$A$216:$A$222</xm:f>
          </x14:formula1>
          <xm:sqref>D3:ED4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34998626667073579"/>
  </sheetPr>
  <dimension ref="A2:N84"/>
  <sheetViews>
    <sheetView topLeftCell="A58" zoomScaleNormal="100" workbookViewId="0">
      <selection activeCell="G63" sqref="G63"/>
    </sheetView>
  </sheetViews>
  <sheetFormatPr defaultRowHeight="13.2" x14ac:dyDescent="0.25"/>
  <cols>
    <col min="1" max="1" width="23.77734375" customWidth="1"/>
  </cols>
  <sheetData>
    <row r="2" spans="1:13" x14ac:dyDescent="0.25">
      <c r="A2" s="8" t="s">
        <v>65</v>
      </c>
      <c r="J2" s="100" t="s">
        <v>1301</v>
      </c>
      <c r="K2" s="100"/>
      <c r="L2" s="100"/>
    </row>
    <row r="3" spans="1:13" x14ac:dyDescent="0.25">
      <c r="J3" s="100" t="str">
        <f>A54</f>
        <v>Personal communication with Operator</v>
      </c>
      <c r="K3" s="100"/>
      <c r="L3" s="100"/>
    </row>
    <row r="4" spans="1:13" x14ac:dyDescent="0.25">
      <c r="C4" t="s">
        <v>17</v>
      </c>
      <c r="D4" t="s">
        <v>106</v>
      </c>
      <c r="J4" s="100"/>
      <c r="K4" s="100"/>
      <c r="L4" s="100" t="str">
        <f>C4</f>
        <v>kg</v>
      </c>
    </row>
    <row r="5" spans="1:13" x14ac:dyDescent="0.25">
      <c r="A5" t="s">
        <v>107</v>
      </c>
      <c r="C5" s="3">
        <f>C6+C11+C12</f>
        <v>9.68147987687259</v>
      </c>
      <c r="D5" s="3">
        <f>D6+D11+D12</f>
        <v>21.344026960071144</v>
      </c>
      <c r="F5">
        <v>0.453592</v>
      </c>
      <c r="G5" t="s">
        <v>116</v>
      </c>
      <c r="J5" s="100" t="str">
        <f>A5</f>
        <v>Body, tyres and other</v>
      </c>
      <c r="K5" s="571"/>
      <c r="L5" s="571">
        <f>L6+L11+L12</f>
        <v>20.361668958139131</v>
      </c>
    </row>
    <row r="6" spans="1:13" x14ac:dyDescent="0.25">
      <c r="A6" t="s">
        <v>108</v>
      </c>
      <c r="B6" t="s">
        <v>14</v>
      </c>
      <c r="C6">
        <f>C7+C8</f>
        <v>7.4</v>
      </c>
      <c r="D6" s="3">
        <f>D7+D8</f>
        <v>16.314220709359954</v>
      </c>
      <c r="F6">
        <v>1.6093440000000001</v>
      </c>
      <c r="G6" t="s">
        <v>1</v>
      </c>
      <c r="J6" s="100" t="str">
        <f>A6</f>
        <v>Body</v>
      </c>
      <c r="K6" s="100" t="str">
        <f t="shared" ref="K6:K8" si="0">B6</f>
        <v>Total</v>
      </c>
      <c r="L6" s="571">
        <f>L7+L8</f>
        <v>14.876999999999999</v>
      </c>
    </row>
    <row r="7" spans="1:13" x14ac:dyDescent="0.25">
      <c r="B7" t="s">
        <v>15</v>
      </c>
      <c r="C7" s="5">
        <v>6</v>
      </c>
      <c r="D7" s="3">
        <f t="shared" ref="D7:D12" si="1">C7/$F$5</f>
        <v>13.227746521102665</v>
      </c>
      <c r="F7" s="52">
        <v>3.7850000000000001</v>
      </c>
      <c r="G7" s="52" t="s">
        <v>109</v>
      </c>
      <c r="J7" s="100"/>
      <c r="K7" s="100" t="str">
        <f t="shared" si="0"/>
        <v>Aluminium</v>
      </c>
      <c r="L7" s="571">
        <f>'Tech_Spec_New Escoot'!B82*'Tech_Spec_New Escoot'!B24</f>
        <v>12.254999999999999</v>
      </c>
    </row>
    <row r="8" spans="1:13" x14ac:dyDescent="0.25">
      <c r="B8" t="s">
        <v>16</v>
      </c>
      <c r="C8" s="5">
        <v>1.4</v>
      </c>
      <c r="D8" s="3">
        <f t="shared" si="1"/>
        <v>3.0864741882572884</v>
      </c>
      <c r="F8">
        <f>Convert!$C$17</f>
        <v>33.488</v>
      </c>
      <c r="G8" s="52" t="s">
        <v>110</v>
      </c>
      <c r="J8" s="100"/>
      <c r="K8" s="100" t="str">
        <f t="shared" si="0"/>
        <v>Steel</v>
      </c>
      <c r="L8" s="571">
        <f>'Tech_Spec_New Escoot'!B24*'Tech_Spec_New Escoot'!B84</f>
        <v>2.6219999999999999</v>
      </c>
    </row>
    <row r="9" spans="1:13" x14ac:dyDescent="0.25">
      <c r="A9" t="s">
        <v>18</v>
      </c>
      <c r="C9" s="56">
        <f>K59</f>
        <v>2.31379173106005</v>
      </c>
      <c r="D9" s="3">
        <f t="shared" si="1"/>
        <v>5.1010417535142816</v>
      </c>
      <c r="F9">
        <f>Convert!$B$12</f>
        <v>3.6</v>
      </c>
      <c r="G9" s="52" t="s">
        <v>111</v>
      </c>
      <c r="J9" s="100" t="str">
        <f>A9</f>
        <v>Lithium battery (NMC 111)</v>
      </c>
      <c r="K9" s="571"/>
      <c r="L9" s="571">
        <f>K60*'Tech_Spec_New Escoot'!B14</f>
        <v>5.0223303544191324</v>
      </c>
      <c r="M9" t="s">
        <v>1305</v>
      </c>
    </row>
    <row r="10" spans="1:13" x14ac:dyDescent="0.25">
      <c r="A10" t="s">
        <v>21</v>
      </c>
      <c r="C10" s="5">
        <v>1.2</v>
      </c>
      <c r="D10" s="3">
        <f t="shared" si="1"/>
        <v>2.6455493042205331</v>
      </c>
      <c r="J10" s="100" t="str">
        <f>A10</f>
        <v>Electric motor</v>
      </c>
      <c r="K10" s="571"/>
      <c r="L10" s="571">
        <f>'Tech_Spec_New Escoot'!B83*'Tech_Spec_New Escoot'!$B$24</f>
        <v>4.2749999999999995</v>
      </c>
    </row>
    <row r="11" spans="1:13" x14ac:dyDescent="0.25">
      <c r="A11" t="s">
        <v>19</v>
      </c>
      <c r="C11" s="5">
        <v>0.83</v>
      </c>
      <c r="D11" s="3">
        <f t="shared" si="1"/>
        <v>1.8298382687525352</v>
      </c>
      <c r="F11" s="98" t="s">
        <v>100</v>
      </c>
      <c r="J11" s="100" t="str">
        <f>A11</f>
        <v>Tyres</v>
      </c>
      <c r="K11" s="571"/>
      <c r="L11" s="571">
        <f>'Tech_Spec_New Escoot'!B24*'Tech_Spec_New Escoot'!B86</f>
        <v>1.1400000000000001</v>
      </c>
    </row>
    <row r="12" spans="1:13" x14ac:dyDescent="0.25">
      <c r="A12" t="s">
        <v>20</v>
      </c>
      <c r="C12" s="53">
        <f>SUM(C7,C8,C9,C10,C11)/0.89*(1-0.89)</f>
        <v>1.4514798768725901</v>
      </c>
      <c r="D12" s="3">
        <f t="shared" si="1"/>
        <v>3.1999679819586548</v>
      </c>
      <c r="J12" s="100" t="str">
        <f>A12</f>
        <v>Other</v>
      </c>
      <c r="K12" s="100"/>
      <c r="L12" s="571">
        <f>'Tech_Spec_New Escoot'!B24-L11-L10-K60-L8-L7</f>
        <v>4.3446689581391311</v>
      </c>
    </row>
    <row r="13" spans="1:13" x14ac:dyDescent="0.25">
      <c r="A13" t="s">
        <v>14</v>
      </c>
      <c r="C13" s="3">
        <f>SUM(C7:C12)</f>
        <v>13.195271607932639</v>
      </c>
      <c r="D13" s="3">
        <f>SUM(D7:D12)</f>
        <v>29.090618017805959</v>
      </c>
      <c r="J13" s="100" t="str">
        <f t="shared" ref="J13:J14" si="2">A13</f>
        <v>Total</v>
      </c>
      <c r="K13" s="100"/>
      <c r="L13" s="571">
        <f>SUM(L7:L12)</f>
        <v>29.658999312558262</v>
      </c>
    </row>
    <row r="14" spans="1:13" x14ac:dyDescent="0.25">
      <c r="A14" t="s">
        <v>150</v>
      </c>
      <c r="C14" s="3">
        <f>C13-C9</f>
        <v>10.881479876872589</v>
      </c>
      <c r="D14" s="3">
        <f>D13-D9</f>
        <v>23.989576264291678</v>
      </c>
      <c r="J14" s="100" t="str">
        <f t="shared" si="2"/>
        <v>Total excluding battery</v>
      </c>
      <c r="K14" s="100"/>
      <c r="L14" s="571">
        <f>L13-L9</f>
        <v>24.636668958139129</v>
      </c>
    </row>
    <row r="15" spans="1:13" x14ac:dyDescent="0.25">
      <c r="C15" s="3"/>
      <c r="D15" s="3"/>
      <c r="J15" s="100"/>
      <c r="K15" s="100"/>
      <c r="L15" s="100"/>
    </row>
    <row r="16" spans="1:13" x14ac:dyDescent="0.25">
      <c r="A16" t="s">
        <v>21</v>
      </c>
      <c r="J16" s="100" t="str">
        <f>A16</f>
        <v>Electric motor</v>
      </c>
      <c r="K16" s="100"/>
      <c r="L16" s="100"/>
    </row>
    <row r="17" spans="1:12" x14ac:dyDescent="0.25">
      <c r="C17" t="s">
        <v>3</v>
      </c>
      <c r="J17" s="100"/>
      <c r="K17" s="100"/>
      <c r="L17" s="100"/>
    </row>
    <row r="18" spans="1:12" x14ac:dyDescent="0.25">
      <c r="A18" t="s">
        <v>16</v>
      </c>
      <c r="C18" s="63">
        <f>[5]Car!$S$188</f>
        <v>0.36099999999999999</v>
      </c>
      <c r="E18" s="64" t="s">
        <v>148</v>
      </c>
      <c r="J18" s="100" t="str">
        <f>A18</f>
        <v>Steel</v>
      </c>
      <c r="K18" s="100"/>
      <c r="L18" s="573">
        <f>C18</f>
        <v>0.36099999999999999</v>
      </c>
    </row>
    <row r="19" spans="1:12" x14ac:dyDescent="0.25">
      <c r="A19" t="s">
        <v>22</v>
      </c>
      <c r="C19" s="63">
        <f>[5]Car!$S$191</f>
        <v>0.27800000000000002</v>
      </c>
      <c r="J19" s="100" t="str">
        <f>A19</f>
        <v>Copper</v>
      </c>
      <c r="K19" s="100"/>
      <c r="L19" s="573">
        <f>C19</f>
        <v>0.27800000000000002</v>
      </c>
    </row>
    <row r="20" spans="1:12" x14ac:dyDescent="0.25">
      <c r="A20" t="s">
        <v>149</v>
      </c>
      <c r="C20" s="63">
        <f>[5]Car!$S$190</f>
        <v>0.36099999999999999</v>
      </c>
      <c r="J20" s="100" t="str">
        <f>A20</f>
        <v>Cast aluminium</v>
      </c>
      <c r="K20" s="100"/>
      <c r="L20" s="573">
        <f>C20</f>
        <v>0.36099999999999999</v>
      </c>
    </row>
    <row r="21" spans="1:12" x14ac:dyDescent="0.25">
      <c r="J21" s="100"/>
      <c r="K21" s="100"/>
      <c r="L21" s="100"/>
    </row>
    <row r="22" spans="1:12" x14ac:dyDescent="0.25">
      <c r="J22" s="100"/>
      <c r="K22" s="100"/>
      <c r="L22" s="100"/>
    </row>
    <row r="23" spans="1:12" x14ac:dyDescent="0.25">
      <c r="C23" t="s">
        <v>30</v>
      </c>
      <c r="D23" s="3"/>
      <c r="J23" s="100"/>
      <c r="K23" s="100"/>
      <c r="L23" s="100" t="str">
        <f>C23</f>
        <v>kWh</v>
      </c>
    </row>
    <row r="24" spans="1:12" x14ac:dyDescent="0.25">
      <c r="A24" t="s">
        <v>112</v>
      </c>
      <c r="C24">
        <f>G59*C26/100</f>
        <v>0.33</v>
      </c>
      <c r="F24" s="54"/>
      <c r="J24" s="100" t="str">
        <f>A24</f>
        <v>Battery capacity</v>
      </c>
      <c r="K24" s="100"/>
      <c r="L24" s="100">
        <f>E60</f>
        <v>0.55100000000000005</v>
      </c>
    </row>
    <row r="25" spans="1:12" x14ac:dyDescent="0.25">
      <c r="C25" t="s">
        <v>0</v>
      </c>
      <c r="D25" t="s">
        <v>113</v>
      </c>
      <c r="J25" s="100"/>
      <c r="K25" s="100"/>
      <c r="L25" s="100" t="str">
        <f>C25</f>
        <v>km</v>
      </c>
    </row>
    <row r="26" spans="1:12" x14ac:dyDescent="0.25">
      <c r="A26" t="s">
        <v>6</v>
      </c>
      <c r="C26" s="55">
        <v>30</v>
      </c>
      <c r="D26" s="3">
        <f>C26/F6</f>
        <v>18.641135767120019</v>
      </c>
      <c r="J26" s="100" t="str">
        <f>A26</f>
        <v>Range</v>
      </c>
      <c r="K26" s="100"/>
      <c r="L26" s="99">
        <f>L24/G60*100</f>
        <v>46.302521008403367</v>
      </c>
    </row>
    <row r="27" spans="1:12" x14ac:dyDescent="0.25">
      <c r="J27" s="100"/>
      <c r="K27" s="100"/>
      <c r="L27" s="100"/>
    </row>
    <row r="28" spans="1:12" x14ac:dyDescent="0.25">
      <c r="C28" t="s">
        <v>114</v>
      </c>
      <c r="J28" s="100"/>
      <c r="K28" s="100"/>
      <c r="L28" s="100" t="str">
        <f>C28</f>
        <v>Year</v>
      </c>
    </row>
    <row r="29" spans="1:12" x14ac:dyDescent="0.25">
      <c r="A29" t="s">
        <v>12</v>
      </c>
      <c r="C29" s="170">
        <v>1</v>
      </c>
      <c r="F29" s="5">
        <v>0.5</v>
      </c>
      <c r="G29" s="5">
        <v>2</v>
      </c>
      <c r="H29" s="170" t="s">
        <v>5</v>
      </c>
      <c r="J29" s="100" t="str">
        <f>A29</f>
        <v>Lifetime</v>
      </c>
      <c r="K29" s="100"/>
      <c r="L29" s="572">
        <f>'Tech_Spec_New Escoot'!B20/12</f>
        <v>1.9666666666666668</v>
      </c>
    </row>
    <row r="31" spans="1:12" x14ac:dyDescent="0.25">
      <c r="C31" s="19"/>
      <c r="D31" s="19"/>
    </row>
    <row r="32" spans="1:12" x14ac:dyDescent="0.25">
      <c r="A32" s="8" t="s">
        <v>1308</v>
      </c>
    </row>
    <row r="33" spans="1:14" x14ac:dyDescent="0.25">
      <c r="C33" s="3"/>
    </row>
    <row r="34" spans="1:14" x14ac:dyDescent="0.25">
      <c r="A34" s="12" t="s">
        <v>31</v>
      </c>
      <c r="B34" s="13"/>
      <c r="C34" s="13">
        <f>G34*I34</f>
        <v>7.5</v>
      </c>
      <c r="D34" s="13" t="s">
        <v>9</v>
      </c>
      <c r="E34" s="569">
        <f t="shared" ref="E34" si="3">C34*$F$6</f>
        <v>12.070080000000001</v>
      </c>
      <c r="F34" s="13" t="s">
        <v>1310</v>
      </c>
      <c r="G34" s="13">
        <v>5</v>
      </c>
      <c r="H34" s="13" t="s">
        <v>33</v>
      </c>
      <c r="I34" s="13">
        <v>1.5</v>
      </c>
      <c r="J34" s="13" t="s">
        <v>32</v>
      </c>
      <c r="K34" s="568">
        <f>I34*$F$6</f>
        <v>2.4140160000000002</v>
      </c>
      <c r="L34" s="13" t="s">
        <v>442</v>
      </c>
    </row>
    <row r="35" spans="1:14" x14ac:dyDescent="0.25">
      <c r="A35" s="98" t="str">
        <f>F11</f>
        <v>Hollingsworth et al., 2019</v>
      </c>
      <c r="B35" s="5"/>
      <c r="C35" s="310">
        <f>D26*(1-0.66)</f>
        <v>6.3379861608208063</v>
      </c>
      <c r="D35" s="5" t="str">
        <f>D34</f>
        <v>miles/day/e-scooter</v>
      </c>
      <c r="E35" s="103">
        <f t="shared" ref="E35" si="4">C35*$F$6</f>
        <v>10.200000000000001</v>
      </c>
      <c r="F35" s="5" t="s">
        <v>1310</v>
      </c>
      <c r="G35" s="5"/>
      <c r="H35" s="5"/>
      <c r="I35" s="5"/>
      <c r="J35" s="5"/>
      <c r="K35" s="310"/>
      <c r="L35" s="5"/>
    </row>
    <row r="36" spans="1:14" x14ac:dyDescent="0.25">
      <c r="A36" s="330" t="s">
        <v>1006</v>
      </c>
      <c r="B36" s="97"/>
      <c r="C36" s="331">
        <f>G36*I36</f>
        <v>4.6950000000000003</v>
      </c>
      <c r="D36" s="97" t="str">
        <f>D34</f>
        <v>miles/day/e-scooter</v>
      </c>
      <c r="E36" s="106">
        <f t="shared" ref="E36" si="5">C36*$F$6</f>
        <v>7.5558700800000009</v>
      </c>
      <c r="F36" s="97" t="str">
        <f>F34</f>
        <v>km/day/e-scooter</v>
      </c>
      <c r="G36" s="97">
        <f>E76</f>
        <v>3.13</v>
      </c>
      <c r="H36" s="97" t="str">
        <f>H34</f>
        <v>trips/day/e-scooter</v>
      </c>
      <c r="I36" s="331">
        <f>I34</f>
        <v>1.5</v>
      </c>
      <c r="J36" s="97" t="str">
        <f>J34</f>
        <v>miles/trip</v>
      </c>
      <c r="K36" s="580">
        <f>I36*$F$6</f>
        <v>2.4140160000000002</v>
      </c>
      <c r="L36" s="97" t="s">
        <v>442</v>
      </c>
    </row>
    <row r="37" spans="1:14" x14ac:dyDescent="0.25">
      <c r="A37" s="54" t="s">
        <v>1378</v>
      </c>
      <c r="C37" s="593"/>
      <c r="E37" s="594">
        <v>10.199999999999999</v>
      </c>
      <c r="F37" t="str">
        <f>F40</f>
        <v>km/day/e-sccoter</v>
      </c>
      <c r="G37" s="593"/>
      <c r="H37" s="497"/>
      <c r="I37" s="282"/>
      <c r="K37" s="282"/>
      <c r="M37" s="17" t="s">
        <v>1396</v>
      </c>
    </row>
    <row r="38" spans="1:14" x14ac:dyDescent="0.25">
      <c r="A38" s="581" t="s">
        <v>1307</v>
      </c>
      <c r="B38" s="581"/>
      <c r="C38" s="583"/>
      <c r="D38" s="581" t="s">
        <v>1363</v>
      </c>
      <c r="E38" s="581">
        <f>'Tech_Spec_New Escoot'!B6</f>
        <v>7.7</v>
      </c>
      <c r="F38" s="581" t="str">
        <f>F41</f>
        <v>km/day/e-sccoter in use</v>
      </c>
      <c r="G38" s="585">
        <f>G41</f>
        <v>3.13</v>
      </c>
      <c r="H38" s="581"/>
      <c r="I38" s="584"/>
      <c r="J38" s="581"/>
      <c r="K38" s="586">
        <f>E38/G38</f>
        <v>2.4600638977635785</v>
      </c>
      <c r="L38" s="581" t="str">
        <f>L41</f>
        <v>km/trip</v>
      </c>
    </row>
    <row r="39" spans="1:14" x14ac:dyDescent="0.25">
      <c r="A39" s="101" t="s">
        <v>1008</v>
      </c>
      <c r="B39" s="100"/>
      <c r="C39" s="336">
        <f>I39*G39</f>
        <v>10.221556112304143</v>
      </c>
      <c r="D39" s="100" t="str">
        <f>D36</f>
        <v>miles/day/e-scooter</v>
      </c>
      <c r="E39" s="99">
        <f>C39*$F$6</f>
        <v>16.45</v>
      </c>
      <c r="F39" s="100" t="str">
        <f>F36</f>
        <v>km/day/e-scooter</v>
      </c>
      <c r="G39" s="600">
        <v>3.5</v>
      </c>
      <c r="H39" s="100" t="str">
        <f>H36</f>
        <v>trips/day/e-scooter</v>
      </c>
      <c r="I39" s="337">
        <f>K39/F6</f>
        <v>2.9204446035154694</v>
      </c>
      <c r="J39" s="100" t="str">
        <f>J36</f>
        <v>miles/trip</v>
      </c>
      <c r="K39" s="338">
        <v>4.7</v>
      </c>
      <c r="L39" s="100" t="s">
        <v>442</v>
      </c>
      <c r="M39" s="17" t="s">
        <v>1051</v>
      </c>
    </row>
    <row r="40" spans="1:14" x14ac:dyDescent="0.25">
      <c r="A40" s="333" t="s">
        <v>1050</v>
      </c>
      <c r="B40" s="334" t="s">
        <v>590</v>
      </c>
      <c r="C40" s="574">
        <f>I40*G40</f>
        <v>4.2</v>
      </c>
      <c r="D40" s="334" t="str">
        <f>D36</f>
        <v>miles/day/e-scooter</v>
      </c>
      <c r="E40" s="575">
        <f>C40*$F$6</f>
        <v>6.7592448000000012</v>
      </c>
      <c r="F40" s="334" t="s">
        <v>1298</v>
      </c>
      <c r="G40" s="599">
        <v>3.5</v>
      </c>
      <c r="H40" s="348" t="str">
        <f>H39</f>
        <v>trips/day/e-scooter</v>
      </c>
      <c r="I40" s="335">
        <v>1.2</v>
      </c>
      <c r="J40" s="334" t="str">
        <f>J39</f>
        <v>miles/trip</v>
      </c>
      <c r="K40" s="335">
        <f>I40*F6</f>
        <v>1.9312128</v>
      </c>
      <c r="L40" s="334" t="s">
        <v>442</v>
      </c>
      <c r="M40" t="s">
        <v>1052</v>
      </c>
      <c r="N40" s="591" t="s">
        <v>1387</v>
      </c>
    </row>
    <row r="41" spans="1:14" x14ac:dyDescent="0.25">
      <c r="A41" s="581" t="s">
        <v>1307</v>
      </c>
      <c r="B41" s="581"/>
      <c r="C41" s="583"/>
      <c r="D41" s="581" t="s">
        <v>1364</v>
      </c>
      <c r="E41" s="581">
        <f>'Tech_Spec_New Escoot'!B4</f>
        <v>5.3</v>
      </c>
      <c r="F41" s="581" t="s">
        <v>1300</v>
      </c>
      <c r="G41" s="585">
        <f>G36</f>
        <v>3.13</v>
      </c>
      <c r="H41" s="581"/>
      <c r="I41" s="584"/>
      <c r="J41" s="581"/>
      <c r="K41" s="586">
        <f>E41/G41</f>
        <v>1.6932907348242812</v>
      </c>
      <c r="L41" s="581" t="str">
        <f>L40</f>
        <v>km/trip</v>
      </c>
    </row>
    <row r="42" spans="1:14" x14ac:dyDescent="0.25">
      <c r="A42" s="54"/>
      <c r="C42" s="80"/>
      <c r="E42" s="19"/>
      <c r="G42" s="80"/>
      <c r="H42" s="497"/>
      <c r="I42" s="282"/>
      <c r="K42" s="282"/>
    </row>
    <row r="43" spans="1:14" x14ac:dyDescent="0.25">
      <c r="A43" s="8" t="s">
        <v>1309</v>
      </c>
    </row>
    <row r="44" spans="1:14" x14ac:dyDescent="0.25">
      <c r="A44" s="8"/>
    </row>
    <row r="45" spans="1:14" x14ac:dyDescent="0.25">
      <c r="A45" t="str">
        <f>A34</f>
        <v>Chester quoting Bird</v>
      </c>
      <c r="C45" s="80"/>
      <c r="E45" s="3">
        <f>E34*$E$54*$E$55</f>
        <v>10.033253999999999</v>
      </c>
      <c r="F45" t="str">
        <f>F41</f>
        <v>km/day/e-sccoter in use</v>
      </c>
      <c r="G45" s="80"/>
      <c r="H45" s="497"/>
      <c r="I45" s="282"/>
      <c r="K45" s="282"/>
    </row>
    <row r="46" spans="1:14" x14ac:dyDescent="0.25">
      <c r="A46" t="str">
        <f>A35</f>
        <v>Hollingsworth et al., 2019</v>
      </c>
      <c r="C46" s="80"/>
      <c r="E46" s="3">
        <f>E35*$E$54*$E$55</f>
        <v>8.4787500000000016</v>
      </c>
      <c r="F46" t="str">
        <f>F45</f>
        <v>km/day/e-sccoter in use</v>
      </c>
      <c r="G46" s="80"/>
      <c r="H46" s="497"/>
      <c r="I46" s="282"/>
      <c r="K46" s="282"/>
    </row>
    <row r="47" spans="1:14" x14ac:dyDescent="0.25">
      <c r="A47" t="str">
        <f>A36</f>
        <v>Skip, 2020</v>
      </c>
      <c r="C47" s="80"/>
      <c r="E47" s="3">
        <f>E36*$E$54*$E$55</f>
        <v>6.2808170040000002</v>
      </c>
      <c r="F47" t="str">
        <f t="shared" ref="F47" si="6">F46</f>
        <v>km/day/e-sccoter in use</v>
      </c>
      <c r="G47" s="80"/>
      <c r="H47" s="497"/>
      <c r="I47" s="282"/>
      <c r="K47" s="282"/>
    </row>
    <row r="48" spans="1:14" x14ac:dyDescent="0.25">
      <c r="A48" t="str">
        <f>A37</f>
        <v>Paper on Life Cycle Assessment on the mobility service escooter sharing shared by an operator</v>
      </c>
      <c r="C48" s="80"/>
      <c r="E48" s="3">
        <f>E37*$E$54*$E$55</f>
        <v>8.4787499999999998</v>
      </c>
      <c r="F48" t="str">
        <f>F50</f>
        <v>km/day/e-sccoter in use</v>
      </c>
      <c r="G48" s="80"/>
      <c r="H48" s="497"/>
      <c r="I48" s="282"/>
      <c r="K48" s="282"/>
    </row>
    <row r="49" spans="1:14" x14ac:dyDescent="0.25">
      <c r="A49" t="str">
        <f>A54</f>
        <v>Personal communication with Operator</v>
      </c>
      <c r="C49" s="80"/>
      <c r="E49" s="3">
        <f>E38*E$54*$E$55</f>
        <v>6.4006249999999998</v>
      </c>
      <c r="F49" t="str">
        <f>F52</f>
        <v>km/day/e-sccoter in use</v>
      </c>
      <c r="G49" s="80"/>
      <c r="H49" s="497"/>
      <c r="I49" s="282"/>
      <c r="K49" s="282"/>
    </row>
    <row r="50" spans="1:14" x14ac:dyDescent="0.25">
      <c r="A50" t="str">
        <f>A39</f>
        <v>6-t, 2019c</v>
      </c>
      <c r="C50" s="80"/>
      <c r="E50" s="3">
        <f>E39*$E$54*$E$55</f>
        <v>13.674062499999998</v>
      </c>
      <c r="F50" t="str">
        <f>F47</f>
        <v>km/day/e-sccoter in use</v>
      </c>
      <c r="G50" s="80"/>
      <c r="H50" s="497"/>
      <c r="I50" s="282"/>
      <c r="K50" s="282"/>
    </row>
    <row r="51" spans="1:14" x14ac:dyDescent="0.25">
      <c r="A51" t="str">
        <f>A40</f>
        <v>https://www.sae.org/binaries/content/assets/cm/content/topics/micromobility/sae-micromobility-trend-or-fad-report.pdf</v>
      </c>
      <c r="C51" s="80"/>
      <c r="E51" s="3">
        <f>E40*$E$54*$E$55</f>
        <v>5.6186222400000005</v>
      </c>
      <c r="F51" t="str">
        <f>F50</f>
        <v>km/day/e-sccoter in use</v>
      </c>
      <c r="G51" s="80"/>
      <c r="H51" s="497"/>
      <c r="I51" s="282"/>
      <c r="K51" s="282"/>
    </row>
    <row r="52" spans="1:14" x14ac:dyDescent="0.25">
      <c r="A52" t="s">
        <v>1299</v>
      </c>
      <c r="C52" s="80"/>
      <c r="E52" s="3">
        <f>E41*E$54*$E$55</f>
        <v>4.4056249999999997</v>
      </c>
      <c r="F52" t="str">
        <f>F50</f>
        <v>km/day/e-sccoter in use</v>
      </c>
      <c r="G52" s="80"/>
      <c r="H52" s="497"/>
      <c r="I52" s="282"/>
      <c r="K52" s="282"/>
    </row>
    <row r="53" spans="1:14" x14ac:dyDescent="0.25">
      <c r="A53" s="54"/>
      <c r="C53" s="80"/>
      <c r="E53" s="19"/>
      <c r="G53" s="80"/>
      <c r="H53" s="497"/>
      <c r="I53" s="282"/>
      <c r="K53" s="282"/>
    </row>
    <row r="54" spans="1:14" x14ac:dyDescent="0.25">
      <c r="A54" s="581" t="s">
        <v>1299</v>
      </c>
      <c r="B54" s="581"/>
      <c r="C54" s="581"/>
      <c r="D54" s="581"/>
      <c r="E54" s="582">
        <f>'Tech_Spec_New Escoot'!B7</f>
        <v>0.95</v>
      </c>
      <c r="F54" s="581" t="str">
        <f>"&lt;&lt; "&amp;'Tech_Spec_New Escoot'!A7</f>
        <v>&lt;&lt; Availability rate</v>
      </c>
      <c r="G54" s="581"/>
      <c r="H54" s="581"/>
      <c r="I54" s="581"/>
    </row>
    <row r="55" spans="1:14" x14ac:dyDescent="0.25">
      <c r="A55" s="581"/>
      <c r="B55" s="581"/>
      <c r="C55" s="581"/>
      <c r="D55" s="581"/>
      <c r="E55" s="582">
        <f>'Tech_Spec_New Escoot'!B8</f>
        <v>0.875</v>
      </c>
      <c r="F55" s="581" t="str">
        <f>"&lt;&lt; "&amp;'Tech_Spec_New Escoot'!A8</f>
        <v>&lt;&lt; Utilisation rate</v>
      </c>
      <c r="G55" s="581"/>
      <c r="H55" s="581"/>
      <c r="I55" s="581"/>
    </row>
    <row r="58" spans="1:14" x14ac:dyDescent="0.25">
      <c r="A58" s="14" t="s">
        <v>105</v>
      </c>
      <c r="B58" s="15"/>
      <c r="C58" s="15"/>
      <c r="D58" s="15"/>
      <c r="E58" s="15">
        <v>0.47399999999999998</v>
      </c>
      <c r="F58" s="15" t="s">
        <v>30</v>
      </c>
      <c r="G58" s="15">
        <v>45</v>
      </c>
      <c r="H58" s="15" t="s">
        <v>0</v>
      </c>
      <c r="I58" s="15">
        <v>3</v>
      </c>
      <c r="J58" s="15" t="s">
        <v>104</v>
      </c>
      <c r="K58" s="59">
        <f>E58/M58</f>
        <v>3.3234463046135256</v>
      </c>
      <c r="L58" s="58" t="s">
        <v>17</v>
      </c>
      <c r="M58" s="57">
        <f>M59</f>
        <v>0.14262303541417382</v>
      </c>
      <c r="N58" s="58" t="s">
        <v>103</v>
      </c>
    </row>
    <row r="59" spans="1:14" x14ac:dyDescent="0.25">
      <c r="A59" s="51" t="s">
        <v>102</v>
      </c>
      <c r="B59" s="50"/>
      <c r="C59" s="50"/>
      <c r="D59" s="50"/>
      <c r="E59" s="50">
        <v>30</v>
      </c>
      <c r="F59" s="50" t="s">
        <v>0</v>
      </c>
      <c r="G59" s="50">
        <v>1.1000000000000001</v>
      </c>
      <c r="H59" s="50" t="s">
        <v>101</v>
      </c>
      <c r="K59" s="59">
        <f>C24/M59</f>
        <v>2.31379173106005</v>
      </c>
      <c r="L59" s="58" t="str">
        <f>L58</f>
        <v>kg</v>
      </c>
      <c r="M59" s="57">
        <f>[8]Vehi_Inputs!O116/1000</f>
        <v>0.14262303541417382</v>
      </c>
      <c r="N59" s="58" t="str">
        <f>N58</f>
        <v>kWh/kg (GREET default, car)</v>
      </c>
    </row>
    <row r="60" spans="1:14" x14ac:dyDescent="0.25">
      <c r="A60" t="str">
        <f>A54</f>
        <v>Personal communication with Operator</v>
      </c>
      <c r="E60">
        <f>'Tech_Spec_New Escoot'!B15/1000</f>
        <v>0.55100000000000005</v>
      </c>
      <c r="F60" t="str">
        <f>F58</f>
        <v>kWh</v>
      </c>
      <c r="G60">
        <v>1.19</v>
      </c>
      <c r="H60" t="str">
        <f>H59</f>
        <v>kWh/100 km</v>
      </c>
      <c r="K60" s="282">
        <f>E60/M60</f>
        <v>3.8633310418608713</v>
      </c>
      <c r="L60" s="347" t="s">
        <v>17</v>
      </c>
      <c r="M60" s="570">
        <f>[8]Vehi_Inputs!O116/1000</f>
        <v>0.14262303541417382</v>
      </c>
      <c r="N60" s="58" t="str">
        <f>N59</f>
        <v>kWh/kg (GREET default, car)</v>
      </c>
    </row>
    <row r="62" spans="1:14" x14ac:dyDescent="0.25">
      <c r="A62" s="76" t="s">
        <v>117</v>
      </c>
      <c r="B62" s="10" t="s">
        <v>9</v>
      </c>
      <c r="C62" s="10" t="s">
        <v>7</v>
      </c>
      <c r="D62" s="10">
        <f>MIN(D64/D63,D64/F63,F64/D63,F64/F63)</f>
        <v>0.1</v>
      </c>
      <c r="E62" s="10" t="s">
        <v>8</v>
      </c>
      <c r="F62" s="10">
        <f>MAX(D64/D63,D64/F63,F64/D63,F64/F63)</f>
        <v>2</v>
      </c>
      <c r="G62" s="10"/>
      <c r="H62" s="10"/>
      <c r="I62" s="10"/>
      <c r="J62" s="10"/>
    </row>
    <row r="63" spans="1:14" x14ac:dyDescent="0.25">
      <c r="A63" s="10"/>
      <c r="B63" s="10" t="s">
        <v>34</v>
      </c>
      <c r="C63" s="10" t="s">
        <v>7</v>
      </c>
      <c r="D63" s="10">
        <v>5</v>
      </c>
      <c r="E63" s="10" t="s">
        <v>8</v>
      </c>
      <c r="F63" s="10">
        <v>20</v>
      </c>
      <c r="G63" s="10" t="s">
        <v>36</v>
      </c>
      <c r="H63" s="10"/>
      <c r="I63" s="10"/>
      <c r="J63" s="10"/>
    </row>
    <row r="64" spans="1:14" x14ac:dyDescent="0.25">
      <c r="A64" s="10"/>
      <c r="B64" s="10" t="s">
        <v>35</v>
      </c>
      <c r="C64" s="10" t="s">
        <v>7</v>
      </c>
      <c r="D64" s="10">
        <v>2</v>
      </c>
      <c r="E64" s="10" t="s">
        <v>8</v>
      </c>
      <c r="F64" s="10">
        <v>10</v>
      </c>
      <c r="G64" s="10" t="s">
        <v>37</v>
      </c>
      <c r="H64" s="10"/>
      <c r="I64" s="10"/>
      <c r="J64" s="10"/>
    </row>
    <row r="65" spans="1:12" x14ac:dyDescent="0.25">
      <c r="A65" s="43" t="s">
        <v>1040</v>
      </c>
      <c r="B65" s="7" t="s">
        <v>1041</v>
      </c>
      <c r="C65" s="7"/>
      <c r="D65" s="7">
        <v>12</v>
      </c>
      <c r="E65" s="7" t="s">
        <v>1042</v>
      </c>
      <c r="F65" s="7">
        <v>24</v>
      </c>
      <c r="G65" s="7" t="s">
        <v>1043</v>
      </c>
      <c r="H65" s="7"/>
      <c r="I65" s="7"/>
      <c r="J65" s="7"/>
    </row>
    <row r="66" spans="1:12" x14ac:dyDescent="0.25">
      <c r="A66" s="342" t="s">
        <v>1044</v>
      </c>
      <c r="B66" s="343" t="s">
        <v>1047</v>
      </c>
      <c r="C66" s="343"/>
      <c r="D66" s="343">
        <v>14</v>
      </c>
      <c r="E66" s="343" t="s">
        <v>1045</v>
      </c>
      <c r="F66" s="343">
        <v>21</v>
      </c>
      <c r="G66" s="343" t="s">
        <v>1046</v>
      </c>
      <c r="H66" s="343"/>
      <c r="I66" s="343"/>
      <c r="J66" s="343"/>
    </row>
    <row r="67" spans="1:12" x14ac:dyDescent="0.25">
      <c r="A67" s="6" t="s">
        <v>1049</v>
      </c>
      <c r="B67" s="105" t="str">
        <f>B66</f>
        <v>e-scooters/charging trip</v>
      </c>
      <c r="C67" s="105"/>
      <c r="D67" s="105">
        <v>12</v>
      </c>
      <c r="E67" s="105" t="s">
        <v>1048</v>
      </c>
      <c r="F67" s="105"/>
      <c r="G67" s="105"/>
      <c r="H67" s="105"/>
      <c r="I67" s="105"/>
      <c r="J67" s="105"/>
    </row>
    <row r="69" spans="1:12" x14ac:dyDescent="0.25">
      <c r="A69" s="10">
        <f>AVERAGE(D64,F64)/AVERAGE(D63,F63)</f>
        <v>0.48</v>
      </c>
      <c r="B69" t="s">
        <v>10</v>
      </c>
      <c r="F69" s="5">
        <v>0.6</v>
      </c>
      <c r="G69" s="5">
        <v>2.5</v>
      </c>
    </row>
    <row r="70" spans="1:12" x14ac:dyDescent="0.25">
      <c r="A70" s="176">
        <f>A69*F6</f>
        <v>0.77248512000000003</v>
      </c>
      <c r="B70" t="s">
        <v>11</v>
      </c>
      <c r="F70">
        <f>F69*$F$6</f>
        <v>0.96560639999999998</v>
      </c>
      <c r="G70">
        <f>G69*$F$6</f>
        <v>4.0233600000000003</v>
      </c>
    </row>
    <row r="72" spans="1:12" x14ac:dyDescent="0.25">
      <c r="A72" s="17"/>
    </row>
    <row r="73" spans="1:12" x14ac:dyDescent="0.25">
      <c r="A73" s="8" t="s">
        <v>990</v>
      </c>
    </row>
    <row r="74" spans="1:12" x14ac:dyDescent="0.25">
      <c r="A74" t="s">
        <v>989</v>
      </c>
      <c r="B74" t="s">
        <v>988</v>
      </c>
      <c r="C74" t="s">
        <v>114</v>
      </c>
      <c r="D74" t="s">
        <v>987</v>
      </c>
      <c r="E74" t="s">
        <v>195</v>
      </c>
      <c r="G74" t="s">
        <v>986</v>
      </c>
      <c r="J74" t="s">
        <v>985</v>
      </c>
      <c r="K74" t="s">
        <v>12</v>
      </c>
      <c r="L74" t="s">
        <v>453</v>
      </c>
    </row>
    <row r="75" spans="1:12" x14ac:dyDescent="0.25">
      <c r="D75" t="s">
        <v>984</v>
      </c>
      <c r="E75" t="s">
        <v>983</v>
      </c>
      <c r="F75" t="s">
        <v>982</v>
      </c>
      <c r="G75" t="s">
        <v>981</v>
      </c>
      <c r="H75" t="s">
        <v>980</v>
      </c>
      <c r="I75" t="s">
        <v>979</v>
      </c>
      <c r="J75" t="s">
        <v>118</v>
      </c>
      <c r="K75" t="s">
        <v>332</v>
      </c>
    </row>
    <row r="76" spans="1:12" x14ac:dyDescent="0.25">
      <c r="A76" t="s">
        <v>976</v>
      </c>
      <c r="B76" s="17" t="s">
        <v>978</v>
      </c>
      <c r="C76">
        <v>2018</v>
      </c>
      <c r="D76">
        <v>627</v>
      </c>
      <c r="E76">
        <v>3.13</v>
      </c>
      <c r="F76">
        <f>D76*E76</f>
        <v>1962.51</v>
      </c>
      <c r="G76">
        <v>51</v>
      </c>
      <c r="H76">
        <f>G76/D76</f>
        <v>8.1339712918660281E-2</v>
      </c>
      <c r="I76">
        <f>G76/F76</f>
        <v>2.5987128728006483E-2</v>
      </c>
      <c r="J76">
        <f>H76*100</f>
        <v>8.133971291866029</v>
      </c>
      <c r="L76" s="17" t="s">
        <v>974</v>
      </c>
    </row>
    <row r="77" spans="1:12" x14ac:dyDescent="0.25">
      <c r="A77" t="s">
        <v>976</v>
      </c>
      <c r="B77" t="s">
        <v>977</v>
      </c>
      <c r="C77">
        <v>2019</v>
      </c>
      <c r="D77" s="80">
        <f t="shared" ref="D77:F78" si="7">D76</f>
        <v>627</v>
      </c>
      <c r="E77" s="80">
        <f t="shared" si="7"/>
        <v>3.13</v>
      </c>
      <c r="F77" s="80">
        <f t="shared" si="7"/>
        <v>1962.51</v>
      </c>
      <c r="G77" s="80">
        <f>I77*F77</f>
        <v>9.3925728600000014</v>
      </c>
      <c r="H77">
        <f>G77/D77</f>
        <v>1.4980180000000003E-2</v>
      </c>
      <c r="I77">
        <f>0.004786</f>
        <v>4.7860000000000003E-3</v>
      </c>
      <c r="J77">
        <f>H77*100</f>
        <v>1.4980180000000003</v>
      </c>
      <c r="L77" s="17" t="s">
        <v>974</v>
      </c>
    </row>
    <row r="78" spans="1:12" x14ac:dyDescent="0.25">
      <c r="A78" t="s">
        <v>976</v>
      </c>
      <c r="B78" t="s">
        <v>975</v>
      </c>
      <c r="D78" s="80">
        <f t="shared" si="7"/>
        <v>627</v>
      </c>
      <c r="E78" s="80">
        <f t="shared" si="7"/>
        <v>3.13</v>
      </c>
      <c r="F78" s="80">
        <f t="shared" si="7"/>
        <v>1962.51</v>
      </c>
      <c r="G78" s="80">
        <f>I78*F78</f>
        <v>3.02422791</v>
      </c>
      <c r="H78">
        <f>G78/D78</f>
        <v>4.8233299999999998E-3</v>
      </c>
      <c r="I78">
        <v>1.5410000000000001E-3</v>
      </c>
      <c r="J78">
        <f>H78*100</f>
        <v>0.48233299999999996</v>
      </c>
      <c r="L78" s="17" t="s">
        <v>974</v>
      </c>
    </row>
    <row r="79" spans="1:12" x14ac:dyDescent="0.25">
      <c r="A79" t="s">
        <v>970</v>
      </c>
      <c r="B79" t="s">
        <v>973</v>
      </c>
      <c r="K79">
        <f>3.5/12</f>
        <v>0.29166666666666669</v>
      </c>
      <c r="L79" s="17" t="s">
        <v>971</v>
      </c>
    </row>
    <row r="80" spans="1:12" x14ac:dyDescent="0.25">
      <c r="A80" t="s">
        <v>970</v>
      </c>
      <c r="B80" t="s">
        <v>973</v>
      </c>
      <c r="K80">
        <f>3.5/12</f>
        <v>0.29166666666666669</v>
      </c>
      <c r="L80" s="17" t="s">
        <v>972</v>
      </c>
    </row>
    <row r="81" spans="1:12" x14ac:dyDescent="0.25">
      <c r="A81" t="s">
        <v>970</v>
      </c>
      <c r="B81" t="s">
        <v>969</v>
      </c>
      <c r="K81">
        <f>10/12</f>
        <v>0.83333333333333337</v>
      </c>
      <c r="L81" s="17" t="s">
        <v>971</v>
      </c>
    </row>
    <row r="82" spans="1:12" x14ac:dyDescent="0.25">
      <c r="A82" t="s">
        <v>970</v>
      </c>
      <c r="B82" t="s">
        <v>969</v>
      </c>
      <c r="K82">
        <f>K81</f>
        <v>0.83333333333333337</v>
      </c>
      <c r="L82" s="17" t="s">
        <v>968</v>
      </c>
    </row>
    <row r="83" spans="1:12" x14ac:dyDescent="0.25">
      <c r="A83" t="s">
        <v>484</v>
      </c>
      <c r="B83" t="s">
        <v>967</v>
      </c>
      <c r="K83">
        <f>3/12</f>
        <v>0.25</v>
      </c>
      <c r="L83" s="17" t="s">
        <v>966</v>
      </c>
    </row>
    <row r="84" spans="1:12" x14ac:dyDescent="0.25">
      <c r="A84" t="str">
        <f>A60</f>
        <v>Personal communication with Operator</v>
      </c>
      <c r="K84">
        <f>'Tech_Spec_New Escoot'!B20/12</f>
        <v>1.9666666666666668</v>
      </c>
    </row>
  </sheetData>
  <hyperlinks>
    <hyperlink ref="A34" r:id="rId1" xr:uid="{00000000-0004-0000-0700-000000000000}"/>
    <hyperlink ref="A58" r:id="rId2" xr:uid="{00000000-0004-0000-0700-000001000000}"/>
    <hyperlink ref="A62" r:id="rId3" display="Chester quoting Bird" xr:uid="{00000000-0004-0000-0700-000002000000}"/>
    <hyperlink ref="F11" r:id="rId4" xr:uid="{00000000-0004-0000-0700-000003000000}"/>
    <hyperlink ref="B76" r:id="rId5" xr:uid="{00000000-0004-0000-0700-000004000000}"/>
    <hyperlink ref="L76" r:id="rId6" xr:uid="{00000000-0004-0000-0700-000005000000}"/>
    <hyperlink ref="L77" r:id="rId7" xr:uid="{00000000-0004-0000-0700-000006000000}"/>
    <hyperlink ref="L78" r:id="rId8" xr:uid="{00000000-0004-0000-0700-000007000000}"/>
    <hyperlink ref="L83" r:id="rId9" xr:uid="{00000000-0004-0000-0700-000008000000}"/>
    <hyperlink ref="L81" r:id="rId10" xr:uid="{00000000-0004-0000-0700-000009000000}"/>
    <hyperlink ref="L79" r:id="rId11" xr:uid="{00000000-0004-0000-0700-00000A000000}"/>
    <hyperlink ref="L82" r:id="rId12" display="http://www.carbone4.com/wp-content/uploads/2019/09/Carbone-4-for-Bird-E-Scooter-and-Cities-decarbonization.pdf" xr:uid="{00000000-0004-0000-0700-00000B000000}"/>
    <hyperlink ref="A36" r:id="rId13" display="Skip" xr:uid="{00000000-0004-0000-0700-00000C000000}"/>
    <hyperlink ref="A59" r:id="rId14" xr:uid="{00000000-0004-0000-0700-00000D000000}"/>
    <hyperlink ref="A39" r:id="rId15" xr:uid="{00000000-0004-0000-0700-00000E000000}"/>
    <hyperlink ref="A65" r:id="rId16" xr:uid="{00000000-0004-0000-0700-00000F000000}"/>
    <hyperlink ref="A66" r:id="rId17" xr:uid="{00000000-0004-0000-0700-000010000000}"/>
    <hyperlink ref="A67" r:id="rId18" xr:uid="{00000000-0004-0000-0700-000011000000}"/>
    <hyperlink ref="A40" r:id="rId19" xr:uid="{00000000-0004-0000-0700-000012000000}"/>
    <hyperlink ref="M39" r:id="rId20" xr:uid="{00000000-0004-0000-0700-000013000000}"/>
    <hyperlink ref="M37" r:id="rId21" xr:uid="{00000000-0004-0000-0700-000014000000}"/>
  </hyperlinks>
  <pageMargins left="0.7" right="0.7" top="0.75" bottom="0.75" header="0.3" footer="0.3"/>
  <pageSetup paperSize="9" orientation="portrait" r:id="rId22"/>
  <legacyDrawing r:id="rId2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tint="0.34998626667073579"/>
  </sheetPr>
  <dimension ref="A3:S92"/>
  <sheetViews>
    <sheetView topLeftCell="A72" workbookViewId="0">
      <selection activeCell="B50" sqref="B50"/>
    </sheetView>
  </sheetViews>
  <sheetFormatPr defaultColWidth="9" defaultRowHeight="13.2" x14ac:dyDescent="0.25"/>
  <cols>
    <col min="1" max="1" width="63.21875" customWidth="1"/>
    <col min="2" max="2" width="10.44140625" customWidth="1"/>
  </cols>
  <sheetData>
    <row r="3" spans="1:5" x14ac:dyDescent="0.25">
      <c r="A3" t="s">
        <v>1262</v>
      </c>
      <c r="B3">
        <v>500</v>
      </c>
      <c r="C3" t="s">
        <v>1263</v>
      </c>
    </row>
    <row r="4" spans="1:5" x14ac:dyDescent="0.25">
      <c r="A4" t="s">
        <v>4</v>
      </c>
      <c r="B4">
        <v>5.3</v>
      </c>
      <c r="C4" t="s">
        <v>1380</v>
      </c>
    </row>
    <row r="5" spans="1:5" x14ac:dyDescent="0.25">
      <c r="A5" t="s">
        <v>1383</v>
      </c>
      <c r="B5">
        <f>B6*B7*B8</f>
        <v>6.4006249999999998</v>
      </c>
      <c r="C5" t="s">
        <v>1345</v>
      </c>
    </row>
    <row r="6" spans="1:5" x14ac:dyDescent="0.25">
      <c r="A6" t="s">
        <v>1333</v>
      </c>
      <c r="B6">
        <v>7.7</v>
      </c>
      <c r="C6" t="s">
        <v>1346</v>
      </c>
    </row>
    <row r="7" spans="1:5" x14ac:dyDescent="0.25">
      <c r="A7" t="s">
        <v>1384</v>
      </c>
      <c r="B7" s="110">
        <v>0.95</v>
      </c>
      <c r="C7" t="s">
        <v>1382</v>
      </c>
    </row>
    <row r="8" spans="1:5" x14ac:dyDescent="0.25">
      <c r="A8" t="s">
        <v>1235</v>
      </c>
      <c r="B8" s="110">
        <f>1-B11</f>
        <v>0.875</v>
      </c>
      <c r="C8" t="s">
        <v>1385</v>
      </c>
    </row>
    <row r="9" spans="1:5" x14ac:dyDescent="0.25">
      <c r="A9" t="s">
        <v>1316</v>
      </c>
      <c r="B9">
        <v>3.5</v>
      </c>
      <c r="C9" t="s">
        <v>1381</v>
      </c>
    </row>
    <row r="10" spans="1:5" s="382" customFormat="1" x14ac:dyDescent="0.25">
      <c r="A10" s="382" t="s">
        <v>151</v>
      </c>
      <c r="B10" s="576">
        <f>(B15/1000*0.7-B9*B6*B17/100)/(B15/1000*0.7)</f>
        <v>0.1685117967332124</v>
      </c>
      <c r="C10" s="382" t="s">
        <v>1344</v>
      </c>
    </row>
    <row r="11" spans="1:5" x14ac:dyDescent="0.25">
      <c r="A11" t="s">
        <v>1329</v>
      </c>
      <c r="B11" s="1">
        <f>(0.5/(B9+0.5))</f>
        <v>0.125</v>
      </c>
      <c r="C11" t="str">
        <f>"&lt;&lt; assumes 1 charge every "&amp;B9&amp;" days, 0.5 days needed per scooter movements (repositioning) between charges and no time losses for charge (thanks to swapping)"</f>
        <v>&lt;&lt; assumes 1 charge every 3,5 days, 0.5 days needed per scooter movements (repositioning) between charges and no time losses for charge (thanks to swapping)</v>
      </c>
    </row>
    <row r="12" spans="1:5" x14ac:dyDescent="0.25">
      <c r="A12" t="s">
        <v>1330</v>
      </c>
      <c r="B12" s="517">
        <f>1-B7*(1-B11)</f>
        <v>0.16875000000000007</v>
      </c>
    </row>
    <row r="13" spans="1:5" s="382" customFormat="1" x14ac:dyDescent="0.25">
      <c r="A13" t="s">
        <v>1334</v>
      </c>
      <c r="B13" s="577">
        <f>1+B11</f>
        <v>1.125</v>
      </c>
    </row>
    <row r="14" spans="1:5" x14ac:dyDescent="0.25">
      <c r="A14" t="s">
        <v>1259</v>
      </c>
      <c r="B14">
        <v>1.3</v>
      </c>
      <c r="C14" t="s">
        <v>1259</v>
      </c>
      <c r="E14" t="s">
        <v>1368</v>
      </c>
    </row>
    <row r="15" spans="1:5" x14ac:dyDescent="0.25">
      <c r="A15" t="s">
        <v>1303</v>
      </c>
      <c r="B15">
        <v>551</v>
      </c>
      <c r="C15" t="s">
        <v>1260</v>
      </c>
    </row>
    <row r="16" spans="1:5" x14ac:dyDescent="0.25">
      <c r="A16" t="s">
        <v>1304</v>
      </c>
      <c r="B16">
        <v>2600</v>
      </c>
      <c r="C16" t="s">
        <v>1261</v>
      </c>
    </row>
    <row r="17" spans="1:5" x14ac:dyDescent="0.25">
      <c r="B17">
        <v>1.19</v>
      </c>
      <c r="C17" t="s">
        <v>101</v>
      </c>
    </row>
    <row r="18" spans="1:5" x14ac:dyDescent="0.25">
      <c r="A18" t="s">
        <v>6</v>
      </c>
      <c r="B18">
        <f>B15/1000/B17*100</f>
        <v>46.302521008403367</v>
      </c>
      <c r="C18" t="s">
        <v>0</v>
      </c>
    </row>
    <row r="20" spans="1:5" x14ac:dyDescent="0.25">
      <c r="A20" t="s">
        <v>1266</v>
      </c>
      <c r="B20">
        <v>23.6</v>
      </c>
      <c r="C20" t="s">
        <v>1264</v>
      </c>
      <c r="D20" t="s">
        <v>1360</v>
      </c>
    </row>
    <row r="21" spans="1:5" x14ac:dyDescent="0.25">
      <c r="B21">
        <f>B20*30*B5</f>
        <v>4531.6424999999999</v>
      </c>
      <c r="C21" t="s">
        <v>1265</v>
      </c>
    </row>
    <row r="24" spans="1:5" x14ac:dyDescent="0.25">
      <c r="A24" t="s">
        <v>1302</v>
      </c>
      <c r="B24">
        <v>28.5</v>
      </c>
      <c r="C24" t="s">
        <v>17</v>
      </c>
    </row>
    <row r="27" spans="1:5" x14ac:dyDescent="0.25">
      <c r="A27" t="s">
        <v>1267</v>
      </c>
      <c r="B27">
        <v>110</v>
      </c>
      <c r="C27" t="s">
        <v>1268</v>
      </c>
      <c r="E27" t="s">
        <v>1347</v>
      </c>
    </row>
    <row r="28" spans="1:5" x14ac:dyDescent="0.25">
      <c r="B28">
        <v>2</v>
      </c>
      <c r="C28" t="s">
        <v>1269</v>
      </c>
    </row>
    <row r="29" spans="1:5" x14ac:dyDescent="0.25">
      <c r="B29">
        <v>80</v>
      </c>
      <c r="C29" t="s">
        <v>1270</v>
      </c>
      <c r="E29" t="s">
        <v>1347</v>
      </c>
    </row>
    <row r="30" spans="1:5" x14ac:dyDescent="0.25">
      <c r="B30">
        <v>2</v>
      </c>
      <c r="C30" t="s">
        <v>1269</v>
      </c>
    </row>
    <row r="32" spans="1:5" x14ac:dyDescent="0.25">
      <c r="A32" t="s">
        <v>1314</v>
      </c>
    </row>
    <row r="33" spans="1:6" x14ac:dyDescent="0.25">
      <c r="A33" t="s">
        <v>1352</v>
      </c>
      <c r="B33">
        <v>55</v>
      </c>
      <c r="C33" t="s">
        <v>1271</v>
      </c>
      <c r="E33" t="s">
        <v>1348</v>
      </c>
    </row>
    <row r="34" spans="1:6" x14ac:dyDescent="0.25">
      <c r="A34" t="s">
        <v>1352</v>
      </c>
      <c r="B34">
        <v>74</v>
      </c>
      <c r="C34" t="s">
        <v>1272</v>
      </c>
    </row>
    <row r="35" spans="1:6" x14ac:dyDescent="0.25">
      <c r="A35" t="s">
        <v>1273</v>
      </c>
      <c r="B35">
        <v>40</v>
      </c>
      <c r="C35" t="s">
        <v>1272</v>
      </c>
    </row>
    <row r="36" spans="1:6" x14ac:dyDescent="0.25">
      <c r="A36" t="s">
        <v>1274</v>
      </c>
      <c r="B36">
        <v>6</v>
      </c>
      <c r="C36" t="s">
        <v>1271</v>
      </c>
      <c r="D36" t="s">
        <v>1275</v>
      </c>
    </row>
    <row r="37" spans="1:6" x14ac:dyDescent="0.25">
      <c r="A37" t="s">
        <v>1353</v>
      </c>
      <c r="B37">
        <v>22</v>
      </c>
      <c r="C37" t="s">
        <v>1271</v>
      </c>
    </row>
    <row r="38" spans="1:6" x14ac:dyDescent="0.25">
      <c r="A38" t="str">
        <f>A37</f>
        <v>e.g. Nissan EV 200</v>
      </c>
      <c r="B38">
        <v>60</v>
      </c>
      <c r="C38" t="s">
        <v>1272</v>
      </c>
    </row>
    <row r="40" spans="1:6" x14ac:dyDescent="0.25">
      <c r="B40" s="18"/>
    </row>
    <row r="41" spans="1:6" x14ac:dyDescent="0.25">
      <c r="B41">
        <v>5000</v>
      </c>
      <c r="C41" t="s">
        <v>1284</v>
      </c>
    </row>
    <row r="42" spans="1:6" x14ac:dyDescent="0.25">
      <c r="B42">
        <v>24</v>
      </c>
      <c r="C42" t="s">
        <v>1282</v>
      </c>
    </row>
    <row r="43" spans="1:6" x14ac:dyDescent="0.25">
      <c r="B43">
        <v>4</v>
      </c>
      <c r="C43" t="s">
        <v>1283</v>
      </c>
    </row>
    <row r="44" spans="1:6" x14ac:dyDescent="0.25">
      <c r="B44">
        <v>10</v>
      </c>
      <c r="C44" t="str">
        <f>A33</f>
        <v>Electric van capacity (e.g. Master ZE)</v>
      </c>
    </row>
    <row r="45" spans="1:6" x14ac:dyDescent="0.25">
      <c r="B45">
        <v>2</v>
      </c>
      <c r="C45" t="str">
        <f>A37</f>
        <v>e.g. Nissan EV 200</v>
      </c>
    </row>
    <row r="47" spans="1:6" x14ac:dyDescent="0.25">
      <c r="A47" t="s">
        <v>1311</v>
      </c>
      <c r="B47">
        <f>(B44+B45)*B27+B42*B29</f>
        <v>3240</v>
      </c>
      <c r="C47" t="s">
        <v>0</v>
      </c>
    </row>
    <row r="48" spans="1:6" x14ac:dyDescent="0.25">
      <c r="A48" t="s">
        <v>1312</v>
      </c>
      <c r="B48">
        <f>B47/(B44+B45+B42)</f>
        <v>90</v>
      </c>
      <c r="C48" t="s">
        <v>1317</v>
      </c>
      <c r="F48" t="s">
        <v>1366</v>
      </c>
    </row>
    <row r="49" spans="1:19" x14ac:dyDescent="0.25">
      <c r="A49" t="s">
        <v>1313</v>
      </c>
      <c r="B49">
        <f>B48/AVERAGE(B28,B30)</f>
        <v>45</v>
      </c>
      <c r="C49" t="s">
        <v>1318</v>
      </c>
    </row>
    <row r="50" spans="1:19" x14ac:dyDescent="0.25">
      <c r="A50" t="s">
        <v>1320</v>
      </c>
      <c r="B50">
        <f>B49/(B9+0.5)</f>
        <v>11.25</v>
      </c>
      <c r="C50" t="s">
        <v>1319</v>
      </c>
    </row>
    <row r="51" spans="1:19" x14ac:dyDescent="0.25">
      <c r="A51" t="str">
        <f>'0_Total'!A21</f>
        <v>Average number of vehicles taken care of by a single service vehicle trip</v>
      </c>
      <c r="B51" s="3">
        <f>(AVERAGE(B37:B38)*B45+AVERAGE(B33:B34)*B44+B35*B42)/(B45+B44+B42)*B56</f>
        <v>14.058333333333334</v>
      </c>
      <c r="C51" t="str">
        <f>'0_Total'!B21</f>
        <v>[vehicles/service vehicle trip]</v>
      </c>
      <c r="M51" s="497" t="str">
        <f>"&gt;&gt; Upper bound/Optimistic (see "&amp;A52&amp;" info below) (San Francisco) &gt;&gt;&gt;"</f>
        <v>&gt;&gt; Upper bound/Optimistic (see service km per e-scooter info below) (San Francisco) &gt;&gt;&gt;</v>
      </c>
      <c r="N51">
        <v>42</v>
      </c>
      <c r="O51" t="s">
        <v>1354</v>
      </c>
      <c r="Q51">
        <v>60</v>
      </c>
      <c r="S51" t="s">
        <v>1367</v>
      </c>
    </row>
    <row r="52" spans="1:19" x14ac:dyDescent="0.25">
      <c r="A52" t="s">
        <v>1355</v>
      </c>
      <c r="B52" s="3">
        <f>B50/B51</f>
        <v>0.80023710729104913</v>
      </c>
      <c r="C52" t="s">
        <v>1356</v>
      </c>
      <c r="I52" s="592" t="s">
        <v>1369</v>
      </c>
    </row>
    <row r="53" spans="1:19" x14ac:dyDescent="0.25">
      <c r="A53" t="s">
        <v>1306</v>
      </c>
      <c r="B53">
        <f>B41*B6*B7*B8</f>
        <v>32003.125</v>
      </c>
      <c r="C53" t="str">
        <f>C47</f>
        <v>km</v>
      </c>
    </row>
    <row r="54" spans="1:19" x14ac:dyDescent="0.25">
      <c r="A54" t="str">
        <f>'4_Operational_Services'!A10</f>
        <v>Travel requirement ratio for vehicle providing operational services</v>
      </c>
      <c r="B54" s="18">
        <f>B47/B53</f>
        <v>0.10124011327018846</v>
      </c>
      <c r="C54" t="s">
        <v>1338</v>
      </c>
    </row>
    <row r="55" spans="1:19" x14ac:dyDescent="0.25">
      <c r="A55" t="str">
        <f>"Caculated "&amp;A54</f>
        <v>Caculated Travel requirement ratio for vehicle providing operational services</v>
      </c>
      <c r="B55" s="18">
        <f>'4_Operational_Services'!AE10</f>
        <v>0.10071949798663205</v>
      </c>
      <c r="G55" t="s">
        <v>1321</v>
      </c>
      <c r="H55" s="578" t="s">
        <v>1322</v>
      </c>
      <c r="I55" s="578" t="s">
        <v>1323</v>
      </c>
      <c r="J55" s="578" t="s">
        <v>1324</v>
      </c>
      <c r="K55" s="578" t="s">
        <v>1325</v>
      </c>
      <c r="M55" s="578" t="s">
        <v>1327</v>
      </c>
    </row>
    <row r="56" spans="1:19" x14ac:dyDescent="0.25">
      <c r="A56" t="s">
        <v>1315</v>
      </c>
      <c r="B56" s="590">
        <f>SUM(H56:K56)/COUNT(H56:K56)</f>
        <v>0.3</v>
      </c>
      <c r="C56" t="s">
        <v>1331</v>
      </c>
      <c r="G56" t="s">
        <v>1326</v>
      </c>
      <c r="H56" s="578">
        <f>AVERAGE(0,$M$56)</f>
        <v>0.2</v>
      </c>
      <c r="I56" s="578">
        <f>M56</f>
        <v>0.4</v>
      </c>
      <c r="J56" s="578">
        <f>M56</f>
        <v>0.4</v>
      </c>
      <c r="K56" s="578">
        <f>AVERAGE(0,M56)</f>
        <v>0.2</v>
      </c>
      <c r="M56">
        <v>0.4</v>
      </c>
      <c r="N56" t="str">
        <f>"&lt;&lt; assumed to make "&amp;A55&amp;" match the empirical value of"&amp;A54</f>
        <v>&lt;&lt; assumed to make Caculated Travel requirement ratio for vehicle providing operational services match the empirical value ofTravel requirement ratio for vehicle providing operational services</v>
      </c>
    </row>
    <row r="57" spans="1:19" x14ac:dyDescent="0.25">
      <c r="B57" s="3"/>
    </row>
    <row r="59" spans="1:19" x14ac:dyDescent="0.25">
      <c r="A59" t="s">
        <v>1349</v>
      </c>
    </row>
    <row r="60" spans="1:19" x14ac:dyDescent="0.25">
      <c r="A60" t="s">
        <v>1350</v>
      </c>
      <c r="B60" t="s">
        <v>1332</v>
      </c>
    </row>
    <row r="62" spans="1:19" x14ac:dyDescent="0.25">
      <c r="A62" t="s">
        <v>1276</v>
      </c>
      <c r="B62" s="110">
        <v>0.8</v>
      </c>
      <c r="E62" t="s">
        <v>1347</v>
      </c>
    </row>
    <row r="64" spans="1:19" x14ac:dyDescent="0.25">
      <c r="A64" t="s">
        <v>1277</v>
      </c>
    </row>
    <row r="67" spans="1:5" x14ac:dyDescent="0.25">
      <c r="A67" t="s">
        <v>1278</v>
      </c>
      <c r="B67">
        <v>67</v>
      </c>
      <c r="C67" t="s">
        <v>1279</v>
      </c>
      <c r="E67" t="s">
        <v>1281</v>
      </c>
    </row>
    <row r="68" spans="1:5" x14ac:dyDescent="0.25">
      <c r="B68">
        <v>35</v>
      </c>
      <c r="C68" t="s">
        <v>1280</v>
      </c>
      <c r="E68" t="s">
        <v>1347</v>
      </c>
    </row>
    <row r="69" spans="1:5" x14ac:dyDescent="0.25">
      <c r="B69">
        <v>115</v>
      </c>
      <c r="C69" t="s">
        <v>1279</v>
      </c>
      <c r="E69" t="s">
        <v>1351</v>
      </c>
    </row>
    <row r="71" spans="1:5" x14ac:dyDescent="0.25">
      <c r="A71" t="s">
        <v>1285</v>
      </c>
      <c r="B71" s="110">
        <v>0.11</v>
      </c>
    </row>
    <row r="73" spans="1:5" x14ac:dyDescent="0.25">
      <c r="A73" t="s">
        <v>1286</v>
      </c>
      <c r="B73" t="s">
        <v>1287</v>
      </c>
    </row>
    <row r="74" spans="1:5" x14ac:dyDescent="0.25">
      <c r="A74" t="s">
        <v>988</v>
      </c>
      <c r="B74" t="s">
        <v>1296</v>
      </c>
    </row>
    <row r="76" spans="1:5" x14ac:dyDescent="0.25">
      <c r="A76" t="s">
        <v>15</v>
      </c>
      <c r="B76" s="110">
        <v>0.9</v>
      </c>
      <c r="C76" t="s">
        <v>1288</v>
      </c>
    </row>
    <row r="77" spans="1:5" x14ac:dyDescent="0.25">
      <c r="B77" s="110">
        <v>0.1</v>
      </c>
      <c r="C77" t="s">
        <v>1289</v>
      </c>
    </row>
    <row r="79" spans="1:5" x14ac:dyDescent="0.25">
      <c r="A79" t="s">
        <v>1290</v>
      </c>
    </row>
    <row r="82" spans="1:2" x14ac:dyDescent="0.25">
      <c r="A82" t="s">
        <v>1291</v>
      </c>
      <c r="B82" s="110">
        <v>0.43</v>
      </c>
    </row>
    <row r="83" spans="1:2" x14ac:dyDescent="0.25">
      <c r="A83" t="s">
        <v>188</v>
      </c>
      <c r="B83" s="110">
        <v>0.15</v>
      </c>
    </row>
    <row r="84" spans="1:2" x14ac:dyDescent="0.25">
      <c r="A84" t="s">
        <v>16</v>
      </c>
      <c r="B84" s="579">
        <v>9.1999999999999998E-2</v>
      </c>
    </row>
    <row r="85" spans="1:2" x14ac:dyDescent="0.25">
      <c r="A85" t="s">
        <v>1293</v>
      </c>
      <c r="B85" s="110">
        <v>7.0000000000000007E-2</v>
      </c>
    </row>
    <row r="86" spans="1:2" x14ac:dyDescent="0.25">
      <c r="A86" t="s">
        <v>182</v>
      </c>
      <c r="B86" s="110">
        <v>0.04</v>
      </c>
    </row>
    <row r="87" spans="1:2" x14ac:dyDescent="0.25">
      <c r="A87" t="s">
        <v>22</v>
      </c>
      <c r="B87" s="579">
        <v>3.3999999999999998E-3</v>
      </c>
    </row>
    <row r="88" spans="1:2" x14ac:dyDescent="0.25">
      <c r="A88" t="s">
        <v>1292</v>
      </c>
      <c r="B88" s="110">
        <v>0.09</v>
      </c>
    </row>
    <row r="89" spans="1:2" x14ac:dyDescent="0.25">
      <c r="A89" t="s">
        <v>1294</v>
      </c>
      <c r="B89" s="110">
        <v>0.03</v>
      </c>
    </row>
    <row r="91" spans="1:2" x14ac:dyDescent="0.25">
      <c r="A91" t="s">
        <v>187</v>
      </c>
      <c r="B91" t="s">
        <v>1295</v>
      </c>
    </row>
    <row r="92" spans="1:2" x14ac:dyDescent="0.25">
      <c r="B92" t="s">
        <v>1297</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J F + V f g Q u Y m k A A A A 9 g A A A B I A H A B D b 2 5 m a W c v U G F j a 2 F n Z S 5 4 b W w g o h g A K K A U A A A A A A A A A A A A A A A A A A A A A A A A A A A A h Y 9 N C s I w F I S v U r J v / t x I e Y 0 L Q R A s C I K 4 D W l s g + 2 r N K n t 3 V x 4 J K 9 g R a v u X M 4 3 3 2 L m f r 3 B Y q i r 6 G J b 7 x p M i a C c R B Z N k z s s U t K F Y z w n C w V b b U 6 6 s N E o o 0 8 G n 6 e k D O G c M N b 3 P e 1 n t G k L J j k X 7 J B t d q a 0 t S Y f 2 f 2 X Y 4 c + a D S W K N i / x i h J h e B U S k k 5 s A l C 5 v A r y H H v s / 2 B s O y q 0 L V W W Y x X a 2 B T B P b + o B 5 Q S w M E F A A C A A g A w J F + 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C R f l U o i k e 4 D g A A A B E A A A A T A B w A R m 9 y b X V s Y X M v U 2 V j d G l v b j E u b S C i G A A o o B Q A A A A A A A A A A A A A A A A A A A A A A A A A A A A r T k 0 u y c z P U w i G 0 I b W A F B L A Q I t A B Q A A g A I A M C R f l X 4 E L m J p A A A A P Y A A A A S A A A A A A A A A A A A A A A A A A A A A A B D b 2 5 m a W c v U G F j a 2 F n Z S 5 4 b W x Q S w E C L Q A U A A I A C A D A k X 5 V D 8 r p q 6 Q A A A D p A A A A E w A A A A A A A A A A A A A A A A D w A A A A W 0 N v b n R l b n R f V H l w Z X N d L n h t b F B L A Q I t A B Q A A g A I A M C R f 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S A z S V 6 e L V S K R h j N T a M E c 0 A A A A A A I A A A A A A B B m A A A A A Q A A I A A A A F l 4 q t 9 M U Q Y O 7 F 7 m y L Z c H f I m 4 1 y M 6 L o Y Y 8 N + p S J m E L + z A A A A A A 6 A A A A A A g A A I A A A A I m Z I 6 l o x b J D D B n y 1 h R M k R Z Y N E a D C J U g M E d 5 t M 3 O Y C 4 y U A A A A L E x b v o k X U I / 0 g j v J 8 c D 5 7 F F G G J L 1 T H 1 p G H 3 6 / G x d k 4 b g i V K V A M G x T M T E V P u h b 4 V 8 6 v w G N e 1 v U 9 y 7 i x / b 9 I D b d g V d i M Y 0 M J B P T I k A F 5 6 G M Q 7 Q A A A A O P R 7 M s k X 5 R S 4 e f g W Q F H + n 0 f w Z h u t 6 c 1 w A K 3 n U o m j g 9 u L E R p w e s F f s P + E C R o x 2 J l m g + q 8 A g f a k / l u X E u 8 b X H 8 E I = < / D a t a M a s h u p > 
</file>

<file path=customXml/itemProps1.xml><?xml version="1.0" encoding="utf-8"?>
<ds:datastoreItem xmlns:ds="http://schemas.openxmlformats.org/officeDocument/2006/customXml" ds:itemID="{5BD40DD1-7504-42C3-90DE-9328CE55F94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Introduction</vt:lpstr>
      <vt:lpstr>0_Total</vt:lpstr>
      <vt:lpstr>1_Manufacturing</vt:lpstr>
      <vt:lpstr>2_Transport</vt:lpstr>
      <vt:lpstr>3_Use</vt:lpstr>
      <vt:lpstr>4_Operational_Services</vt:lpstr>
      <vt:lpstr>5_Infrastructure</vt:lpstr>
      <vt:lpstr>Tech_Spec_Escoot</vt:lpstr>
      <vt:lpstr>Tech_Spec_New Escoot</vt:lpstr>
      <vt:lpstr>Tech_Spec_Bikes</vt:lpstr>
      <vt:lpstr>Tech_Specs_2W</vt:lpstr>
      <vt:lpstr>Tech_Spec_Rail</vt:lpstr>
      <vt:lpstr>Tech_Specs_Bus</vt:lpstr>
      <vt:lpstr>Tech_Specs_Car</vt:lpstr>
      <vt:lpstr>Tech_Specs_Infra</vt:lpstr>
      <vt:lpstr>Tech_Spec_TNC</vt:lpstr>
      <vt:lpstr>WTW_Fuel_properties</vt:lpstr>
      <vt:lpstr>Power_Gen_Mix</vt:lpstr>
      <vt:lpstr>Convert</vt:lpstr>
      <vt:lpstr>Tables 1 and 2</vt:lpstr>
      <vt:lpstr>Figure_2_GHG_per_pkm_General</vt:lpstr>
      <vt:lpstr>Figure_3_MJ_per_pkm_General</vt:lpstr>
      <vt:lpstr>Figure_4_GHG_per_vkm_General</vt:lpstr>
      <vt:lpstr>Figure_5_MJ_per_Vkm_General</vt:lpstr>
      <vt:lpstr>Figure_6_GHG_per_pkm_by_people</vt:lpstr>
      <vt:lpstr>Figure_7_GHG_per_pkm_Microm</vt:lpstr>
      <vt:lpstr>MJ_per_pkm_Microm</vt:lpstr>
      <vt:lpstr>Figure_8_GHG_per_pkm_NewEScoot</vt:lpstr>
      <vt:lpstr>Figure_9_GHG_per_pkm_Cars</vt:lpstr>
      <vt:lpstr>Figure_9_MJ_per_pkm_Cars</vt:lpstr>
      <vt:lpstr>Figure_10_GHG_per_pkm_TNC</vt:lpstr>
      <vt:lpstr>Figure_10_MJ_per_pkm_TNC</vt:lpstr>
      <vt:lpstr>Figure_11_GHG_per_pkm_TNC</vt:lpstr>
      <vt:lpstr>MJ_per_pkm_TNC</vt:lpstr>
      <vt:lpstr>Figure_12_GHG_per_pkm_Bus</vt:lpstr>
      <vt:lpstr>Figure_12_MJ_per_pkm_Bus</vt:lpstr>
      <vt:lpstr>Figure_13_GHG_per_pkm_Metro</vt:lpstr>
      <vt:lpstr>Figure_14_GHG_per_pkm_PT+Shared</vt:lpstr>
      <vt:lpstr>Table 3</vt:lpstr>
      <vt:lpstr>Figure_15_GHG_per_pkm_share</vt:lpstr>
      <vt:lpstr>Figure_15_GHG_per_pkm_shares B</vt:lpstr>
      <vt:lpstr>Figure_16_GHG_per_pkm_TNC (2)</vt:lpstr>
    </vt:vector>
  </TitlesOfParts>
  <Company>ITF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CAZZOLA Pierpaolo, ITF/QPA</dc:creator>
  <cp:lastModifiedBy>Ngoc Chau</cp:lastModifiedBy>
  <dcterms:created xsi:type="dcterms:W3CDTF">2019-08-06T12:03:38Z</dcterms:created>
  <dcterms:modified xsi:type="dcterms:W3CDTF">2023-01-04T08:40:11Z</dcterms:modified>
</cp:coreProperties>
</file>